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<sst xmlns="http://schemas.openxmlformats.org/spreadsheetml/2006/main" uniqueCount="7240">
  <si>
    <t>КАТЕГОРІЯ</t>
  </si>
  <si>
    <t>РОЗДІЛ</t>
  </si>
  <si>
    <t>ПІДРОЗДІЛ</t>
  </si>
  <si>
    <t>БРЕНД</t>
  </si>
  <si>
    <t>ПОСИЛАННЯ</t>
  </si>
  <si>
    <t>КОД ТОВАРА</t>
  </si>
  <si>
    <t>НАЗВА</t>
  </si>
  <si>
    <t>ЗАЛИШОК Чернівці</t>
  </si>
  <si>
    <t>ЗАЛИШОК Рівне</t>
  </si>
  <si>
    <t>ЗАЛИШОК Львів</t>
  </si>
  <si>
    <t>ЦІНА, USD</t>
  </si>
  <si>
    <t>ЗАМОВЛЕННЯ</t>
  </si>
  <si>
    <t>Аккумулятор для FPV дрона, 6s 2p, 8000mAh, Lishen LR2170LA, 21700</t>
  </si>
  <si>
    <t>Акумулятор для DJI Mavic Mini, (2500 mAh, 18 Wh)</t>
  </si>
  <si>
    <t>Акумулятор для DJI Phantom 4, (5870 mAh, 89.2 Wh)</t>
  </si>
  <si>
    <t>Алюмінієвий корпус підсилювача AP, IP65, внутрішній розмір 202 x 168 x 113 мм</t>
  </si>
  <si>
    <t>Алюминиевый корпус усилителя AP, IP65, внутренний размер 202 x 168 x 113 мм</t>
  </si>
  <si>
    <t>Антена всеспрямована, 5.8 GHz (5725-5850 MHz), 100W, 5-7 dBi, Ø32 мм, 60 см, NJ, для jamming обладнання</t>
  </si>
  <si>
    <t>Антенна всенаправленная, 2.4 GHz, 100W, Ø20 mm, N-J, для jamming оборудования</t>
  </si>
  <si>
    <t>Блок живлення ToolkitRC ADP100, 100W, 5A, з розємом ХТ60</t>
  </si>
  <si>
    <t>Відеоприймач (VRX) RUSHFPV, 3.3 GHz, з антеною</t>
  </si>
  <si>
    <t>Дисплей Samsung A525 Galaxy A52, A526 Galaxy A52 5G, с тачскрином, с рамкой, OLED (Small LCD), Black</t>
  </si>
  <si>
    <t>Дисплей Samsung M526 Galaxy M52, с тачскрином, INCELL, Black</t>
  </si>
  <si>
    <t>Жало для паяльников Quick TS1200A, TSS02-2C</t>
  </si>
  <si>
    <t>Изоляционная прокладка для аккумуляторов 21700. Упаковка ( 5600 шт )</t>
  </si>
  <si>
    <t>Корпус для РЕБ, алюмінієвий, IP65, внутрішній розмір 169 x 83 x 84 мм</t>
  </si>
  <si>
    <t>Курєрська доставка м. Львів</t>
  </si>
  <si>
    <t>Курєрська доставка м. Рівне</t>
  </si>
  <si>
    <t>Курєрська доставка м. Чернівці</t>
  </si>
  <si>
    <t>Модуль помех (jammer) 800-920 mHz, Gan 50W, 47 dBi, SMA</t>
  </si>
  <si>
    <t>Пропеллеры Gemfan 8040, 3 лопасти, стекловолокно, (набор CW - 1шт, CCW - 1шт)</t>
  </si>
  <si>
    <t>Розєм, конектор XT60 Amass, пара M+F</t>
  </si>
  <si>
    <t>Сенсор (тачскрин) Huawei MediaPad M5 Lite 10 (BAH2-L09, BAH2-W19), с OCA пленкой, Original PRC, White</t>
  </si>
  <si>
    <t>Стекло дисплея Samsung T220 Galaxy Tab A7 Lite Wi-Fi, с OCA пленкой, Original, White</t>
  </si>
  <si>
    <t>Стяжка для аккумулятора FPV дрона, 250мм * 20мм, кожзам, металическая пряжка</t>
  </si>
  <si>
    <t>Усилитель сигнала для сервопривода (увеличитель угла поворота сервопривода 500-2500 мкс), 4-6V, 2A</t>
  </si>
  <si>
    <t>Аксессуары</t>
  </si>
  <si>
    <t>Baseus хабы (Type-C, USB, LAN, HDMI)</t>
  </si>
  <si>
    <t>Type-C хаб Baseus AcmeJoy 7-Port Type-C HUB Adapter (WKJZ010413), HDMI (60 Hz, 4K), 2хUSB 3.0, 1хUSB 2.0, 1xType-C (PD), 1xSD, 1xTF, Gray</t>
  </si>
  <si>
    <t>Type-C хаб Baseus AirJoy 5-Port Type-C HUB Adapter (WKQX040001), HDMI (60 Hz, 4K), 3хUSB 3.0, 1xType-C (PD), Black</t>
  </si>
  <si>
    <t>Type-C хаб Baseus Starjoy 4-port Type-C Hub Adapter (WKWG070013), 4хUSB 3.0, 1xType-C, Gray</t>
  </si>
  <si>
    <t>Type-C хаб Baseus Starjoy 6-port Type-C Hub Adapter (WKWG080013), HDMI (60 Hz, 4K), 3хUSB 3.0, 1xType-C (PD), RJ45 (LAN), Gray</t>
  </si>
  <si>
    <t>Type-C хаб Baseus Starjoy 8-port Type-C HUB Adapter (WKWG050013), HDMI (30 Hz, 4K), 1xVGA, 3хUSB 3.0, 1xType-C (PD), 1xSD, 1xTF, Gray</t>
  </si>
  <si>
    <t>Адаптер Type-C Baseus AirJoy RJ45 LAN Port (WKQX000201), RJ45 (LAN), Black</t>
  </si>
  <si>
    <t>Адаптер USB-A Baseus AirJoy RJ45 LAN Port (WKQX000001), RJ45 (LAN), Black</t>
  </si>
  <si>
    <t>Автомобильные зарядные устройства</t>
  </si>
  <si>
    <t>Moxom</t>
  </si>
  <si>
    <t>Автомобильное зарядное устройство Moxom KC-12, 2USB, QC 3.0, 3.4A, ( в комплекте - кабель Lightning )</t>
  </si>
  <si>
    <t>Автомобильное зарядное устройство Moxom KC-12, 2USB, QC 3.0, 3.4A, ( в комплекте - кабель Micro USB )</t>
  </si>
  <si>
    <t>Автомобильное зарядное устройство Moxom KC-12, 2USB, QC 3.0, 3.4A, ( в комплекте - кабель Type-C )</t>
  </si>
  <si>
    <t>Автомобильное зарядное устройство Moxom KC-13, 2USB, QC 3.0, 3.0A, ( в комплекте - кабель Lightning )</t>
  </si>
  <si>
    <t>Автомобильное зарядное устройство Moxom KC-13, 2USB, QC 3.0, 3.0A, ( в комплекте - кабель Micro USB )</t>
  </si>
  <si>
    <t>Автомобильное зарядное устройство Moxom KC-13, 2USB, QC 3.0, 3.0A, ( в комплекте - кабель Type-C )</t>
  </si>
  <si>
    <t>Беспроводные зарядные устройства</t>
  </si>
  <si>
    <t>Apple</t>
  </si>
  <si>
    <t>Беспроводное зарядное устройство Apple MagSafe Charger, A2140 (MHXH3CH/A), White, Original PRC</t>
  </si>
  <si>
    <t>Беспроводное зарядное устройство Moxom KH-62Y, 4USB, 1 USB-C, QC 3.0, Power Delivery 3.0</t>
  </si>
  <si>
    <t>Беспроводное зарядное устройство Moxom MX-HC58 WL</t>
  </si>
  <si>
    <t>Защитные стекла и пленки</t>
  </si>
  <si>
    <t>Защитные стекла 5S ESD Glass 9H Full Glue</t>
  </si>
  <si>
    <t>Защитное стекло 5S ESD Glass 9H Full Glue для iPhone 12 Pro Max, в упаковке с салфетками</t>
  </si>
  <si>
    <t>Защитное стекло 5S ESD Glass 9H Full Glue для iPhone 12, iPhone 12 Pro, в упаковке с салфетками</t>
  </si>
  <si>
    <t>Защитное стекло 5S ESD Glass 9H Full Glue для iPhone 13 Pro Max, iPhone 14 Plus, в упаковке с салфетками</t>
  </si>
  <si>
    <t>Защитное стекло 5S ESD Glass 9H Full Glue для iPhone 13, iPhone 13 Pro, iPhone 14, в упаковке с салфетками</t>
  </si>
  <si>
    <t>Защитное стекло 5S ESD Glass 9H Full Glue для iPhone 14 Pro Max, в упаковке с салфетками</t>
  </si>
  <si>
    <t>Защитное стекло 5S ESD Glass 9H Full Glue для iPhone 14 Pro, в упаковке с салфетками</t>
  </si>
  <si>
    <t>Защитное стекло 5S ESD Glass 9H Full Glue для iPhone X, iPhone XS, iPhone 11 Pro, в упаковке с салфетками</t>
  </si>
  <si>
    <t>Защитное стекло 5S ESD Glass 9H Full Glue для iPhone XR, iPhone 11, в упаковке с салфетками</t>
  </si>
  <si>
    <t>Защитное стекло 5S ESD Glass 9H Full Glue для iPhone XS Max, iPhone 11 Pro Max, в упаковке с салфетками</t>
  </si>
  <si>
    <t>Защитные стекла 6D Premium Glass 9H Full Glue</t>
  </si>
  <si>
    <t>Защитное стекло 6D Premium Glass 9H Full Glue для  iPhone 15 Plus, в упаковке с салфетками</t>
  </si>
  <si>
    <t>Защитное стекло 6D Premium Glass 9H Full Glue для  iPhone 15 Pro Max, в упаковке с салфетками</t>
  </si>
  <si>
    <t>Защитное стекло 6D Premium Glass 9H Full Glue для  iPhone 16 Plus, в упаковке с салфетками</t>
  </si>
  <si>
    <t>Защитное стекло 6D Premium Glass 9H Full Glue для  iPhone 16 Pro Max, в упаковке с салфетками</t>
  </si>
  <si>
    <t>Защитное стекло 6D Premium Glass 9H Full Glue для  iPhone 16 Pro, в упаковке с салфетками</t>
  </si>
  <si>
    <t>Защитное стекло 6D Premium Glass 9H Full Glue для  iPhone 16, в упаковке с салфетками</t>
  </si>
  <si>
    <t>Защитное стекло 6D Premium Glass 9H Full Glue для Google Pixel 8 Pro, в упаковке с салфетками</t>
  </si>
  <si>
    <t>Защитное стекло 6D Premium Glass 9H Full Glue для Honor 90 lite, в упаковке с салфетками</t>
  </si>
  <si>
    <t>Защитное стекло 6D Premium Glass 9H Full Glue для Honor X6A, (WDY-LX1), в упаковке с салфетками</t>
  </si>
  <si>
    <t>Защитное стекло 6D Premium Glass 9H Full Glue для Honor X7A, (RKY-LX1), в упаковке с салфетками</t>
  </si>
  <si>
    <t>Защитное стекло 6D Premium Glass 9H Full Glue для Honor X8A, (CRT-LX1)  в упаковке с салфетками</t>
  </si>
  <si>
    <t>Защитное стекло 6D Premium Glass 9H Full Glue для Huawei P Smart Z, Y9 Prime 2019, Honor 9x, Y9s, Y9 2020, в упаковке с салфетками</t>
  </si>
  <si>
    <t>Защитное стекло 6D Premium Glass 9H Full Glue для iPhone 11, iPhone XR, в упаковке с салфетками</t>
  </si>
  <si>
    <t>Защитное стекло 6D Premium Glass 9H Full Glue для iPhone 12 Pro Max, в упаковке с салфетками</t>
  </si>
  <si>
    <t>Защитное стекло 6D Premium Glass 9H Full Glue для iPhone 12, iPhone 12 Pro, в упаковке с салфетками</t>
  </si>
  <si>
    <t>Защитное стекло 6D Premium Glass 9H Full Glue для iPhone 13 Pro Max, iPhone 14 Plus, в упаковке с салфетками</t>
  </si>
  <si>
    <t>Защитное стекло 6D Premium Glass 9H Full Glue для iPhone 13, iPhone 13 Pro, iPhone 14, в упаковке с салфетками</t>
  </si>
  <si>
    <t>Защитное стекло 6D Premium Glass 9H Full Glue для iPhone 14 Pro Max, в упаковке с салфетками</t>
  </si>
  <si>
    <t>Защитное стекло 6D Premium Glass 9H Full Glue для iPhone 14 Pro, в упаковке с салфетками</t>
  </si>
  <si>
    <t>Защитное стекло 6D Premium Glass 9H Full Glue для iPhone 15, iPhone 15 Pro, в упаковке с салфетками</t>
  </si>
  <si>
    <t>Защитное стекло 6D Premium Glass 9H Full Glue для iPhone 6 Plus, iPhone 6S Plus, в упаковке с салфетками</t>
  </si>
  <si>
    <t>Защитное стекло 6D Premium Glass 9H Full Glue для iPhone 6, iPhone 6S, в упаковке с салфетками</t>
  </si>
  <si>
    <t>Защитное стекло 6D Premium Glass 9H Full Glue для iPhone 7 Plus, iPhone 8 Plus, в упаковке с салфетками</t>
  </si>
  <si>
    <t>Защитное стекло 6D Premium Glass 9H Full Glue для iPhone 7, iPhone 8, в упаковке с салфетками</t>
  </si>
  <si>
    <t>Защитное стекло 6D Premium Glass 9H Full Glue для iPhone X, iPhone XS, iPhone 11 Pro, в упаковке с салфетками</t>
  </si>
  <si>
    <t>Защитное стекло 6D Premium Glass 9H Full Glue для iPhone XS Max, iPhone 11 Pro Max, в упаковке с салфетками</t>
  </si>
  <si>
    <t>Защитное стекло 6D Premium Glass 9H Full Glue для Motorola E13 (XT2345), в упаковке с салфетками</t>
  </si>
  <si>
    <t>Защитное стекло 6D Premium Glass 9H Full Glue для Motorola E22, в упаковке с салфетками</t>
  </si>
  <si>
    <t>Защитное стекло 6D Premium Glass 9H Full Glue для Motorola G54, в упаковке с салфетками</t>
  </si>
  <si>
    <t>Защитное стекло 6D Premium Glass 9H Full Glue для OnePlus 8T, в упаковке с салфетками</t>
  </si>
  <si>
    <t>Защитное стекло 6D Premium Glass 9H Full Glue для OnePlus 9, 9R, 9RT 5G, в упаковке с салфетками</t>
  </si>
  <si>
    <t>Защитное стекло 6D Premium Glass 9H Full Glue для OnePlus Nord N100, в упаковке с салфетками</t>
  </si>
  <si>
    <t>Защитное стекло 6D Premium Glass 9H Full Glue для Oppo A15 2020, A15s, Realme C11, C11 2021, C12, C15, C20, C20A, C21, в упаковке с салфетками</t>
  </si>
  <si>
    <t>Защитное стекло 6D Premium Glass 9H Full Glue для Oppo A52, A72, A92, A93 5G, в упаковке с салфетками</t>
  </si>
  <si>
    <t>Защитное стекло 6D Premium Glass 9H Full Glue для Oppo A53, A53s, A54 4G, A32 2020, A33 2020, Realme 7i, Realme 8i, Realme 9i, в упаковке с салфетками</t>
  </si>
  <si>
    <t>Защитное стекло 6D Premium Glass 9H Full Glue для Oppo A74 4G, в упаковке с салфетками</t>
  </si>
  <si>
    <t>Защитное стекло 6D Premium Glass 9H Full Glue для Oppo A74 5G, A54 5G, A53 5G, в упаковке с салфетками</t>
  </si>
  <si>
    <t>Защитное стекло 6D Premium Glass 9H Full Glue для Oppo A9 2020, A5 2020, A35, в упаковке с салфетками</t>
  </si>
  <si>
    <t>Защитное стекло 6D Premium Glass 9H Full Glue для POCO M6 5G, в упаковке с салфетками</t>
  </si>
  <si>
    <t>Защитное стекло 6D Premium Glass 9H Full Glue для POCO M6 Pro 4G, в упаковке с салфетками</t>
  </si>
  <si>
    <t>Защитное стекло 6D Premium Glass 9H Full Glue для POCO M6 Pro 5G, в упаковке с салфетками</t>
  </si>
  <si>
    <t>Защитное стекло 6D Premium Glass 9H Full Glue для POCO X6 5G в упаковке с салфетками</t>
  </si>
  <si>
    <t>Защитное стекло 6D Premium Glass 9H Full Glue для POCO X6 Pro 5G в упаковке с салфетками</t>
  </si>
  <si>
    <t>Защитное стекло 6D Premium Glass 9H Full Glue для Realme C30, Realme 35, в упаковке с салфетками</t>
  </si>
  <si>
    <t>Защитное стекло 6D Premium Glass 9H Full Glue для Samsung A022 Galaxy A02, A025 Galaxy A02s, A125 Galaxy A12, M127 Galaxy M12, в упаковке с салфетками</t>
  </si>
  <si>
    <t>Защитное стекло 6D Premium Glass 9H Full Glue для Samsung A032 Galaxy A03 Core, A135 Galaxy A13, M135 Galaxy M13, в упаковке с салфетками</t>
  </si>
  <si>
    <t>Защитное стекло 6D Premium Glass 9H Full Glue для Samsung A045 Galaxy A04, в упаковке с салфетками</t>
  </si>
  <si>
    <t>Защитное стекло 6D Premium Glass 9H Full Glue для Samsung A047 Galaxy A04s, в упаковке с салфетками</t>
  </si>
  <si>
    <t>Защитное стекло 6D Premium Glass 9H Full Glue для Samsung A065 Galaxy A06, в упаковке с салфетками</t>
  </si>
  <si>
    <t>Защитное стекло 6D Premium Glass 9H Full Glue для Samsung A105 Galaxy A10, A107 Galaxy A10s, M105 Galaxy M10, в упаковке с салфетками</t>
  </si>
  <si>
    <t>Защитное стекло 6D Premium Glass 9H Full Glue для Samsung A145 Galaxy A14, M146 Galaxy M14, в упаковке с салфетками</t>
  </si>
  <si>
    <t>Защитное стекло 6D Premium Glass 9H Full Glue для Samsung A145 Galaxy A14, в упаковке с салфетками</t>
  </si>
  <si>
    <t>Защитное стекло 6D Premium Glass 9H Full Glue для Samsung A155 Galaxy A15, в упаковке с салфетками</t>
  </si>
  <si>
    <t>Защитное стекло 6D Premium Glass 9H Full Glue для Samsung A165 Galaxy A16, в упаковке с салфетками</t>
  </si>
  <si>
    <t>Защитное стекло 6D Premium Glass 9H Full Glue для Samsung A205, A225, A305, A307, A315, A325, A336, A505, M215, M305, M315, в упаковке с салфетками</t>
  </si>
  <si>
    <t>Защитное стекло 6D Premium Glass 9H Full Glue для Samsung A215 Galaxy A21, A217 Galaxy A21s, в упаковке с салфетками</t>
  </si>
  <si>
    <t>Защитное стекло 6D Premium Glass 9H Full Glue для Samsung A226 Galaxy A22 5G, в упаковке с салфетками</t>
  </si>
  <si>
    <t>Защитное стекло 6D Premium Glass 9H Full Glue для Samsung A245 Galaxy A24, в упаковке с салфетками</t>
  </si>
  <si>
    <t>Защитное стекло 6D Premium Glass 9H Full Glue для Samsung A256 Galaxy A25, в упаковке с салфетками</t>
  </si>
  <si>
    <t>Защитное стекло 6D Premium Glass 9H Full Glue для Samsung A346 Galaxy A34 5G, в упаковке с салфетками</t>
  </si>
  <si>
    <t>Защитное стекло 6D Premium Glass 9H Full Glue для Samsung A356 Galaxy A35, в упаковке с салфетками</t>
  </si>
  <si>
    <t>Защитное стекло 6D Premium Glass 9H Full Glue для Samsung A515 Galaxy A51, G780 Galaxy S20 FE, M317 Galaxy M31s, в упаковке с салфетками</t>
  </si>
  <si>
    <t>Защитное стекло 6D Premium Glass 9H Full Glue для Samsung A525 Galaxy A52, A526 Galaxy A52 5G, в упаковке с салфетками</t>
  </si>
  <si>
    <t>Защитное стекло 6D Premium Glass 9H Full Glue для Samsung A536 Galaxy A53 5G, в упаковке с салфетками</t>
  </si>
  <si>
    <t>Защитное стекло 6D Premium Glass 9H Full Glue для Samsung A546 Galaxy A54 5G  в упаковке с салфетками</t>
  </si>
  <si>
    <t>Защитное стекло 6D Premium Glass 9H Full Glue для Samsung A705 Galaxy A70, A707 Galaxy A70s,  A426 Galaxy A42 5G, в упаковке с салфетками</t>
  </si>
  <si>
    <t>Защитное стекло 6D Premium Glass 9H Full Glue для Samsung A715 Galaxy A71, A725 Galaxy A72, A736 Galaxy A73, M515 Galaxy M51, в упаковке с салфетками</t>
  </si>
  <si>
    <t>Защитное стекло 6D Premium Glass 9H Full Glue для Samsung F62 Galaxy E625, M62 Galaxy M625,  в упаковке с салфетками</t>
  </si>
  <si>
    <t>Защитное стекло 6D Premium Glass 9H Full Glue для Samsung G990 Galaxy S21 FE, в упаковке с салфетками</t>
  </si>
  <si>
    <t>Защитное стекло 6D Premium Glass 9H Full Glue для Samsung G991 Galaxy S21, в упаковке с салфетками</t>
  </si>
  <si>
    <t>Защитное стекло 6D Premium Glass 9H Full Glue для Samsung G996 Galaxy S21 Plus, в упаковке с салфетками</t>
  </si>
  <si>
    <t>Защитное стекло 6D Premium Glass 9H Full Glue для Samsung Galaxy A55 5G, в упаковке с салфетками</t>
  </si>
  <si>
    <t>Защитное стекло 6D Premium Glass 9H Full Glue для Samsung M346 Galaxy M34 5G, в упаковке с салфетками</t>
  </si>
  <si>
    <t>Защитное стекло 6D Premium Glass 9H Full Glue для Samsung S711 Galaxy S23 FE, в упаковке с салфетками</t>
  </si>
  <si>
    <t>Защитное стекло 6D Premium Glass 9H Full Glue для Samsung S901 Galaxy S22, S911 Galaxy S23, в упаковке с салфетками</t>
  </si>
  <si>
    <t>Защитное стекло 6D Premium Glass 9H Full Glue для Samsung S906 Galaxy S22 Plus, S916 Galaxy S23 Plus, в упаковке с салфетками</t>
  </si>
  <si>
    <t>Защитное стекло 6D Premium Glass 9H Full Glue для Samsung S921 Galaxy S24, в упаковке с салфетками</t>
  </si>
  <si>
    <t>Защитное стекло 6D Premium Glass 9H Full Glue для Samsung S926 Galaxy S24 Plus, в упаковке с салфетками</t>
  </si>
  <si>
    <t>Защитное стекло 6D Premium Glass 9H Full Glue для Samsung S928 Galaxy S24 Ultra, в упаковке с салфетками</t>
  </si>
  <si>
    <t>Защитное стекло 6D Premium Glass 9H Full Glue для Tecno Spark 10, в упаковке с салфетками</t>
  </si>
  <si>
    <t>Защитное стекло 6D Premium Glass 9H Full Glue для Tecno Spark 8C, в упаковке с салфетками</t>
  </si>
  <si>
    <t>Защитное стекло 6D Premium Glass 9H Full Glue для Tecno Spark Go 2022 , в упаковке с салфетками</t>
  </si>
  <si>
    <t>Защитное стекло 6D Premium Glass 9H Full Glue для Tecno Spark Go 2023 , в упаковке с салфетками</t>
  </si>
  <si>
    <t>Защитное стекло 6D Premium Glass 9H Full Glue для Vivo Y17, Y7S, Y15, Y3, Y51, Y9S, Y11 (2019), Y3, в упаковке с салфетками</t>
  </si>
  <si>
    <t>Защитное стекло 6D Premium Glass 9H Full Glue для Vivo Y21s, Y21, Y20s, Y20, Y20i, Y20a, Y12s, Y20g, Y12a, Y11s ( 2021 ) , в упаковке с салфетками</t>
  </si>
  <si>
    <t>Защитное стекло 6D Premium Glass 9H Full Glue для Vivo Y53s, Y72 5G, Y72T 5G, Y51 ( 2020 ), Y51a ( 2021 )  , в упаковке с салфетками</t>
  </si>
  <si>
    <t>Защитное стекло 6D Premium Glass 9H Full Glue для Vivo Y93, Y95, Y91,Y90i, Y90, Y91c, Y1s, в упаковке с салфетками</t>
  </si>
  <si>
    <t>Защитное стекло 6D Premium Glass 9H Full Glue для Xiaomi 13. в упаковке с салфетками</t>
  </si>
  <si>
    <t>Защитное стекло 6D Premium Glass 9H Full Glue для Xiaomi Mi 10T, Mi 10 Lite, Mi 10T Pro, Mi 10i, в упаковке с салфетками</t>
  </si>
  <si>
    <t>Защитное стекло 6D Premium Glass 9H Full Glue для Xiaomi Mi 11 Lite, Mi 11 Lite 5G, в упаковке с салфетками</t>
  </si>
  <si>
    <t>Защитное стекло 6D Premium Glass 9H Full Glue для Xiaomi Note 9 Pro, Note 9S, Note 10 Pro, Mi 11T, Mi 11T Pro, в упаковке с салфетками</t>
  </si>
  <si>
    <t>Защитное стекло 6D Premium Glass 9H Full Glue для Xiaomi Redmi 10, Redmi Note 10 5G, Poco M3 Pro, в упаковке с салфетками</t>
  </si>
  <si>
    <t>Защитное стекло 6D Premium Glass 9H Full Glue для Xiaomi Redmi 10c, Redmi 12c, Redmi 10 Power, в упаковке с салфетками</t>
  </si>
  <si>
    <t>Защитное стекло 6D Premium Glass 9H Full Glue для Xiaomi Redmi 12T, 12T Pro, 12 Pro 5G,  в упаковке с салфетками</t>
  </si>
  <si>
    <t>Защитное стекло 6D Premium Glass 9H Full Glue для Xiaomi Redmi 13C, Poco C65, в упаковке с салфетками</t>
  </si>
  <si>
    <t>Защитное стекло 6D Premium Glass 9H Full Glue для Xiaomi Redmi 13T, 13T Pro, в упаковке с салфетками</t>
  </si>
  <si>
    <t>Защитное стекло 6D Premium Glass 9H Full Glue для Xiaomi Redmi 14, в упаковке с салфетками</t>
  </si>
  <si>
    <t>Защитное стекло 6D Premium Glass 9H Full Glue для Xiaomi Redmi 7, Note 7, Note 7 Pro, Note 7s, Note 8, Mi 9, Mi 9 Lite, в упаковке с салфетками</t>
  </si>
  <si>
    <t>Защитное стекло 6D Premium Glass 9H Full Glue для Xiaomi Redmi 8, Redmi 8A, в упаковке с салфетками</t>
  </si>
  <si>
    <t>Защитное стекло 6D Premium Glass 9H Full Glue для Xiaomi Redmi 9, Redmi 9 Power, Redmi 9T, Poco M3, в упаковке с салфетками</t>
  </si>
  <si>
    <t>Защитное стекло 6D Premium Glass 9H Full Glue для Xiaomi Redmi 9A, Redmi 9C, Redmi 10A, Redmi A1, Poco C3, Poco M5, в упаковке с салфетками</t>
  </si>
  <si>
    <t>Защитное стекло 6D Premium Glass 9H Full Glue для Xiaomi Redmi A1, Redmi A1 Plus, Redmi A2, Poco C50, в упаковке с салфетками</t>
  </si>
  <si>
    <t>Защитное стекло 6D Premium Glass 9H Full Glue для Xiaomi Redmi Note 10, Note 10s, Poco M4 Pro, в упаковке с салфетками</t>
  </si>
  <si>
    <t>Защитное стекло 6D Premium Glass 9H Full Glue для Xiaomi Redmi Note 11 Pro, Redmi Note 12 Pro, Poco F4 5G, Poco X4 Pro 5G, в упаковке с салфетками</t>
  </si>
  <si>
    <t>Защитное стекло 6D Premium Glass 9H Full Glue для Xiaomi Redmi Note 11E, Redmi 10 5G, Poco M4 5G, Poco M5, в упаковке с салфетками</t>
  </si>
  <si>
    <t>Защитное стекло 6D Premium Glass 9H Full Glue для Xiaomi Redmi Note 11T Pro 5G, в упаковке с салфетками</t>
  </si>
  <si>
    <t>Защитное стекло 6D Premium Glass 9H Full Glue для Xiaomi Redmi Note 12, Poco X5, в упаковке с салфетками</t>
  </si>
  <si>
    <t>Защитное стекло 6D Premium Glass 9H Full Glue для Xiaomi Redmi Note 13 Pro, Poco X6, в упаковке с салфетками</t>
  </si>
  <si>
    <t>Защитное стекло 6D Premium Glass 9H Full Glue для Xiaomi Redmi Note 13, в упаковке с салфетками</t>
  </si>
  <si>
    <t>Защитное стекло 6D Premium Glass 9H Full Glue для Xiaomi Redmi Note 9, Redmi Note 9T, в упаковке с салфетками</t>
  </si>
  <si>
    <t>Защитные стекла Full Glue 2.5D</t>
  </si>
  <si>
    <t>Защитное стекло Apple iPhone 12 Mini, Full Glue 2.5D, Black</t>
  </si>
  <si>
    <t>Защитное стекло Asus Zenfone 5 Lite ZS600KL, Full Glue 2.5D, Black</t>
  </si>
  <si>
    <t>Защитное стекло Asus ZenFone Live (L1) ZA550KL, G552KL, Full Glue 2.5D, Black</t>
  </si>
  <si>
    <t>Защитное стекло Huawei GR3 2017, Honor 8 Lite, Nova Lite 2016, P8 Lite 2017 (PRA-LA1, PRA-LX2, PRA-LX1, PRA-L21, PRA-L11), Full Glue 2.5D, Black</t>
  </si>
  <si>
    <t>Защитное стекло Huawei P Smart Z, P Smart Pro, Y9 Prime 2019, Y9S, Honor 9X (STK-LX1, STK-L21, STK-L22), Full Glue 2.5D, Black</t>
  </si>
  <si>
    <t>Защитное стекло Huawei P10 Lite (WAS-L21, WAS-LX1, WAS-LX1A), Full Glue 2.5D, Black</t>
  </si>
  <si>
    <t>Защитное стекло Huawei P30 (ELE-L29, ELE-L09, ELE-L04, ELE-AL00), Full Glue 2.5D, Black</t>
  </si>
  <si>
    <t>Защитное стекло Huawei View 20 (PCT-L29), Honor V20, Nova 4, Full Glue 2.5D, Black</t>
  </si>
  <si>
    <t>Защитное стекло Huawei Y9 2018 (FLA-LX1, FLA-LX3), Enjoy 8 Plus, Full Glue 2.5D, Black</t>
  </si>
  <si>
    <t>Защитное стекло Huawei Y9 2019 (JKM-L23, JKM-LX3), Enjoy 9 Plus, Full Glue 2.5D, Black</t>
  </si>
  <si>
    <t>Защитное стекло Motorola XT1926 Moto G6 Plus, Full Glue 2.5D, Black</t>
  </si>
  <si>
    <t>Защитное стекло Nokia 3.1, Full Glue 2.5D, Black</t>
  </si>
  <si>
    <t>Защитное стекло Nokia 4.2, Full Glue 2.5D, Black</t>
  </si>
  <si>
    <t>Защитное стекло Nokia 5.1, Full Glue 2.5D, Black</t>
  </si>
  <si>
    <t>Защитное стекло Nokia 6, Full Glue 2.5D, Black</t>
  </si>
  <si>
    <t>Защитное стекло Nokia 6.1, Full Glue 2.5D, Black</t>
  </si>
  <si>
    <t>Защитное стекло Samsung A015 Galaxy A01, Full Glue 2.5D, Black</t>
  </si>
  <si>
    <t>Защитное стекло Samsung A105 Galaxy A10 2019, M105 Galaxy M10, Full Glue 2.5D, Black</t>
  </si>
  <si>
    <t>Защитное стекло Samsung A205 Galaxy A20 2019, Full Glue 2.5D, Black</t>
  </si>
  <si>
    <t>Защитное стекло Samsung A217 Galaxy A21s, Full Glue 2.5D, Black</t>
  </si>
  <si>
    <t>Защитное стекло Samsung A405 Galaxy A40 2019, Full Glue 2.5D, Black</t>
  </si>
  <si>
    <t>Защитное стекло Samsung A510 Galaxy A5 2016, Full Glue 2.5D, White</t>
  </si>
  <si>
    <t>Защитное стекло Samsung A515 Galaxy A51, M317 Galaxy M31s, Full Glue 2.5D, Black</t>
  </si>
  <si>
    <t>Защитное стекло Samsung A6060 Galaxy A60 2019, Full Glue 2.5D, Black</t>
  </si>
  <si>
    <t>Защитное стекло Samsung A705 Galaxy A70 2019, Full Glue 2.5D, Black</t>
  </si>
  <si>
    <t>Защитное стекло Xiaomi Mi 8 Pro, Full Glue 2.5D, Black</t>
  </si>
  <si>
    <t>Защитное стекло Xiaomi Mi 8 SE, Full Glue 2.5D, Black</t>
  </si>
  <si>
    <t>Защитное стекло Xiaomi Mi 9, Full Glue 2.5D, Black</t>
  </si>
  <si>
    <t>Защитное стекло Xiaomi Mi A1, Mi5x, Full Glue 2.5D, Black</t>
  </si>
  <si>
    <t>Защитное стекло Xiaomi Redmi 8, Redmi 8A, Full Glue 2.5D, Black</t>
  </si>
  <si>
    <t>Защитное стекло Xiaomi Redmi Note 8 Pro, Full Glue 2.5D, Black</t>
  </si>
  <si>
    <t>Защитное стекло Xiaomi Redmi S2, Full Glue 2.5D, Black</t>
  </si>
  <si>
    <t>Защитные стекла Pro-Flexi HD Full Glue (2.5D, 9H)</t>
  </si>
  <si>
    <t>Защитное стекло Apple iPhone 11 Pro Max, Pro-Flexi HD Full Glue, Black</t>
  </si>
  <si>
    <t>Защитное стекло Apple iPhone 11 Pro, iPhone X, iPhone XS, Pro-Flexi HD Full Glue</t>
  </si>
  <si>
    <t>Защитное стекло Apple iPhone 11, iPhone XR, Pro-Flexi HD Full Glue, Black</t>
  </si>
  <si>
    <t>Защитное стекло Apple iPhone 12 Mini, Pro-Flexi HD Full Glue, Black</t>
  </si>
  <si>
    <t>Защитное стекло Apple iPhone 12 Pro Max, Pro-Flexi HD Full Glue, Black</t>
  </si>
  <si>
    <t>Защитное стекло Apple iPhone 12, iPhone 12 Pro, Pro-Flexi HD Full Glue, Black</t>
  </si>
  <si>
    <t>Защитное стекло Apple iPhone 13 Pro Max, Pro-Flexi HD Full Glue, Black</t>
  </si>
  <si>
    <t>Защитное стекло Apple iPhone 13, iPhone 13 Pro, Pro-Flexi HD Full Glue, Black</t>
  </si>
  <si>
    <t>Защитное стекло Apple iPhone 7 Plus, iPhone 8 Plus, Pro-Flexi HD Full Glue, Black</t>
  </si>
  <si>
    <t>Защитное стекло Apple iPhone 7, iPhone 8, Pro-Flexi HD Full Glue, Black</t>
  </si>
  <si>
    <t>Защитное стекло Apple iPhone X, iPhone XS, Pro-Flexi HD Full Glue, Black</t>
  </si>
  <si>
    <t>Защитное стекло Apple iPhone XS Max, Pro-Flexi HD Full Glue, Black</t>
  </si>
  <si>
    <t>Защитное стекло Asus Zenfone Max M2 ZB633KL, Pro-Flexi HD Full Glue, Black</t>
  </si>
  <si>
    <t>Защитное стекло Google Pixel 3, Pro-Flexi HD Full Glue, Black</t>
  </si>
  <si>
    <t>Защитное стекло Google Pixel 3A XL, Pro-Flexi HD Full Glue, Black</t>
  </si>
  <si>
    <t>Защитное стекло Google Pixel 3A, Pro-Flexi HD Full Glue, Black</t>
  </si>
  <si>
    <t>Защитное стекло Google Pixel 4 XL, Pro-Flexi HD Full Glue, Black</t>
  </si>
  <si>
    <t>Защитное стекло Google Pixel 4, Pro-Flexi HD Full Glue, Black</t>
  </si>
  <si>
    <t>Защитное стекло Google Pixel 5, Pro-Flexi HD Full Glue, Black</t>
  </si>
  <si>
    <t>Защитное стекло Huawei Honor 10 Lite (HRY-LX1), Honor 10i (HRY-LX1T), Pro-Flexi HD Full Glue, Black</t>
  </si>
  <si>
    <t>Защитное стекло Huawei Honor 7X (BND-L21, L22, AL10, L31), Pro-Flexi HD Full Glue, Black</t>
  </si>
  <si>
    <t>Защитное стекло Huawei Honor 8A (JAT-LX1, JAT-L29), 8A Pro, Y6 2019 (MRD-LX1), Y6 Prime 2019, Y6s 2019 (JAT-L41), Pro-Flexi HD Full Glue, Black</t>
  </si>
  <si>
    <t>Защитное стекло Huawei Honor 8X (JSN-L21, JSN-AL00), View 10 Lite, Pro-Flexi HD Full Glue, Black</t>
  </si>
  <si>
    <t>Защитное стекло Huawei Nova 4e, P30 Lite (MAR-L21, LX2, LX1M), Pro-Flexi HD Full Glue, Black</t>
  </si>
  <si>
    <t>Защитное стекло Huawei P Smart (FIG-LX1, FIG-L21, FIG-L31, FIG-LA1), Enjoy 7s, Pro-Flexi HD Full Glue, Black</t>
  </si>
  <si>
    <t>Защитное стекло Huawei P Smart 2019 (POT-LX3, POT-LX1, POT-AL00), Pro-Flexi HD Full Glue, Black</t>
  </si>
  <si>
    <t>Защитное стекло Huawei P Smart 2021 (PPA-LX2), Y7A, Honor 10X Lite, Pro-Flexi HD Full Glue</t>
  </si>
  <si>
    <t>Защитное стекло Huawei P Smart S 2020, Y8P (AQM-LX1), Honor Play 4t Pro, Enjoy 10s, Pro-Flexi HD Full Glue</t>
  </si>
  <si>
    <t>Защитное стекло Huawei P Smart Z, P Smart Pro, Y9 Prime 2019, Y9S, Honor 9X (STK-LX1, STK-L21, STK-L22), Pro-Flexi HD Full Glue, Black</t>
  </si>
  <si>
    <t>Защитное стекло Huawei P40 Lite E (ART-L28, ART-L29), Y7p 2020, Honor 9C, Pro-Flexi HD Full Glue, Black</t>
  </si>
  <si>
    <t>Защитное стекло Huawei Y6 2018 (ATU-L21), Y6 Prime 2018 (ATU-L31), Honor 7A Pro (AUM-L29), Honor 7C (AUM-L41), Pro-Flexi HD Full Glue, Black</t>
  </si>
  <si>
    <t>Защитное стекло Huawei Y6P 2020, Honor 9A (MED-L29, LX9, LX9N, L29N, MOA-LX9, LX9N), Pro-Flexi HD Full Glue</t>
  </si>
  <si>
    <t>Защитное стекло Motorola E6S (XT2053), E6i, Pro-Flexi HD Full Glue, Black</t>
  </si>
  <si>
    <t>Защитное стекло Motorola E7 (XT2095), E7 Power (XT2097), E7i Power, Pro-Flexi HD Full Glue, Black</t>
  </si>
  <si>
    <t>Защитное стекло Motorola G10 (XT2127), G10 Power, G30, Lenovo K13 Pro, Pro-Flexi HD Full Glue, Black</t>
  </si>
  <si>
    <t>Защитное стекло Motorola G8 Power (XT2041-1, XT2041-3), Pro-Flexi HD Full Glue, Black</t>
  </si>
  <si>
    <t>Защитное стекло Motorola XT2013-2 Moto One Action, XT1970 Moto One Vision, Pro-Flexi HD Full Glue, Black</t>
  </si>
  <si>
    <t>Защитное стекло Motorola XT2081 Moto E7 Plus, XT2083 Moto G9 Play, Pro-Flexi HD Full Glue, Black</t>
  </si>
  <si>
    <t>Защитное стекло Motorola XT2087 Moto G9 Plus, с тачскрином, Pro-Flexi HD Full Glue, Black</t>
  </si>
  <si>
    <t>Защитное стекло Nokia 2.4, Pro-Flexi HD Full Glue, Black</t>
  </si>
  <si>
    <t>Защитное стекло Nokia 3.1 Plus, Pro-Flexi HD Full Glue, Black</t>
  </si>
  <si>
    <t>Защитное стекло Nokia 3.2, Pro-Flexi HD Full Glue, Black</t>
  </si>
  <si>
    <t>Защитное стекло Nokia 3.4, Pro-Flexi HD Full Glue, Black</t>
  </si>
  <si>
    <t>Защитное стекло Nokia 5.1 Plus, Pro-Flexi HD Full Glue, Black</t>
  </si>
  <si>
    <t>Защитное стекло Nokia 5.3, Pro-Flexi HD Full Glue, Black</t>
  </si>
  <si>
    <t>Защитное стекло Nokia 5.4, Pro-Flexi HD Full Glue, Black</t>
  </si>
  <si>
    <t>Защитное стекло Nokia 6.2 (TA-1187, TA-1198, TA-1200), Nokia 7.2 (TA-1178, TA-1181, TA-1193), Pro-Flexi HD Full Glue, Black</t>
  </si>
  <si>
    <t>Защитное стекло Nokia G10 (TA-1334, TA-1351), G20 (TA-1336), Pro-Flexi HD Full Glue, Black</t>
  </si>
  <si>
    <t>Защитное стекло OnePlus 6, Pro-Flexi HD Full Glue, Black</t>
  </si>
  <si>
    <t>Защитное стекло OnePlus 6T, Pro-Flexi HD Full Glue, Black</t>
  </si>
  <si>
    <t>Защитное стекло OnePlus 7 Pro, Pro-Flexi HD Full Glue, Black</t>
  </si>
  <si>
    <t>Защитное стекло OnePlus 7, Pro-Flexi HD Full Glue, Black</t>
  </si>
  <si>
    <t>Защитное стекло OnePlus 8, Pro-Flexi HD Full Glue, Black</t>
  </si>
  <si>
    <t>Защитное стекло OnePlus 8T, Pro-Flexi HD Full Glue, Black</t>
  </si>
  <si>
    <t>Защитное стекло OnePlus Nord, Pro-Flexi HD Full Glue, Black</t>
  </si>
  <si>
    <t>Защитное стекло Oppo A12, A5s, A7, Realme 3, Realme 3i, Pro-Flexi HD Full Glue, Black</t>
  </si>
  <si>
    <t>Защитное стекло Oppo A15 2020, A15s, Realme C11, Realme C12, Realme C15, Pro-Flexi HD Full Glue, Black</t>
  </si>
  <si>
    <t>Защитное стекло Oppo A31, A5 2020, A9 2020, Realme 5, Realme 5S, Realme 5i, Realme 6i, Realme C3, Pro-Flexi HD Full Glue, Black</t>
  </si>
  <si>
    <t>Защитное стекло Oppo A32 2020, A53, Realme 7i, Pro-Flexi HD Full Glue, Black</t>
  </si>
  <si>
    <t>Защитное стекло Oppo A52, A72, A92, Realme 6, Pro-Flexi HD Full Glue, Black</t>
  </si>
  <si>
    <t>Защитное стекло Oppo A54, Pro-Flexi HD Full Glue</t>
  </si>
  <si>
    <t>Защитное стекло Oppo A74 (4G), A94, Reno 5 Lite, Realme 7 Pro, Realme 8, Realme 8 Pro, Realme V, Pro-Flexi HD Full Glue, Black</t>
  </si>
  <si>
    <t>Защитное стекло Oppo A91, Pro-Flexi HD Full Glue, Black</t>
  </si>
  <si>
    <t>Защитное стекло Oppo Realme 6 Pro, с тачскрином, Pro-Flexi HD Full Glue, Black</t>
  </si>
  <si>
    <t>Защитное стекло Realme C11 2021, Realme C20, Realme C20A, Realme C21, Pro-Flexi HD Full Glue</t>
  </si>
  <si>
    <t>Защитное стекло Realme C21Y, Realme C25Y, Pro-Flexi HD Full Glue, Black</t>
  </si>
  <si>
    <t>Защитное стекло Samsung A015 Galaxy A01, Pro-Flexi HD Full Glue, Black</t>
  </si>
  <si>
    <t>Защитное стекло Samsung A025 Galaxy A02S, M025 Galaxy M02s, Pro-Flexi HD Full Glue</t>
  </si>
  <si>
    <t>Защитное стекло Samsung A105 Galaxy A10 2019, M105 Galaxy M10, Pro-Flexi HD Full Glue, Black</t>
  </si>
  <si>
    <t>Защитное стекло Samsung A107 Galaxy A10s 2019, Pro-Flexi HD Full Glue</t>
  </si>
  <si>
    <t>Защитное стекло Samsung A115 Galaxy A11, Pro-Flexi HD Full Glue, Black</t>
  </si>
  <si>
    <t>Защитное стекло Samsung A125 Galaxy A12, A022 Galaxy A02, A326 Galaxy A32 5G, M127 Galaxy M12, M022 Galaxy M02, Pro-Flexi HD Full Glue</t>
  </si>
  <si>
    <t>Защитное стекло Samsung A217 Galaxy A21s, Pro-Flexi HD Full Glue</t>
  </si>
  <si>
    <t>Защитное стекло Samsung A225 Galaxy A22, A325 Galaxy A32, Pro-Flexi HD Full Glue</t>
  </si>
  <si>
    <t>Защитное стекло Samsung A225 Galaxy A22, Pro-Flexi HD Full Glue</t>
  </si>
  <si>
    <t>Защитное стекло Samsung A305 Galaxy A30 2019, A505 Galaxy A50 2019, M305 Galaxy M30 2019, Pro-Flexi HD Full Glue, Black</t>
  </si>
  <si>
    <t>Защитное стекло Samsung A307 Galaxy A30s 2019, Pro-Flexi HD Full Glue, Black</t>
  </si>
  <si>
    <t>Защитное стекло Samsung A315 Galaxy A31, Pro-Flexi HD Full Glue</t>
  </si>
  <si>
    <t>Защитное стекло Samsung A515 Galaxy A51, M317 Galaxy M31s, Pro-Flexi HD Full Glue</t>
  </si>
  <si>
    <t>Защитное стекло Samsung A525 Galaxy A52, Pro-Flexi HD Full Glue</t>
  </si>
  <si>
    <t>Защитное стекло Samsung A715 Galaxy A71, M515 Galaxy M51, Pro-Flexi HD Full Glue</t>
  </si>
  <si>
    <t>Защитное стекло Samsung A750 Galaxy A7 2018, Pro-Flexi HD Full Glue, Black</t>
  </si>
  <si>
    <t>Защитное стекло Samsung J610 Galaxy J6 Plus 2018, J415 Galaxy J4 Plus 2018, Pro-Flexi HD Full Glue, Black</t>
  </si>
  <si>
    <t>Защитное стекло Samsung M215 Galaxy M21, M217 Galaxy M21s, M315 Galaxy M31, M317 Galaxy M31s, Pro-Flexi HD Full Glue, Black</t>
  </si>
  <si>
    <t>Защитное стекло Tecno Camon 12 Air (CC6), Pro-Flexi HD Full Glue</t>
  </si>
  <si>
    <t>Защитное стекло Tecno Camon 17P (CG7n), Pro-Flexi HD Full Glue</t>
  </si>
  <si>
    <t>Защитное стекло Tecno Camon 18 (CH6n), Pro-Flexi HD Full Glue, Black</t>
  </si>
  <si>
    <t>Защитное стекло Tecno Pop 5 (BD2p), Pro-Flexi HD Full Glue</t>
  </si>
  <si>
    <t>Защитное стекло Tecno Pova 2 (LE7n), Pova 3 (LF7n), Pro-Flexi HD Full Glue</t>
  </si>
  <si>
    <t>Защитное стекло Tecno Spark 6 (KE7), Camon 16 SE (CE7j), Pro-Flexi HD Full Glue</t>
  </si>
  <si>
    <t>Защитное стекло Tecno Spark 7 (KF6n), Pro-Flexi HD Full Glue</t>
  </si>
  <si>
    <t>Защитное стекло Tecno Spark 7 Pro (KF8), Camon 17 (CG6), Pro-Flexi HD Full Glue</t>
  </si>
  <si>
    <t>Защитное стекло Xiaomi CC9e, Mi A3, Pro-Flexi HD Full Glue, Black</t>
  </si>
  <si>
    <t>Защитное стекло Xiaomi Mi 10 Lite, Pro-Flexi HD Full Glue, Black</t>
  </si>
  <si>
    <t>Защитное стекло Xiaomi Mi 10T Lite, Poco X3, Poco X3 Pro, Pro-Flexi HD Full Glue</t>
  </si>
  <si>
    <t>Защитное стекло Xiaomi Mi 11i, Mi 11x, Black Shark 4, Poco F3, Poco F4, Redmi K40, с тачскрином, Pro-Flexi HD Full Glue, Black</t>
  </si>
  <si>
    <t>Защитное стекло Xiaomi Mi 9T, Mi 9T Pro, Redmi K20, Redmi K20 Pro, Pro-Flexi HD Full Glue, Black</t>
  </si>
  <si>
    <t>Защитное стекло Xiaomi Mi A2 Lite, Redmi 6 Pro, Pro-Flexi HD Full Glue, Black</t>
  </si>
  <si>
    <t>Защитное стекло Xiaomi Mi A2, Mi6x, Pro-Flexi HD Full Glue, Black</t>
  </si>
  <si>
    <t>Защитное стекло Xiaomi Mi Note 10, Mi Note 10 Lite, Mi Note 10 Pro, Pro-Flexi HD Full Glue, Black</t>
  </si>
  <si>
    <t>Защитное стекло Xiaomi Redmi 10, Pro-Flexi HD Full Glue</t>
  </si>
  <si>
    <t>Защитное стекло Xiaomi Redmi 10C, Redmi 10 Power, Poco C40, Pro-Flexi HD Full Glue</t>
  </si>
  <si>
    <t>Защитное стекло Xiaomi Redmi 12c, Pro-Flexi HD Full Glue</t>
  </si>
  <si>
    <t>Защитное стекло Xiaomi Redmi 5, Pro-Flexi HD Full Glue, Black</t>
  </si>
  <si>
    <t>Защитное стекло Xiaomi Redmi 7, Pro-Flexi HD Full Glue, Black</t>
  </si>
  <si>
    <t>Защитное стекло Xiaomi Redmi 7A, Pro-Flexi HD Full Glue, Black</t>
  </si>
  <si>
    <t>Защитное стекло Xiaomi Redmi 8, Redmi 8A, Pro-Flexi HD Full Glue, Black</t>
  </si>
  <si>
    <t>Защитное стекло Xiaomi Redmi 9, Pro-Flexi HD Full Glue</t>
  </si>
  <si>
    <t>Защитное стекло Xiaomi Redmi 9a, Redmi 9c, Pro-Flexi HD Full Glue, Black</t>
  </si>
  <si>
    <t>Защитное стекло Xiaomi Redmi 9T, Redmi 9 Power, Poco M3, Pro-Flexi HD Full Glue, Black</t>
  </si>
  <si>
    <t>Защитное стекло Xiaomi Redmi Note 10 5G, Poco M3 Pro, Poco M3 Pro 5G, Pro-Flexi HD Full Glue, Black</t>
  </si>
  <si>
    <t>Защитное стекло Xiaomi Redmi Note 10 Pro, Pro-Flexi HD Full Glue</t>
  </si>
  <si>
    <t>Защитное стекло Xiaomi Redmi Note 10, Redmi Note 10 4G, Redmi Note 10S, Original, Pro-Flexi HD Full Glue, Black</t>
  </si>
  <si>
    <t>Защитное стекло Xiaomi Redmi Note 5, Redmi Note 5 Pro, Pro-Flexi HD Full Glue, Black</t>
  </si>
  <si>
    <t>Защитное стекло Xiaomi Redmi Note 6 Pro, Pro-Flexi HD Full Glue, Black</t>
  </si>
  <si>
    <t>Защитное стекло Xiaomi Redmi Note 7, Redmi Note 7 Pro, Pro-Flexi HD Full Glue</t>
  </si>
  <si>
    <t>Защитное стекло Xiaomi Redmi Note 8 Pro, Pro-Flexi HD Full Glue</t>
  </si>
  <si>
    <t>Защитное стекло Xiaomi Redmi Note 8, Pro-Flexi HD Full Glue</t>
  </si>
  <si>
    <t>Защитное стекло Xiaomi Redmi Note 9 Pro, Redmi Note 9s, Poco X3, Pro-Flexi HD Full Glue, Black</t>
  </si>
  <si>
    <t>Защитное стекло Xiaomi Redmi Note 9, Redmi 10X 4G, Pro-Flexi HD Full Glue</t>
  </si>
  <si>
    <t>Защитные стекла гибкие Flexible</t>
  </si>
  <si>
    <t>Защитное стекло Apple iPhone X, iPhone XS, Flexible Glass, White</t>
  </si>
  <si>
    <t>Защитное стекло Flexible Glass Apple iPhone 5, 5S, 5C, 5SE, White</t>
  </si>
  <si>
    <t>Защитное стекло Flexible Glass Apple iPhone 6 Plus, 6S Plus, Black</t>
  </si>
  <si>
    <t>Защитное стекло Flexible Glass Apple iPhone 6 Plus, 6S Plus, White</t>
  </si>
  <si>
    <t>Защитное стекло Flexible Glass Apple iPhone 7 Plus, iPhone 8 Plus, Black</t>
  </si>
  <si>
    <t>Защитное стекло Flexible Glass Apple iPhone 8, Black</t>
  </si>
  <si>
    <t>Защитное стекло Flexible Glass Apple iPhone 8, White</t>
  </si>
  <si>
    <t>Защитное стекло Flexible Glass Huawei GR5 2017 (BLN-L21), Honor 6X, Mate 9 Lite, Black</t>
  </si>
  <si>
    <t>Защитное стекло Flexible Glass Huawei GR5 2017 (BLN-L21), Honor 6X, Mate 9 Lite, White</t>
  </si>
  <si>
    <t>Защитное стекло Flexible Glass Huawei Honor 6A (DLI-TL20, DLI-AL10), Black</t>
  </si>
  <si>
    <t>Защитное стекло Flexible Glass Huawei Honor 6A (DLI-TL20, DLI-AL10), White</t>
  </si>
  <si>
    <t>Защитное стекло Flexible Glass Huawei P10 (VTR-L09, VTR-L29), Black</t>
  </si>
  <si>
    <t>Защитное стекло Flexible Glass Huawei P10 Lite (WAS-L21, WAS-LX1, WAS-LX1A), Black</t>
  </si>
  <si>
    <t>Защитное стекло Flexible Glass Huawei P10 Lite (WAS-L21, WAS-LX1, WAS-LX1A), White</t>
  </si>
  <si>
    <t>Защитное стекло Flexible Glass Samsung A320 Galaxy A3 2017, Black</t>
  </si>
  <si>
    <t>Защитное стекло Flexible Glass Samsung A320 Galaxy A3 2017, White</t>
  </si>
  <si>
    <t>Защитное стекло Flexible Glass Samsung A510 Galaxy A5 2016, Black</t>
  </si>
  <si>
    <t>Защитное стекло Flexible Glass Samsung A510 Galaxy A5 2016, White</t>
  </si>
  <si>
    <t>Защитное стекло Flexible Glass Samsung A520 Galaxy A5 2017, Black</t>
  </si>
  <si>
    <t>Защитное стекло Flexible Glass Samsung A520 Galaxy A5 2017, White</t>
  </si>
  <si>
    <t>Защитное стекло Flexible Glass Samsung J510 Galaxy J5 2016, Black</t>
  </si>
  <si>
    <t>Защитное стекло Flexible Glass Samsung J510 Galaxy J5 2016, White</t>
  </si>
  <si>
    <t>Защитное стекло Flexible Glass Samsung J530 Galaxy J5 2017, Black</t>
  </si>
  <si>
    <t>Защитное стекло Flexible Glass Samsung J530 Galaxy J5 2017, White</t>
  </si>
  <si>
    <t>Защитное стекло Flexible Glass Xiaomi Mi A1, Mi5x, Black</t>
  </si>
  <si>
    <t>Защитное стекло Flexible Glass Xiaomi Mi A1, Mi5x, White</t>
  </si>
  <si>
    <t>Защитное стекло Flexible Glass Xiaomi Mi Note 3, Black</t>
  </si>
  <si>
    <t>Защитное стекло Flexible Glass Xiaomi Mi Note 3, White</t>
  </si>
  <si>
    <t>Защитное стекло Flexible Glass Xiaomi Redmi 4x, Black</t>
  </si>
  <si>
    <t>Защитное стекло Flexible Glass Xiaomi Redmi 4x, White</t>
  </si>
  <si>
    <t>Защитное стекло Flexible Glass Xiaomi Redmi 5, Black</t>
  </si>
  <si>
    <t>Защитное стекло Flexible Glass Xiaomi Redmi 5, White</t>
  </si>
  <si>
    <t>Защитное стекло Flexible Glass Xiaomi Redmi Note 4x, Black</t>
  </si>
  <si>
    <t>Защитное стекло Flexible Glass Xiaomi Redmi Note 4x, White</t>
  </si>
  <si>
    <t>Пленка гидрогелевая</t>
  </si>
  <si>
    <t>Гидрогелевая пленка Apple iPhone 11, iPhone XR, Sunshine SS-057, глянец</t>
  </si>
  <si>
    <t>Гидрогелевая пленка Apple iPhone 13 Pro Max, Sunshine SS-057, глянец</t>
  </si>
  <si>
    <t>Гидрогелевая пленка Apple iPhone 13, iPhone 13 Pro, Sunshine SS-057, глянец</t>
  </si>
  <si>
    <t>Гидрогелевая пленка Apple iPhone X, iPhone XS, Sunshine SS-057, глянец</t>
  </si>
  <si>
    <t>Гидрогелевая пленка HD Clear TPU, 180mm*120mm, ( упаковка 50 шт.)</t>
  </si>
  <si>
    <t>Гидрогелевая пленка Nova 8i (NEN-LX1, NEN-L22), Honor 50 Lite, Honor X20 (NTN-L22), Sunshine SS-057E, матовая</t>
  </si>
  <si>
    <t>Гидрогелевая пленка Premium HD Clear, 180mm*120mm, ( упаковка 50 шт.), Korea</t>
  </si>
  <si>
    <t>Гидрогелевая пленка Premium HD Privacy (Анти-Шпион), 180mm*120mm, ( упаковка 50 шт.), Korea</t>
  </si>
  <si>
    <t>Гидрогелевая пленка Samsung A125 Galaxy A12, A022 Galaxy A02, A326 Galaxy A32 5G, M127 Galaxy M12, M022 Galaxy M02, Sunshine SS-057, глянец</t>
  </si>
  <si>
    <t>Гидрогелевая пленка Samsung N975 Galaxy Note 10 Plus, Sunshine SS-057</t>
  </si>
  <si>
    <t>Гидрогелевая пленка Sunshine SS-057, 180mm*120mm, ( упаковка 50 шт.), Korea</t>
  </si>
  <si>
    <t>Гидрогелевая пленка Sunshine SS-057B, антибликовая, 180mm*120mm, ( упаковка 50 шт.), Korea</t>
  </si>
  <si>
    <t>Гидрогелевая пленка Sunshine SS-057E, матовая, 180mm*120mm, ( упаковка 50 шт.), Korea</t>
  </si>
  <si>
    <t>Гидрогелевая пленка Sunshine SS-057P, 300mm*200mm, ( упаковка 10 шт.), Korea</t>
  </si>
  <si>
    <t>Гидрогелевая пленка Sunshine SS-057R, для закругленных экранов (Edge), 180mm*120mm, ( упаковка 50 шт.), Korea</t>
  </si>
  <si>
    <t>Гидрогелевая пленка Sunshine SS-075, 180mm*120mm, ( упаковка 50 шт.), China</t>
  </si>
  <si>
    <t>Гидрогелевая пленка Tecno Spark 6 Go (KE5), Sunshine SS-057, глянец</t>
  </si>
  <si>
    <t>Гидрогелевая пленка Tecno Spark 6 Go (KE5), Sunshine SS-057E, матовая</t>
  </si>
  <si>
    <t>Гидрогелевая пленка Tecno Spark 7 (KF6n), Sunshine SS-057E, матовая</t>
  </si>
  <si>
    <t>Гидрогелевая пленка Xiaomi Redmi 9a, Redmi 9c, Sunshine SS-057, глянец</t>
  </si>
  <si>
    <t>Универсальная гидрогелевая пленка для телефона</t>
  </si>
  <si>
    <t>Пленка защитная полимерная Anti-Microbial</t>
  </si>
  <si>
    <t>Пленка защитная полимерная Anti-Microbial для Apple iPhone 12, iPhone 12 Pro</t>
  </si>
  <si>
    <t>Пленка защитная полимерная Anti-Microbial для Huawei Mate 40</t>
  </si>
  <si>
    <t>Пленка защитная полимерная Anti-Microbial для Huawei P30 Pro</t>
  </si>
  <si>
    <t>Пленка защитная полимерная Anti-Microbial для Huawei P40 Pro</t>
  </si>
  <si>
    <t>Пленка защитная полимерная Anti-Microbial для Huawei P40 Pro Plus</t>
  </si>
  <si>
    <t>Пленка защитная полимерная Anti-Microbial для OnePlus 8</t>
  </si>
  <si>
    <t>Пленка защитная полимерная Anti-Microbial для Oppo Reno 4 Pro</t>
  </si>
  <si>
    <t>Пленка защитная полимерная Anti-Microbial для Samsung G950 Galaxy S8</t>
  </si>
  <si>
    <t>Пленка защитная полимерная Anti-Microbial для Samsung G955 Galaxy S8 Plus</t>
  </si>
  <si>
    <t>Пленка защитная полимерная Anti-Microbial для Samsung G960 Galaxy S9</t>
  </si>
  <si>
    <t>Пленка защитная полимерная Anti-Microbial для Samsung G965 Galaxy S9 Plus</t>
  </si>
  <si>
    <t>Пленка защитная полимерная Anti-Microbial для Samsung G973 Galaxy S10</t>
  </si>
  <si>
    <t>Пленка защитная полимерная Anti-Microbial для Samsung G975 Galaxy S10 Plus</t>
  </si>
  <si>
    <t>Пленка защитная полимерная Anti-Microbial для Samsung G980 Galaxy S20</t>
  </si>
  <si>
    <t>Пленка защитная полимерная Anti-Microbial для Samsung G985 Galaxy S20 Plus</t>
  </si>
  <si>
    <t>Пленка защитная полимерная Anti-Microbial для Samsung G988 Galaxy S20 Ultra</t>
  </si>
  <si>
    <t>Пленка защитная полимерная Anti-Microbial для Samsung G991 Galaxy S21</t>
  </si>
  <si>
    <t>Пленка защитная полимерная Anti-Microbial для Samsung G996 Galaxy S21 Plus</t>
  </si>
  <si>
    <t>Пленка защитная полимерная Anti-Microbial для Samsung G998 Galaxy S21 Ultra</t>
  </si>
  <si>
    <t>Пленка защитная полимерная Anti-Microbial для Samsung N950 Galaxy Note 8</t>
  </si>
  <si>
    <t>Пленка защитная полимерная Anti-Microbial для Samsung N960 Galaxy Note 9</t>
  </si>
  <si>
    <t>Пленка защитная полимерная Anti-Microbial для Samsung N970 Galaxy Note 10</t>
  </si>
  <si>
    <t>Пленка защитная полимерная Anti-Microbial для Samsung N975 Galaxy Note 10 Plus</t>
  </si>
  <si>
    <t>Пленка защитная полимерная Anti-Microbial для Samsung N980 Galaxy Note 20</t>
  </si>
  <si>
    <t>Пленка защитная полимерная Anti-Microbial для Samsung N985 Galaxy Note 20 Ultra</t>
  </si>
  <si>
    <t>Пленка защитная полимерная Anti-Microbial для Xiaomi Mi 10</t>
  </si>
  <si>
    <t>Пленка защитная полимерная Anti-Microbial для Xiaomi Mi 10 Pro</t>
  </si>
  <si>
    <t>Пленка защитная полимерная Anti-Microbial для Xiaomi Mi 11</t>
  </si>
  <si>
    <t>Пленка защитная полимерная Anti-Microbial для Xiaomi Mi 11 Pro</t>
  </si>
  <si>
    <t>Пленка защитная полимерная Anti-Microbial для Xiaomi Mi 11 Ultra</t>
  </si>
  <si>
    <t>Кабели зарядки и переходники</t>
  </si>
  <si>
    <t>Кабель Apple Lightning to USB для iPhone, iPad, 1m, MD818ZM/A, Original PRC</t>
  </si>
  <si>
    <t>Кабель Apple Lightning to USB для iPhone, iPad, 2m, MD819ZM/A, Original PRC</t>
  </si>
  <si>
    <t>Кабель Apple USB-C to Lightning для iPhone, iPad, 1m, MQGJ2ZM/A, (без упаковки), Original PRC</t>
  </si>
  <si>
    <t>Кабель Apple USB-C to Lightning для iPhone, iPad, 1m, MQGJ2ZM/A, Original PRC</t>
  </si>
  <si>
    <t>Кабель Apple USB-C to Lightning для iPhone, iPad, 2m, MKQ42ZM/A, (без упаковки), Original PRC</t>
  </si>
  <si>
    <t>Кабель Apple USB-C to Lightning для iPhone, iPad, 2m, MKQ42ZM/A, Original PRC</t>
  </si>
  <si>
    <t>Переходник для наушников Lightning to 3.5 Jack, MMX62ZM/A, Original</t>
  </si>
  <si>
    <t>Baseus</t>
  </si>
  <si>
    <t>Кабель Baseus Cafule Cable Special Edition (CALKLF-G91), USB to Lightning, 2.4A, 1m, Red</t>
  </si>
  <si>
    <t>Кабель Baseus Cafule Cable Special Edition (CALKLF-GG1), USB to Lightning, 2.4A, 1m, Black</t>
  </si>
  <si>
    <t>Кабель Baseus Cafule Flash Charging (CATKLF-ALG1), Type-C to Type-C, 100W, 5A, PD 2.0, QC 3.0, 2m</t>
  </si>
  <si>
    <t>Кабель Baseus Green U-Shaped Lamp Mobile Game (CALUX-B01), USB to Lightning, 1.5A, 2m, Black</t>
  </si>
  <si>
    <t>Кабель Baseus High Definition Series (WKGQ010001), Type-C to HDMI, 4K 60Hz, 1m, Black</t>
  </si>
  <si>
    <t>Кабель Baseus High Definition Series (WKGQ020001), HDMI to HDMI, 4K 60Hz, 1m, Black</t>
  </si>
  <si>
    <t>Кабель Baseus High Definition Series (WKGQ020201), HDMI to HDMI, 4K 60Hz, 2m, Black</t>
  </si>
  <si>
    <t>Кабель Baseus High Definition Series (WKGQ020401), HDMI to HDMI, 4K 60Hz, 5m, Black</t>
  </si>
  <si>
    <t>Кабель Baseus Iridescent Lamp Mobile Game (CAT7C-B01), USB to Type-C, 40W, 4A, 1m</t>
  </si>
  <si>
    <t>Кабель Baseus Sharp-Bird Mobile Game (CALMVP-D01), USB to Lightning, 2.4A, 1m, Black</t>
  </si>
  <si>
    <t>Кабель Baseus Sharp-Bird Mobile Game (CATMVP-D01), USB to Type-C, 3A, 1m</t>
  </si>
  <si>
    <t>Кабель Baseus Superior Series Fast Charging Cable (CALYS-02), USB to Lightning, 2.4A, 0.25m, White</t>
  </si>
  <si>
    <t>Кабель Baseus Superior Series Fast Charging Data (CALYS-A02), USB to Lightning, 2.4A, 1m, White</t>
  </si>
  <si>
    <t>Кабель Baseus Superior Series Fast Charging Data (CATLYS-02), Type-C to Lightning, 20W, 0.25m, White</t>
  </si>
  <si>
    <t>Кабель Baseus Superior Series Fast Charging Data (CATLYS-A02), Type-C to Lightning, 20W, 1m, White</t>
  </si>
  <si>
    <t>Кабель Baseus Superior Series Fast Charging Data Cable (CAMYS-01), USB to Micro USB, 2A, 1m, Black</t>
  </si>
  <si>
    <t>Кабель Baseus Superior Series Fast Charging Data Cable (CATYS-02), USB to Type-C, 66W, 1m, White</t>
  </si>
  <si>
    <t>Кабель Baseus Tough Series Cable (CAMZY-B01), USB to Micro USB, 2A, 1m, Black</t>
  </si>
  <si>
    <t>Кабель Baseus Twins 2 in 1 Cable (CATLYW-H01), Type-C to Type-C 60W, Type-C to Lighting 20W, 1m, Black</t>
  </si>
  <si>
    <t>Кабель Moxom MX-CB52, 2.4A, 1m, Lightning</t>
  </si>
  <si>
    <t>Кабель Moxom MX-CB52, 2.4A, 1m, Micro USB</t>
  </si>
  <si>
    <t>Кабель Moxom MX-CB52, 2.4A, 1m, Type-C</t>
  </si>
  <si>
    <t>Кабель Moxom MX-CB72, LED индикация заряда, 1m, Lightning</t>
  </si>
  <si>
    <t>Кабель Moxom MX-CB72, LED индикация заряда, 1m, Micro USB</t>
  </si>
  <si>
    <t>Кабель Moxom MX-CB72, LED индикация заряда, 1m, Type-C</t>
  </si>
  <si>
    <t>Кабель Moxom MX-CB73, LED индикация заряда, 1m, Lightning</t>
  </si>
  <si>
    <t>Кабель Moxom MX-CB73, LED индикация заряда, 1m, Micro USB</t>
  </si>
  <si>
    <t>Кабель Moxom MX-CB73, LED индикация заряда, 1m, Type-C</t>
  </si>
  <si>
    <t>Кабель Moxom MX-CB75, 3A, 1m, Lightning</t>
  </si>
  <si>
    <t>Кабель Moxom MX-CB75, 3A, 1m, Micro USB</t>
  </si>
  <si>
    <t>Кабель Moxom MX-CB75, 3A, 1m, Type-C</t>
  </si>
  <si>
    <t>Кабель Moxom MX-CB77, Power Delivery 3.0 - 20W, 1m, Type-C to Lightning</t>
  </si>
  <si>
    <t>Переходник разветвитель Moxom MX-AX18 Lightning to 2 Lightning</t>
  </si>
  <si>
    <t>Повербанки, Универсальные Мобильные Батареи (УМБ)</t>
  </si>
  <si>
    <t>Повербанк (УМБ) Baseus Adaman Metal Quick Charge (PPAD000001), 10000 mAh, 22.5W, 3A, 2USB + Type-C + Lighting + Micro-USB, Black</t>
  </si>
  <si>
    <t>Повербанк (УМБ) Baseus Adaman Metal Quick Charge (PPAD000101), 20000 mAh, 22.5W, 3A, 2USB + Type-C + Lighting + Micro-USB, Black</t>
  </si>
  <si>
    <t>Повербанк (УМБ) Baseus AirPow (PPAP20K), 20000 mAh, 20W, White</t>
  </si>
  <si>
    <t>Повербанк (УМБ) Baseus Amblight Digital Display Quick Charge (PPLG-A01), 30000 mAh, 65W, ( в комплекте - кабель Type-C - Type-C ), Black</t>
  </si>
  <si>
    <t>Повербанк (УМБ) Baseus Amblight Digital Display Quick Charge (PPLG-A02), 30000 mAh, 65W, ( в комплекте - кабель Type-C - Type-C ), White</t>
  </si>
  <si>
    <t>Повербанк (УМБ) Baseus Bipow Digital Display (PPBD020301), 20000 mAh, 25W, 3A, 2USB + Type-C, Black</t>
  </si>
  <si>
    <t>Повербанк (УМБ) Baseus Bipow Digital Display (PPDML-I02), 10000 mAh, 15W, 3A, 2USB + Type-C, White</t>
  </si>
  <si>
    <t>Повербанк (УМБ) Baseus Bipow Digital Display (PPDML-J02), 20000 mAh, 15W, 3A, 2USB + Type-C, White</t>
  </si>
  <si>
    <t>Повербанк (УМБ) Baseus Bipow Digital Display (PPDML-K01), 30000 mAh, 15W, 3A, 2USB + Type-C, Black</t>
  </si>
  <si>
    <t>Повербанк (УМБ) Baseus Bipow Digital Display (PPDML-K02), 30000 mAh, 15W, 3A, 2USB + Type-C, White</t>
  </si>
  <si>
    <t>Повербанк (УМБ) Baseus Bipow Digital Display (PPDML-M01), 20000 mAh, 20W, 3A, 2USB + Type-C, Black</t>
  </si>
  <si>
    <t>Повербанк (УМБ) Baseus Bipow Digital Display (PPDML-M02), 20000 mAh, 20W, 3A, 2USB + Type-C, White</t>
  </si>
  <si>
    <t>Повербанк (УМБ) Baseus Bipow Digital Display (PPDML-N01), 30000 mAh, 20W, 3A, 2USB + Type-C, Black</t>
  </si>
  <si>
    <t>Повербанк (УМБ) Baseus Magnetic Wireless Fast Charging (PPCX010102), 10000 mAh, 20W, 2.4A, 1USB + Type-C, White</t>
  </si>
  <si>
    <t>Повербанк (УМБ) Baseus Magnetic Wireless Fast Charging (PPCX010103), 10000 mAh, 20W, 2.4A, 1USB + Type-C, Blue</t>
  </si>
  <si>
    <t>Повербанк (УМБ) Baseus Magnetic Wireless Fast Charging (PPCX010105), 10000 mAh, 20W, 2.4A, 1USB + Type-C, Purple</t>
  </si>
  <si>
    <t>Повербанк (УМБ) Baseus Mini JA Fast charge (PPJAN-C01), 30000 mAh, 15W, 3A, 2USB + Type-C, Black</t>
  </si>
  <si>
    <t>Повербанк (УМБ) Baseus Star-Lord Digital Display (PPXJ060001), 20000 mAh, 22.5W, 3A, 2USB + Type-C, Black</t>
  </si>
  <si>
    <t>XO</t>
  </si>
  <si>
    <t>Повербанк (УМБ) XO PB302, 20000 mAh, 2USB + Type-C + Micro, Black</t>
  </si>
  <si>
    <t>Повербанк (УМБ) XO PR122, 20000 mAh, 2USB + Type-C, Black</t>
  </si>
  <si>
    <t>Повербанк (УМБ) XO PR123, 30000 mAh, 4USB + Type-C, Quick Charge, Power Delivery, 22.5W, с фонариком, Black</t>
  </si>
  <si>
    <t>Повербанк (УМБ) XO PR124, 40000 mAh, 4USB + Type-C, с фонариком, Black</t>
  </si>
  <si>
    <t>Повербанк (УМБ) XO PR125, 50000 mAh, 4USB + Type-C, 185 Wh, с фонариком, Black</t>
  </si>
  <si>
    <t>Повербанк (УМБ) XO PR127, 20000 mAh, 2USB + Type-C, Quick Charge, Power Delivery, 22.5W, Black</t>
  </si>
  <si>
    <t>Повербанк (УМБ) XO PR127, 20000 mAh, 2USB + Type-C, Quick Charge, Power Delivery, 22.5W, White</t>
  </si>
  <si>
    <t>Повербанк (УМБ) XO PR129, 20000 mAh, 2USB + Type-C, Quick Charge, Power Delivery, 22.5W, с фонариком, Black</t>
  </si>
  <si>
    <t>Повербанк (УМБ) XO PR129, 20000 mAh, 2USB + Type-C, Quick Charge, Power Delivery, 22.5W, с фонариком, White</t>
  </si>
  <si>
    <t>Повербанк (УМБ) XO PR130, 40000 mAh, 2USB + Type-C, Quick Charge, Power Delivery, 22.5W, с фонариком, Black</t>
  </si>
  <si>
    <t>Повербанк (УМБ) XO PR142, 30000 mAh, 2USB, Type-C, Micro USB, с фонариком, (с кабелями Type-C, Micro USB, Lighting), Black</t>
  </si>
  <si>
    <t>Повербанк (УМБ) XO PR143, 10000 mAh, USB + Type-C, PD 20W, QC 3.0 22.5W, White</t>
  </si>
  <si>
    <t>Повербанк (УМБ) XO PR150, 20000 mAh, USB + Type-C, Quick Charge - 18W, Power Delivery - 20W, Black</t>
  </si>
  <si>
    <t>Повербанк (УМБ) XO PR150, 20000 mAh, USB + Type-C, Quick Charge - 18W, Power Delivery - 20W, White</t>
  </si>
  <si>
    <t>Повербанк (УМБ) XO PR151, 2 шт. по 10000 mAh, зарядная станция, USB + Type-C, White</t>
  </si>
  <si>
    <t>Повербанк (УМБ) XO PR156, 30000 mAh, 3USB + Type-C + Lighting, Quick Charge, Power Delivery, 22.5W, Black</t>
  </si>
  <si>
    <t>Повербанк (УМБ) XO PR163, 20000 mAh, 2USB, Type-C, Micro USB, с фонариком, (с кабелями Type-C, Micro USB, Lighting), Black</t>
  </si>
  <si>
    <t>Повербанк (УМБ) XO PR163, 20000 mAh, 2USB, Type-C, Micro USB, с фонариком, (с кабелями Type-C, Micro USB, Lighting), White</t>
  </si>
  <si>
    <t>Повербанк (УМБ) XO PR164, 30000 mAh, 2USB, Type-C, Micro USB, с фонариком, (с кабелями Type-C, Micro USB, Lighting), Black</t>
  </si>
  <si>
    <t>Повербанк (УМБ) XO PR164, 30000 mAh, 2USB, Type-C, Micro USB, с фонариком, (с кабелями Type-C, Micro USB, Lighting), White</t>
  </si>
  <si>
    <t>Повербанк (УМБ) XO PR183, 20000 mAh, 2USB + Type-C, Black</t>
  </si>
  <si>
    <t>Повербанк (УМБ) XO PR183, 20000 mAh, 2USB + Type-C, White</t>
  </si>
  <si>
    <t>Повербанк (УМБ) XO PR185, 20000 mAh, 2USB + Type-C, Quick Charge, 22.5W, (с кабелями Type-C, Lighting) Black</t>
  </si>
  <si>
    <t>Сетевые зарядные устройства</t>
  </si>
  <si>
    <t>Сетевое зарядное устройство Apple USB-C Power Adapter 20W A2347 (MHJ83ZM/A), Original PRC</t>
  </si>
  <si>
    <t>Сетевое зарядное устройство Baseus Compact Charger (CCXJ010201), 10.5W, 2xUSB-A, Black</t>
  </si>
  <si>
    <t>Сетевое зарядное устройство Baseus Compact Charger (CCXJ010202), 10.5W, 2xUSB-A, White</t>
  </si>
  <si>
    <t>Сетевое зарядное устройство Baseus Compact Charger (CCXJ020101), 17W, 3xUSB-A, Black</t>
  </si>
  <si>
    <t>Сетевое зарядное устройство Baseus Compact Charger (CCXJ020102), 17W, 3xUSB-A, White</t>
  </si>
  <si>
    <t>Сетевое зарядное устройство Baseus Compact Quick Charger (CCXJ-B01), 20W, 1xUSB-A + 1xType-C, Black</t>
  </si>
  <si>
    <t>Сетевое зарядное устройство Baseus Compact Quick Charger (CCXJ-B02), 20W, 1xUSB-A + 1xType-C, White</t>
  </si>
  <si>
    <t>Сетевое зарядное устройство Baseus Fast Charger (CCXJ-E01), 30W, 2xUSB-A + 1xType-C, Black</t>
  </si>
  <si>
    <t>Сетевое зарядное устройство Baseus Fast Charger (CCXJ-E02), 30W, 2xUSB-A + 1xType-C, White</t>
  </si>
  <si>
    <t>Сетевое зарядное устройство Baseus GaN2 Lite Quick Charger (CCGAN2L-B01), 65W, Type-C, USB, Black</t>
  </si>
  <si>
    <t>Сетевое зарядное устройство Baseus GaN2 Lite Quick Charger (CCGAN2L-B02), 65W, Type-C, USB, White</t>
  </si>
  <si>
    <t>Сетевое зарядное устройство Baseus GaN2 Pro Quick Charger (CCGAN-J01), 120W, ( в комплекте - кабель Type-C ), Blac, для ноутбков MacBook, Asus, Lenovo</t>
  </si>
  <si>
    <t>Сетевое зарядное устройство Baseus GaN2 Pro Quick Charger (CCGAN-J02), 120W, ( в комплекте - кабель Type-C ), White для ноутбков MacBook, Asus, Lenovo</t>
  </si>
  <si>
    <t>Сетевое зарядное устройство Baseus GaN3 Pro Desktop Fast Charger (CCGP000101), 100W, 2xUSB-A + 2xType-C, Black</t>
  </si>
  <si>
    <t>Сетевое зарядное устройство Baseus GaN5 Pro Fast Charger (CCGP090201), 100W, (в комплекте - кабель Type-C x Type-C 100W, 20V/5A), для MacBook, Black</t>
  </si>
  <si>
    <t>Сетевое зарядное устройство Baseus GaN5 Pro Fast Charger (CCGP090202), 100W, (в комплекте - кабель Type-C x Type-C 100W, 20V/5A), для MacBook, White</t>
  </si>
  <si>
    <t>Сетевое зарядное устройство Baseus GaN5 Pro Fast Charger (CCGP100201), 140W, (в комплекте - кабель Type-C x Type-C 240W, 48V/5A), для MacBook, Black</t>
  </si>
  <si>
    <t>Сетевое зарядное устройство Baseus GaN5 Pro Fast Charger (CCGP100202), 140W, (в комплекте - кабель Type-C x Type-C 240W, 48V/5A), для MacBook, White</t>
  </si>
  <si>
    <t>Сетевое зарядное устройство Baseus GaN5 Pro Fast Charger (CCGP120201), 65W, 1xUSB-A + 2xType-C, ( в комплекте - кабель Type-C - Type-C ), Black</t>
  </si>
  <si>
    <t>Сетевое зарядное устройство Baseus GaN5 Pro Fast Charger (CCGP120202), 65W, 1xUSB-A + 2xType-C, ( в комплекте - кабель Type-C - Type-C ), White</t>
  </si>
  <si>
    <t>Сетевое зарядное устройство Baseus Mini Dual-U Charger (CCALL-MN02), 2.1A, 10.5W, 2 USB, White</t>
  </si>
  <si>
    <t>Сетевое зарядное устройство Baseus Speed Dual QC3.0 Quick charger (CCFS-E01), 30W, 2 USB, Black</t>
  </si>
  <si>
    <t>Сетевое зарядное устройство Baseus Super Si Quick Charger (CCSP020101), 25W, 1xType-C, Black</t>
  </si>
  <si>
    <t>Сетевое зарядное устройство Baseus Super Si Quick Charger (CCSUP-B01), 20W, Type-C, Black</t>
  </si>
  <si>
    <t>Сетевое зарядное устройство Moxom KH-31Y, QC 3.0, ( в комплекте - кабель Lightning )</t>
  </si>
  <si>
    <t>Сетевое зарядное устройство Moxom KH-31Y, QC 3.0, ( в комплекте - кабель Micro USB )</t>
  </si>
  <si>
    <t>Сетевое зарядное устройство Moxom KH-31Y, QC 3.0, ( в комплекте - кабель Type-C )</t>
  </si>
  <si>
    <t>Сетевое зарядное устройство Moxom KH-67Y, Lightning, QC 3.0, ( в комплекте - кабель Lightning )</t>
  </si>
  <si>
    <t>Сетевое зарядное устройство Moxom KH-67Y, Micro USB, QC 3.0, ( в комплекте - кабель Micro USB )</t>
  </si>
  <si>
    <t>Сетевое зарядное устройство Moxom KH-67Y, Type-C, QC 3.0, ( в комплекте - кабель Type-C )</t>
  </si>
  <si>
    <t>Сетевое зарядное устройство Moxom MX-HC12, Lightning, QC 3.0, 2USB, ( в комплекте - кабель Lightning )</t>
  </si>
  <si>
    <t>Сетевое зарядное устройство Moxom MX-HC12, Micro USB, QC 3.0, 2USB, ( в комплекте - кабель Micro USB )</t>
  </si>
  <si>
    <t>Сетевое зарядное устройство Moxom MX-HC12, Type-C, QC 3.0, 2USB, ( в комплекте - кабель Type-C )</t>
  </si>
  <si>
    <t>Сетевое зарядное устройство Moxom MX-HC22, Lightning, 2USB, ( в комплекте - кабель Lightning )</t>
  </si>
  <si>
    <t>Сетевое зарядное устройство Moxom MX-HC22, Micro USB, 2USB, ( в комплекте - кабель Micro USB )</t>
  </si>
  <si>
    <t>Сетевое зарядное устройство Moxom MX-HC22, Type-C, 2USB, ( в комплекте - кабель Type-C )</t>
  </si>
  <si>
    <t>Сетевое зарядное устройство Moxom MX-HC27, QC 3.0 - 22.5W, Power Delivery 3.0 - 18W</t>
  </si>
  <si>
    <t>Сетевое зарядное устройство Moxom MX-HC29, QC 3.0 - 22.5W, Power Delivery 3.0 - 45W</t>
  </si>
  <si>
    <t>Альтернативная енергетика</t>
  </si>
  <si>
    <t>Аккумуляторная лампа</t>
  </si>
  <si>
    <t>USB Лампа XO-Y1, 5V, белый свет</t>
  </si>
  <si>
    <t>Лампа светодиодная XO-YH04, с аккумулятором 18650 на 1200 mAh, micro USB</t>
  </si>
  <si>
    <t>Аккумуляторные системы LiFePo4</t>
  </si>
  <si>
    <t>Аккумуляторная батарея SCRA-R-51.2-100, 5120Wh, EVE, 100Ah, LiFePO4</t>
  </si>
  <si>
    <t>Аккумуляторная система настенного монтажа Athena A ECO SCAE-A-51.2-200, 10 kWh, 200Ah, LiFePO4</t>
  </si>
  <si>
    <t>Аккумуляторная система настенного монтажа Athena A SCAE-A-51.2-100, 5.12 kWh, 100Ah, LiFePO4</t>
  </si>
  <si>
    <t>Аккумуляторы гелевые</t>
  </si>
  <si>
    <t>Аккумулятор AGM Monbat 12MVR100, 12V, 100Ah</t>
  </si>
  <si>
    <t>Аккумулятор AGM Monbat 12MVR200, 12V, 190Ah</t>
  </si>
  <si>
    <t>Аккумулятор AGM Monbat 12UPM3500, 12V, 100Ah</t>
  </si>
  <si>
    <t>Аккумулятор гелевый (GEL) Sunpal, 100 Ah, 12 V, дата производства: 2023</t>
  </si>
  <si>
    <t>Аккумулятор гелевый (GEL) Sunpal, 150 Ah, 12 V, год производства: 8/2023</t>
  </si>
  <si>
    <t>Аккумулятор гелевый (GEL) Sunpal, 200 Ah, 12 V, год производства: 2023</t>
  </si>
  <si>
    <t>Аккумулятор гелевый (GEL) Sunpal, 250 Ah, 12 V, год производства: 2023</t>
  </si>
  <si>
    <t>Высокотоковые системы накопления</t>
  </si>
  <si>
    <t>Высокотоковая система накопления Perfect solar, SNE204.8BL-2LFP, LiFePO4, 26.624 kWh 204.8V, 130Ah</t>
  </si>
  <si>
    <t>Высокотоковая система накопления Perfect solar, SNE2048LFP, LiFePO4, 20.48kWh, 409.6V, 50Ah</t>
  </si>
  <si>
    <t>Высокотоковая система накопления Perfect solar, SNE307.2BL-3LFP, LiFePO4, 39.932 kWh, 409.6V, 130Ah</t>
  </si>
  <si>
    <t>Портативные зарядные станции</t>
  </si>
  <si>
    <t>Дополнительная батарея к зарядной станции Souop S2-Bat, LiFePO4, 2048 Wh</t>
  </si>
  <si>
    <t>Зарядная станция K2400, 2400W, LiFePO4, 675000 mAh / 2160 Wh</t>
  </si>
  <si>
    <t>Зарядная станция Souop  SP-UPP-1200, 1200W, LiFePO4, 310000 mAh / 992 Wh</t>
  </si>
  <si>
    <t>Зарядная станция Souop S2-2500, 2500W, LiFePO4, 2048 Wh</t>
  </si>
  <si>
    <t>Зарядная станция Souop S3-3600, 3600W, LiFePO4, 3072 Wh</t>
  </si>
  <si>
    <t>Зарядная станция Souop SP-UPP-1800, 1800W, LiFePO4, 465000 mAh / 1488 Wh</t>
  </si>
  <si>
    <t>Зарядная станция Souop SP-UPP-2400, 2400W, LiFePO4, 697500 mAh / 2232 Wh</t>
  </si>
  <si>
    <t>Зарядная станция Souop SP-UPP-600, 600W, LiFePO4, 186000 mAh / 595 Wh</t>
  </si>
  <si>
    <t>Портативная зарядная станция XO PSA-1000, 210000 mAh / 756Wh, Li-ion</t>
  </si>
  <si>
    <t>Портативная зарядная станция XO PSA-1200, 1229 Wh, Li-ion</t>
  </si>
  <si>
    <t>Портативная зарядная станция XO PSA-1200Q, 1080 Wh, Li-ion</t>
  </si>
  <si>
    <t>Портативная зарядная станция XO PSA-700, 614 Wh, Li-ion</t>
  </si>
  <si>
    <t>Солнечная панель PV-220, портативная, 220W, 19.8V</t>
  </si>
  <si>
    <t>Солнечная панель портативная, 200W, 39V / 5.12A (Max), XT60 + MC4</t>
  </si>
  <si>
    <t>Солнечная панель портативная, 400W, 39V / 10.25A (Max), XT60 + MC4</t>
  </si>
  <si>
    <t>Расходные материалы</t>
  </si>
  <si>
    <t>Кабель для солнечных панелей H1Z2Z2-K, 1х4, красный</t>
  </si>
  <si>
    <t>Кабель для солнечных панелей H1Z2Z2-K, 1х4, черный</t>
  </si>
  <si>
    <t>Кабель для солнечных панелей H1Z2Z2-K, 1х6, красный</t>
  </si>
  <si>
    <t>Кабель для солнечных панелей H1Z2Z2-K, 1х6, черный</t>
  </si>
  <si>
    <t>Медный коннектор MC4 для солнечных панелей, Male/Female, закрытые клеммы, для проводов сечением 2,5/4,0/6,0/10,0 мм2</t>
  </si>
  <si>
    <t>Медный коннектор MC4 для солнечных панелей, Male/Female, открытые клеммы, для проводов сечением 2,5-6,0 мм2</t>
  </si>
  <si>
    <t>Разъем коннектор Anderson, 120A, 4AWG/21.1mm, серый</t>
  </si>
  <si>
    <t>Разъем коннектор Anderson, 175A, 1AWG/53.5mm, серый</t>
  </si>
  <si>
    <t>Разъем коннектор Anderson, 350A, 1AWG/53.5mm, серый</t>
  </si>
  <si>
    <t>Разъем коннектор Anderson, 50A, 6AWG/13.3mm, серый</t>
  </si>
  <si>
    <t>Системы накопления</t>
  </si>
  <si>
    <t>Система накопления энергии APOLLO A, SCAP-A-51.2-200 (5KW Инвертор + Аккумулятор LiFePO4 200Ah, 51.2V, 10 kWh)</t>
  </si>
  <si>
    <t>Система накопления энергии APOLLO A, SCAP-A-51.2-300 (5KW Инвертор + Аккумулятор LiFePO4 300Ah, 51.2V, 15 kWh)</t>
  </si>
  <si>
    <t>Система накопления энергии APOLLO A, SCAP-A-51.2-400 (5KW Инвертор + Аккумулятор LiFePO4 400Ah, 51.2V, 20 kWh)</t>
  </si>
  <si>
    <t>Система накопления энергии APOLLO A, SCAP-A-51.2-500 (5KW Инвертор + Аккумулятор LiFePO4 500Ah, 51.2V, 25 kWh)</t>
  </si>
  <si>
    <t>Система накопления энергии APOLLO C, SCAP-C-51.2-300 (10KW Инвертор + Аккумулятор LiFePO4 300Ah, 51.2V, 15 kWh)</t>
  </si>
  <si>
    <t>Система накопления энергии APOLLO C, SCAP-C-51.2-600 (10KW Инвертор + Аккумулятор LiFePO4 600Ah, 51.2V, 30 kWh)</t>
  </si>
  <si>
    <t>Солнечные инверторы</t>
  </si>
  <si>
    <t>Инвертор гибридный Deye SUN-8K-SG01LP1-EU, 8 kW</t>
  </si>
  <si>
    <t>Инвертор солнечный, гибридный, с чистой синусоидой, 1000 W, 12V - 220V</t>
  </si>
  <si>
    <t>Инвертор солнечный, гибридный, с чистой синусоидой, 3000 W, 24V - 220V</t>
  </si>
  <si>
    <t>Инвертор солнечный, гибридный, с чистой синусоидой, MUST PV18-3224 VPM II, 24V, 3200W</t>
  </si>
  <si>
    <t>Инвертор солнечный, гибридный, с чистой синусоидой, MUST PV18-5248PRO, 48V, 5200W</t>
  </si>
  <si>
    <t>Инвертор солнечный, гибридный, с чистой синусоидой, MUST PV19-6048 EXP, с Wi-Fi модулем, 48V, 6000W</t>
  </si>
  <si>
    <t>Инвертор солнечный, гибридный, с чистой синусоидой, Solis S6-EH1P6K-L-PLUS, 6 kW</t>
  </si>
  <si>
    <t>Инвертор солнечный, гибридный, с чистой синусоидой, Solis S6-EH1P8K-L-PLUS, 8 kW</t>
  </si>
  <si>
    <t>Инвертор солнечный, гибридный, с чистой синусоидой, Solis S6-EH3P10K02-NV-YD-L, 10 kW</t>
  </si>
  <si>
    <t>Инвертор солнечный, гибридный, с чистой синусоидой, Solis S6-EH3P10K2-H, 10 kW</t>
  </si>
  <si>
    <t>Инвертор солнечный, гибридный, с чистой синусоидой, Solis S6-EH3P12K02-NV-YD-L, 12 kW</t>
  </si>
  <si>
    <t>Инвертор солнечный, гибридный, с чистой синусоидой, Solis S6-EH3P15K-H, 15 kW</t>
  </si>
  <si>
    <t>Инвертор солнечный, гибридный, с чистой синусоидой, Solis S6-EH3P20K-H, 20 kW</t>
  </si>
  <si>
    <t>Инвертор солнечный, гибридный, с чистой синусоидой, Solis S6-EH3P30K-H, 30 kW</t>
  </si>
  <si>
    <t>Инвертор солнечный, гибридный, с чистой синусоидой, Solis S6-EH3P40K-H, 40 kW</t>
  </si>
  <si>
    <t>Инвертор солнечный, гибридный, с чистой синусоидой, Solis S6-EH3P50K-H, 50 kW</t>
  </si>
  <si>
    <t>Инвертор солнечный, сетевой, с чистой синусоидой, Solis S5-GC30K, 30 kW</t>
  </si>
  <si>
    <t>Инвертор солнечный, сетевой, с чистой синусоидой, Solis S5-GC50K, 50 kW</t>
  </si>
  <si>
    <t>Модуль Wi-Fi для мониторинга инверторов, Solis S3-WiFi-ST</t>
  </si>
  <si>
    <t>Солнечные панели</t>
  </si>
  <si>
    <t>Солнечная панель монокристалическая APEX-108H-N430-N450M10, Pmax: 450W</t>
  </si>
  <si>
    <t>Солнечная панель монокристалическая APEX-144H-N570-N590M10, Pmax: 590W</t>
  </si>
  <si>
    <t>Ячейки LiFePo4</t>
  </si>
  <si>
    <t>Аккумулятор литий железо фосфатный (LiFePo4), CALB SE200FI, 3.2 V, 200 Ah, 640 Wh</t>
  </si>
  <si>
    <t>Аккумулятор литий железо фосфатный (LiFePo4), CATL, 3.2 V, 125 Ah</t>
  </si>
  <si>
    <t>Аккумулятор литий железо фосфатный (LiFePo4), Eve, 3.2 V, 100 Ah, Original QR, Клас А</t>
  </si>
  <si>
    <t>Аккумулятор литий железо фосфатный (LiFePo4), Eve, 3.2 V, 105 Ah, Original QR, Клас А</t>
  </si>
  <si>
    <t>Аккумулятор литий железо фосфатный (LiFePo4), Eve, 3.2 V, 280 Ah, Original QR, Grade А</t>
  </si>
  <si>
    <t>Аккумулятор литий железо фосфатный (LiFePo4), Lishen, 3.28 V, 150 Ah</t>
  </si>
  <si>
    <t>Аккумулятор литий железо фосфатный (LiFePo4), SCLFP-12.8V-100, 12V, 100Ah</t>
  </si>
  <si>
    <t>Аккумулятор литий железо фосфатный (LiFePo4), SCLFP-12.8V-200, 12V, 200Ah</t>
  </si>
  <si>
    <t>Аккумулятор литий железо фосфатный (LiFePo4), SCLFP-12.8V-300, 12V, 300Ah</t>
  </si>
  <si>
    <t>Все для ремонта дисплеев</t>
  </si>
  <si>
    <t>OCA пленка</t>
  </si>
  <si>
    <t>Apple iPad</t>
  </si>
  <si>
    <t>OCA пленка Apple iPad Air 2, iPad Pro 9.7, 152mm х 200mm, 9.7 inch, 250 um</t>
  </si>
  <si>
    <t>OCA пленка Apple iPad Mini 4, 126mm х 167mm, 7.9 inch, 250 um</t>
  </si>
  <si>
    <t>OCA пленка Apple iPad Pro 10.5, 163mm х 217mm, 10.5 inch, 250 um</t>
  </si>
  <si>
    <t>OCA пленка Apple iPad Pro 12.9, 223mm х 268mm, 12.9 inch, 250 um</t>
  </si>
  <si>
    <t>Huawei</t>
  </si>
  <si>
    <t>OCA пленка Huawei P Smart Z (STK-LX1), 71 mm x 153 mm, 250 um</t>
  </si>
  <si>
    <t>OCA пленка Huawei P Smart Z (STK-LX1), 71 mm x 153 mm, 250 um, (упаковка 50 шт.)</t>
  </si>
  <si>
    <t>iPhone</t>
  </si>
  <si>
    <t>OCA пленка на Apple iPhone 4G для приклеивания стекла</t>
  </si>
  <si>
    <t>OCA пленка на Apple iPhone 6 Plus, 6S Plus, для приклеивания стекла</t>
  </si>
  <si>
    <t>OCA пленка на Apple iPhone 6, 6S для приклеивания стекла</t>
  </si>
  <si>
    <t>OCA пленка на Apple iPhone X, для приклеивания стекла дисплея</t>
  </si>
  <si>
    <t>iWatch</t>
  </si>
  <si>
    <t>OCA пленка Apple Watch 38mm</t>
  </si>
  <si>
    <t>OCA пленка Apple Watch 40mm</t>
  </si>
  <si>
    <t>OCA пленка Apple Watch 42mm</t>
  </si>
  <si>
    <t>OCA пленка Apple Watch 44mm</t>
  </si>
  <si>
    <t>Samsung</t>
  </si>
  <si>
    <t>OCA пленка Samsung A505 Galaxy A50, 150 mm x 70 mm, 250 um</t>
  </si>
  <si>
    <t>OCA пленка Samsung A505 Galaxy A50, 150 mm x 70 mm, 250 um, (упаковка 50 шт.)</t>
  </si>
  <si>
    <t>OCA пленка Samsung A705 Galaxy A70, 158 mm x 73 mm, 250 um</t>
  </si>
  <si>
    <t>OCA пленка Samsung A705 Galaxy A70, 158 mm x 73 mm, 250 um, (упаковка 50 шт.)</t>
  </si>
  <si>
    <t>OCA пленка Samsung G950 Galaxy S8, G960 Galaxy S9, 67mm x 135mm, 250 um</t>
  </si>
  <si>
    <t>OCA пленка Samsung G955 Galaxy S8 Plus, 72mm x 146mm, 250 um</t>
  </si>
  <si>
    <t>OCA пленка Samsung G973 Galaxy S10, 68mm x 143mm, 150 um</t>
  </si>
  <si>
    <t>OCA пленка Samsung G973 Galaxy S10, 68mm x 143mm, 250 um</t>
  </si>
  <si>
    <t>OCA пленка Samsung G975 Galaxy S10 Plus, 73mm x 150mm, 150 um</t>
  </si>
  <si>
    <t>OCA пленка Samsung G975 Galaxy S10 Plus, 73mm x 150mm, 250 um</t>
  </si>
  <si>
    <t>OCA пленка Samsung G980 Galaxy S20, G991 Galaxy S21, 67mm x 147mm, 150 um</t>
  </si>
  <si>
    <t>OCA пленка Samsung G985 Galaxy S20 Plus, 71mm x 152mm, 150 um</t>
  </si>
  <si>
    <t>OCA пленка Samsung G988 Galaxy S20 Ultra, G998 Galaxy S21 Ultra, 73mm x 160mm, 150 um</t>
  </si>
  <si>
    <t>OCA пленка Samsung I9200 Galaxy Mega, 143mm x 80mm, 250 um</t>
  </si>
  <si>
    <t>OCA пленка Samsung N950 Galaxy Note 8, N960 Galaxy Note 9, 73mm x 148mm, 250 um</t>
  </si>
  <si>
    <t>OCA пленка Samsung N970 Galaxy Note 10, 71mm x 146mm, 150 um</t>
  </si>
  <si>
    <t>OCA пленка Samsung N975 Galaxy Note 10 Plus, 71mm x 153mm, 150 um</t>
  </si>
  <si>
    <t>OCA пленка Samsung N980 Galaxy Note 20, 72mm x 157mm, 150 um</t>
  </si>
  <si>
    <t>OCA пленка Samsung N985 Galaxy Note 20 Ultra, 76mm x 160mm, 150 um</t>
  </si>
  <si>
    <t>OCA пленка на Samsung Galaxy J1 J110 для приклеивания стекла дисплея</t>
  </si>
  <si>
    <t>OCA пленка на Samsung Galaxy S7 Edge G935 для приклеивания стекла</t>
  </si>
  <si>
    <t>OCA пленка на Samsung Galaxy S9 Plus G965 для приклеивания стекла дисплея</t>
  </si>
  <si>
    <t>Sony</t>
  </si>
  <si>
    <t>OCA пленка на Sony C6602 Xperia Z для приклеивания стекла</t>
  </si>
  <si>
    <t>OCA пленка на Sony D5803 Xperia Z3 mini для приклеивания стекла</t>
  </si>
  <si>
    <t>OCA пленка на Sony D6502 Xperia Z2 для приклеивания стекла</t>
  </si>
  <si>
    <t>OCA пленка на Sony D6603 Xperia Z3 для приклеивания стекла</t>
  </si>
  <si>
    <t>OCA пленка на Sony E5823 Xperia Z5 mini для приклеивания стекла</t>
  </si>
  <si>
    <t>OCA пленка на Sony E6602 Xperia Z5 для приклеивания стекла</t>
  </si>
  <si>
    <t>Стикеры для OCA-пленки</t>
  </si>
  <si>
    <t>Стикер для OCA-пленки, поляризационной пленки 40 шт.</t>
  </si>
  <si>
    <t>Универсальные</t>
  </si>
  <si>
    <t>OCA пленка, 112mm х 176mm, 8 inch, 250 um</t>
  </si>
  <si>
    <t>OCA пленка, 140mm х 220mm, 10 inch, 150 um</t>
  </si>
  <si>
    <t>OCA пленка, 140mm х 220mm, 10 inch, 250 um</t>
  </si>
  <si>
    <t>OCA пленка, 140mm х 220mm, 10 inch, 250 um, (упаковка 50 шт.)</t>
  </si>
  <si>
    <t>OCA пленка, 83mm х 146mm, 6.5 inch, 250 um</t>
  </si>
  <si>
    <t>OCA пленка, 83mm х 146mm, 6.5 inch, 250 um, (упаковка 50 шт.)</t>
  </si>
  <si>
    <t>OCA пленка, 99mm х 155mm, 7 inch, 250 um</t>
  </si>
  <si>
    <t>Водозащитная проклейка</t>
  </si>
  <si>
    <t>Водозащитная проклейка дисплея Apple iPhone 11</t>
  </si>
  <si>
    <t>Водозащитная проклейка дисплея Apple iPhone 11 Pro</t>
  </si>
  <si>
    <t>Водозащитная проклейка дисплея Apple iPhone 11 Pro Max</t>
  </si>
  <si>
    <t>Водозащитная проклейка дисплея Apple iPhone 12 Pro Max</t>
  </si>
  <si>
    <t>Водозащитная проклейка дисплея Apple iPhone 12, iPhone 12 Pro</t>
  </si>
  <si>
    <t>Водозащитная проклейка дисплея Apple iPhone 13</t>
  </si>
  <si>
    <t>Водозащитная проклейка дисплея Apple iPhone 13 Pro</t>
  </si>
  <si>
    <t>Водозащитная проклейка дисплея Apple iPhone 13 Pro Max</t>
  </si>
  <si>
    <t>Водозащитная проклейка дисплея Apple iPhone 14</t>
  </si>
  <si>
    <t>Водозащитная проклейка дисплея Apple iPhone 14 Plus</t>
  </si>
  <si>
    <t>Водозащитная проклейка дисплея Apple iPhone 14 Pro</t>
  </si>
  <si>
    <t>Водозащитная проклейка дисплея Apple iPhone 14 Pro Max</t>
  </si>
  <si>
    <t>Водозащитная проклейка дисплея Apple iPhone 7</t>
  </si>
  <si>
    <t>Водозащитная проклейка дисплея Apple iPhone 7 Plus</t>
  </si>
  <si>
    <t>Водозащитная проклейка дисплея Apple iPhone X</t>
  </si>
  <si>
    <t>Водозащитная проклейка дисплея Apple iPhone XR</t>
  </si>
  <si>
    <t>Водозащитная проклейка дисплея Apple iPhone XS</t>
  </si>
  <si>
    <t>Водозащитная проклейка дисплея Apple iPhone XS Max</t>
  </si>
  <si>
    <t>Инструмент</t>
  </si>
  <si>
    <t>Инструмент для поднятия дисплея (лопатка металлическая) Mechanic X22, толщина - 0.2 мм</t>
  </si>
  <si>
    <t>Инструмент для поднятия дисплея (лопатка металлическая) Mechanic X8, толщина - 0.1 мм</t>
  </si>
  <si>
    <t>Инструмент для поднятия дисплея, разборки корпусных деталей Mechanic X5</t>
  </si>
  <si>
    <t>Инструмент электрический для снятия OCA клея Relife RL-056C</t>
  </si>
  <si>
    <t>Инструмент электрический для снятия OCA клея Relife RL-056F</t>
  </si>
  <si>
    <t>Лезвия-скребок Mechanic FR1, ширина - 38 мм, 5 шт.</t>
  </si>
  <si>
    <t>Клей, скотч, химия, салфетки из микрофибры</t>
  </si>
  <si>
    <t>Скотч аккумулятора (батареи) для ( iPhone 11 Pro Max)</t>
  </si>
  <si>
    <t>Скотч аккумулятора (батареи) для ( iPhone 11 Pro)</t>
  </si>
  <si>
    <t>Скотч аккумулятора (батареи) для ( iPhone 11)</t>
  </si>
  <si>
    <t>Скотч аккумулятора (батареи) для ( iPhone 12 Pro Max)</t>
  </si>
  <si>
    <t>Скотч аккумулятора (батареи) для ( iPhone 5S, iPhone 5SE, iPhone 5)</t>
  </si>
  <si>
    <t>Скотч аккумулятора (батареи) для ( iPhone 6 Plus, iPhone 6S Plus, iPhone 7 Plus, iPhone 8 Plus)</t>
  </si>
  <si>
    <t>Скотч аккумулятора (батареи) для ( iPhone 6, iPhone 7, iPhone 8)</t>
  </si>
  <si>
    <t>Скотч аккумулятора (батареи) для ( iPhone XS)</t>
  </si>
  <si>
    <t>Жидкость для удаления клея ОСА</t>
  </si>
  <si>
    <t>Жидкость для удаления клея OCA Mechanic 8366, 250ml</t>
  </si>
  <si>
    <t>Жидкость для удаления клея OCA Mechanic 883L, 300ml</t>
  </si>
  <si>
    <t>Жидкость для удаления клея OCA Mechanic 993L, 300ml</t>
  </si>
  <si>
    <t>Жидкость очиститель Mechanic 8111 Max, для демонтажа рамки, 300ml</t>
  </si>
  <si>
    <t>Жидкость очиститель Mechanic N10L, для демонтажа рамки, 300ml</t>
  </si>
  <si>
    <t>Жидкость очиститель Mechanic RX08, для демонтажа рамки, 300ml</t>
  </si>
  <si>
    <t>Клей</t>
  </si>
  <si>
    <t>Клей Sunshine G20, для приклеивания сенсоров и дисплеев, прозрачный, 15 ml</t>
  </si>
  <si>
    <t>Клей Sunshine G20, для приклеивания сенсоров и дисплеев, прозрачный, 50 ml</t>
  </si>
  <si>
    <t>Клей Sunshine G21, для приклеивания сенсоров и дисплеев, Black, 15 ml</t>
  </si>
  <si>
    <t>Клей Sunshine G21, для приклеивания сенсоров и дисплеев, Black, 50 ml</t>
  </si>
  <si>
    <t>Клей для рамок дисплеев Relife RL-035A, прозрачный, 10 мл.</t>
  </si>
  <si>
    <t>Клей для рамок дисплеев Relife RL-035A, черный, 10 мл.</t>
  </si>
  <si>
    <t>Клей для рамок дисплеев Sunshine SS-035, 10 мл.</t>
  </si>
  <si>
    <t>Клей для сенсоров и дисплеев B7000 15 мл. прозрачный</t>
  </si>
  <si>
    <t>Клей для сенсоров и дисплеев B7000 Mechanic 15 мл. прозрачный</t>
  </si>
  <si>
    <t>Салфетки из микрофибры</t>
  </si>
  <si>
    <t>Салфетка из микрофибры для устранения пыли и отпечатков 100mm*100mm (100шт.)</t>
  </si>
  <si>
    <t>Салфетка из микрофибры для устранения пыли и отпечатков 100mm*100mm (40шт.)</t>
  </si>
  <si>
    <t>Салфетка из микрофибры для устранения пыли и отпечатков Relife RL-045, 100mm*100mm, (50шт.)</t>
  </si>
  <si>
    <t>Оборудование</t>
  </si>
  <si>
    <t>Беспылевое рабочее место</t>
  </si>
  <si>
    <t>Беспылевое рабочее место Sunshine SS-917C, с фильтрами и лампами</t>
  </si>
  <si>
    <t>Ламинаторы пленки</t>
  </si>
  <si>
    <t>Ламинатор TBK-761, пленки OCA, поляризационной, с вакуумным насосом</t>
  </si>
  <si>
    <t>Ламинатор пленки OCA, поляризационной, с автоприводом, с вакуумным насосом S-919B (для всех типов дисплеев, включая Samsung G925 Galaxy S6 Edge, G928</t>
  </si>
  <si>
    <t>Сепараторы дисплейных модулей</t>
  </si>
  <si>
    <t>Аппарат для срезки стекла дисплея Sunshine SS-918G</t>
  </si>
  <si>
    <t>Многофункциональный демонтажный стол для снятия дисплея Relife RL-601S Plus, с поворотной платформой + доп. присоски</t>
  </si>
  <si>
    <t>Сепаратор дисплейных модулей Katex KD-968D, вакуумный, стол 14 дюймов</t>
  </si>
  <si>
    <t>Сепаратор дисплейных модулей M-Triangel CP-150, вакуумный, стол 14 дюймов</t>
  </si>
  <si>
    <t>Сепаратор дисплейных модулей Sunshine SS-918F Plus, многофункциональный 5in1, наклонная панель (45°-360°)</t>
  </si>
  <si>
    <t>Сепаратор дисплейных модулей с вакуумным насосом 5 в 1</t>
  </si>
  <si>
    <t>Сепаратор дисплейных модулей с термостатом REX-C100 Baku 948A</t>
  </si>
  <si>
    <t>Сепаратор дисплейных модулей с термостатом REX-C100 YaXun 989 (с ультрафиолетовой лампой, вакуумным насосом, диодной подсветкой)</t>
  </si>
  <si>
    <t>Сепаратор дисплейных модулей с термостатом REX-C100 YaXun 996</t>
  </si>
  <si>
    <t>Сепаратор дисплейных модулей с термостатом REX-C100 YaXun 997B</t>
  </si>
  <si>
    <t>Сепаратор дисплейных модулей с цифровым контроллером Baku 946A (алюминиевая рабочая поверхность)</t>
  </si>
  <si>
    <t>Сепаратор дисплейных модулей с цифровым контроллером Baku 946D (вакуумний)</t>
  </si>
  <si>
    <t>Сепаратор дисплейных модулей с цифровым контроллером Baku 968 вакуумний, 350Вт, Размер: 10.1 inch</t>
  </si>
  <si>
    <t>Сепаратор дисплейных модулей с цифровым контроллером Baku 968 вакуумний, 500Вт, Размер: 10.1 inch</t>
  </si>
  <si>
    <t>Сепаратор дисплейных модулей, вакуумный, стол 12 дюймов, YaXun 940</t>
  </si>
  <si>
    <t>Сепаратор дисплейных модулей, вакуумный, стол 8 дюймов, YaXun 999</t>
  </si>
  <si>
    <t>Сепаратор морозильный (-180 С) для расклеивания дисплейного модуля</t>
  </si>
  <si>
    <t>Универсальный инструмент для снятия дисплея Sunshine SS-601G</t>
  </si>
  <si>
    <t>Устройства для склеивания дисплейного модуля</t>
  </si>
  <si>
    <t>Апарат для нанесения UV клея 2IN1 YAXUN YX-855 (вакуумная подача и всасывание клея)</t>
  </si>
  <si>
    <t>Устройство для склеивания дисплейного модуля M-Triangel M103, прес+автоклав (в комплекте с пресс-формами для Samsung Galaxy S6 Edge, S6 Edge Plus, S7</t>
  </si>
  <si>
    <t>Устройство для склеивания дисплейного модуля M-Triangel MT12, с автозамками, (all in one), для экранов до 12</t>
  </si>
  <si>
    <t>Устройство для склеивания дисплейного модуля, автоклав</t>
  </si>
  <si>
    <t>Устройство для склеивания дисплейного модуля, прес+автоклав, с автозамками (all in one) Sunshine 959V, рабочая поверхность 16 inch</t>
  </si>
  <si>
    <t>Устройство для склеивания дисплейного модуля, прес+автоклав, с автозамками (all in one) TBK-808</t>
  </si>
  <si>
    <t>Подсветка дисплея</t>
  </si>
  <si>
    <t>Подсветка дисплея Apple iPhone 6 Plus</t>
  </si>
  <si>
    <t>Подсветка дисплея Apple iPhone 6S Plus</t>
  </si>
  <si>
    <t>Подсветка дисплея Apple iPhone 7</t>
  </si>
  <si>
    <t>Подсветка дисплея Huawei Honor 10 Lite</t>
  </si>
  <si>
    <t>Подсветка дисплея Huawei Honor 20 (YAL-L21), Honor 20 Pro (YAL-L41), Nova 5T (YALE-L61A)</t>
  </si>
  <si>
    <t>Подсветка дисплея Huawei Honor 8X</t>
  </si>
  <si>
    <t>Подсветка дисплея Huawei P Smart 2021 (PPA-LX2), Y7A, Honor 10X Lite</t>
  </si>
  <si>
    <t>Подсветка дисплея Huawei P30 Lite, Nova 4e (MAR-L21, LX2, LX1M)</t>
  </si>
  <si>
    <t>Подсветка дисплея Huawei P40 Lite 5G, Nova 7 SE, Honor 30S (CDY-NX9A, CDY-AN90, CDY-AN00, CDY-NX9B)</t>
  </si>
  <si>
    <t>Подсветка дисплея Huawei P40 Lite E (ART-L28, ART-L29), Y7p 2020, Honor 9C</t>
  </si>
  <si>
    <t>Подсветка дисплея Huawei Y6 2019, Y6 Prime 2019, Y6S, Honor 8A, Y6 Pro 2019, 8A Pro (MRD-LX1, JAT-LX)</t>
  </si>
  <si>
    <t>Подсветка дисплея Huawei Y6P 2020, Honor 9A (MED-L29, LX9, LX9N, L29N, MOA-LX9, LX9N)</t>
  </si>
  <si>
    <t>Подсветка дисплея Huawei Y7 2019 (DUB-LX3, DUB-L23, DUB-LX1), Y7 Prime 2019, Y7 Pro 2019</t>
  </si>
  <si>
    <t>Подсветка дисплея Huawei Y9 2018 (FLA-LX1, FLA-LX3), Enjoy 8 Plus</t>
  </si>
  <si>
    <t>Oppo</t>
  </si>
  <si>
    <t>Подсветка дисплея Oppo A12, A5s, A7, Realme 3</t>
  </si>
  <si>
    <t>Подсветка дисплея Oppo A32 2020, A53</t>
  </si>
  <si>
    <t>Подсветка дисплея Oppo A52, A72, A92</t>
  </si>
  <si>
    <t>Подсветка дисплея Oppo Realme 6</t>
  </si>
  <si>
    <t>Подсветка дисплея Samsung A015 Galaxy A01</t>
  </si>
  <si>
    <t>Подсветка дисплея Samsung A025 Galaxy A02s, M025 Galaxy M02s, A037 Galaxy A03s</t>
  </si>
  <si>
    <t>Подсветка дисплея Samsung A105 Galaxy A10</t>
  </si>
  <si>
    <t>Подсветка дисплея Samsung A107 Galaxy A10s</t>
  </si>
  <si>
    <t>Подсветка дисплея Samsung A115 Galaxy A11, M115 Galaxy M11</t>
  </si>
  <si>
    <t>Подсветка дисплея Samsung A125 Galaxy A12, A022 Galaxy A02, A325 Galaxy A32, A326 Galaxy A32 5G, M127 Galaxy M12</t>
  </si>
  <si>
    <t>Подсветка дисплея Samsung A135 Galaxy A13</t>
  </si>
  <si>
    <t>Подсветка дисплея Samsung A207 Galaxy A20s</t>
  </si>
  <si>
    <t>Подсветка дисплея Samsung A217 Galaxy A21s</t>
  </si>
  <si>
    <t>Подсветка дисплея Samsung A226 Galaxy A22 5G</t>
  </si>
  <si>
    <t>Подсветка дисплея Samsung M205 Galaxy M20</t>
  </si>
  <si>
    <t>Vivo</t>
  </si>
  <si>
    <t>Подсветка дисплея Vivo Y11 (2019), Y12 (2019), Y15 (2019), Y17 (2019)</t>
  </si>
  <si>
    <t>Xiaomi</t>
  </si>
  <si>
    <t>Подсветка дисплея Xiaomi Mi 8 Lite</t>
  </si>
  <si>
    <t>Подсветка дисплея Xiaomi Mi A2</t>
  </si>
  <si>
    <t>Подсветка дисплея Xiaomi Mi A2 Lite, Redmi 6 Pro</t>
  </si>
  <si>
    <t>Подсветка дисплея Xiaomi Mi Max 3</t>
  </si>
  <si>
    <t>Подсветка дисплея Xiaomi Redmi 10, Redmi Note 11 4G</t>
  </si>
  <si>
    <t>Подсветка дисплея Xiaomi Redmi 10C, Redmi 10 Power, Poco C40</t>
  </si>
  <si>
    <t>Подсветка дисплея Xiaomi Redmi 5 Plus, Redmi Note 5</t>
  </si>
  <si>
    <t>Подсветка дисплея Xiaomi Redmi 7</t>
  </si>
  <si>
    <t>Подсветка дисплея Xiaomi Redmi 8, Redmi 8A</t>
  </si>
  <si>
    <t>Подсветка дисплея Xiaomi Redmi 9</t>
  </si>
  <si>
    <t>Подсветка дисплея Xiaomi Redmi 9T, Redmi 9 Power, Poco M3</t>
  </si>
  <si>
    <t>Подсветка дисплея Xiaomi Redmi Note 10 5G</t>
  </si>
  <si>
    <t>Подсветка дисплея Xiaomi Redmi Note 6 Pro</t>
  </si>
  <si>
    <t>Подсветка дисплея Xiaomi Redmi Note 7, Redmi Note 7 Pro, Redmi Note 8, Redmi Note 8T</t>
  </si>
  <si>
    <t>Подсветка дисплея Xiaomi Redmi Note 8 Pro</t>
  </si>
  <si>
    <t>Подсветка дисплея Xiaomi Redmi Note 9 Pro, Redmi Note 9S</t>
  </si>
  <si>
    <t>Поляризационная пленка</t>
  </si>
  <si>
    <t>Поляризационная пленка Apple iPhone 4, iPhone 4S</t>
  </si>
  <si>
    <t>Поляризационная пленка Samsung G930 Galaxy S7</t>
  </si>
  <si>
    <t>Поляризационная пленка Samsung G935 Galaxy S7 Edge</t>
  </si>
  <si>
    <t>Поляризационная пленка Samsung G950 Galaxy S8</t>
  </si>
  <si>
    <t>Поляризационная пленка Samsung G955 Galaxy S8 Plus</t>
  </si>
  <si>
    <t>Поляризационная пленка для LCD (IPS) дисплеев, 10 inch, 220 x 140 mm</t>
  </si>
  <si>
    <t>Поляризационная пленка для LCD (IPS) дисплеев, 12 inch, 255 x 173 mm</t>
  </si>
  <si>
    <t>Поляризационная пленка для LCD (IPS) дисплеев, 7 inch, 155 x 100 mm</t>
  </si>
  <si>
    <t>Поляризационная пленка для OLED, AMOLED дисплеев, 10 inch, 220 x 140 mm</t>
  </si>
  <si>
    <t>Поляризационная пленка для OLED, AMOLED дисплеев, 12 inch, 255 x 173 mm</t>
  </si>
  <si>
    <t>Поляризационная пленка для OLED, AMOLED дисплеев, 7 inch, 155 x 100 mm</t>
  </si>
  <si>
    <t>Рамка дисплея</t>
  </si>
  <si>
    <t>Рамка дисплея Apple iPhone 11 Pro Max, Original</t>
  </si>
  <si>
    <t>Рамка дисплея Apple iPhone 11 Pro, Original</t>
  </si>
  <si>
    <t>Рамка дисплея Apple iPhone 11, Original</t>
  </si>
  <si>
    <t>Рамка дисплея Apple iPhone 12 Mini, Original</t>
  </si>
  <si>
    <t>Рамка дисплея Apple iPhone 12 Pro Max, Original</t>
  </si>
  <si>
    <t>Рамка дисплея Apple iPhone 12, Apple iPhone 12 Pro, Original</t>
  </si>
  <si>
    <t>Рамка дисплея Apple iPhone 13</t>
  </si>
  <si>
    <t>Рамка дисплея Apple iPhone 13 Mini, Original</t>
  </si>
  <si>
    <t>Рамка дисплея Apple iPhone 13 Pro</t>
  </si>
  <si>
    <t>Рамка дисплея Apple iPhone 13 Pro Max</t>
  </si>
  <si>
    <t>Рамка дисплея Apple iPhone 14 Plus, Original</t>
  </si>
  <si>
    <t>Рамка дисплея Apple iPhone 14 Pro Max, Original</t>
  </si>
  <si>
    <t>Рамка дисплея Apple iPhone 14 Pro, Original</t>
  </si>
  <si>
    <t>Рамка дисплея Apple iPhone 14, Original</t>
  </si>
  <si>
    <t>Рамка дисплея Apple iPhone 5, Black</t>
  </si>
  <si>
    <t>Рамка дисплея Apple iPhone 5, White</t>
  </si>
  <si>
    <t>Рамка дисплея Apple iPhone 6 Plus, Black</t>
  </si>
  <si>
    <t>Рамка дисплея Apple iPhone 6 Plus, White</t>
  </si>
  <si>
    <t>Рамка дисплея Apple iPhone 6, Black</t>
  </si>
  <si>
    <t>Рамка дисплея Apple iPhone 6, White</t>
  </si>
  <si>
    <t>Рамка дисплея Apple iPhone 6S Plus, White</t>
  </si>
  <si>
    <t>Рамка дисплея Apple iPhone 6S, Black</t>
  </si>
  <si>
    <t>Рамка дисплея Apple iPhone 6S, White</t>
  </si>
  <si>
    <t>Рамка дисплея Apple iPhone 7 Plus, Black</t>
  </si>
  <si>
    <t>Рамка дисплея Apple iPhone 7 Plus, White</t>
  </si>
  <si>
    <t>Рамка дисплея Apple iPhone 7, Black</t>
  </si>
  <si>
    <t>Рамка дисплея Apple iPhone 7, White</t>
  </si>
  <si>
    <t>Рамка дисплея Apple iPhone 8 Plus, Black</t>
  </si>
  <si>
    <t>Рамка дисплея Apple iPhone X, Original</t>
  </si>
  <si>
    <t>Рамка дисплея Apple iPhone XR, Original</t>
  </si>
  <si>
    <t>Рамка дисплея Apple iPhone XS Max, Original</t>
  </si>
  <si>
    <t>Рамка дисплея Apple iPhone XS, Original</t>
  </si>
  <si>
    <t>Сенсор дисплея</t>
  </si>
  <si>
    <t>Сенсор дисплея Apple iPhone 5, Black</t>
  </si>
  <si>
    <t>Сенсор дисплея Apple iPhone 5, White</t>
  </si>
  <si>
    <t>Сенсор дисплея Apple iPhone 5S, Black</t>
  </si>
  <si>
    <t>Сенсор дисплея Apple iPhone 5S, White</t>
  </si>
  <si>
    <t>Сетка динамика</t>
  </si>
  <si>
    <t>Сетка динамика Apple iPhone 6 Plus</t>
  </si>
  <si>
    <t>Стекла дисплея</t>
  </si>
  <si>
    <t>Стекло дисплея Apple iPad Air 2022, с пленкой OCA, Original (G+OCA Pro)</t>
  </si>
  <si>
    <t>Стекло дисплея Apple iPad Air 3 2019 (A2123, A2152, A2153), iPad Pro 10.5 2017, с пленкой OCA, Original (G+OCA Pro)</t>
  </si>
  <si>
    <t>Apple iPhone</t>
  </si>
  <si>
    <t>Стекло Apple iPhone 4G, Black</t>
  </si>
  <si>
    <t>Стекло Apple iPhone 5, 5S, Black</t>
  </si>
  <si>
    <t>Стекло Apple iPhone 5, 5S, White</t>
  </si>
  <si>
    <t>Стекло Apple iPhone 6 Plus, 6S Plus, Black</t>
  </si>
  <si>
    <t>Стекло Apple iPhone 6 Plus, 6S Plus, White</t>
  </si>
  <si>
    <t>Стекло Apple iPhone 7 Plus, Black</t>
  </si>
  <si>
    <t>Стекло Apple iPhone 7 Plus, Black, Original</t>
  </si>
  <si>
    <t>Стекло Apple iPhone 7 Plus, White</t>
  </si>
  <si>
    <t>Стекло Apple iPhone 7 Plus, White, Original</t>
  </si>
  <si>
    <t>Стекло Apple iPhone 7, Black, Original</t>
  </si>
  <si>
    <t>Стекло Apple iPhone 7, White</t>
  </si>
  <si>
    <t>Стекло Apple iPhone 7, White, Original</t>
  </si>
  <si>
    <t>Стекло Apple iPhone 8 Plus, Black, Original</t>
  </si>
  <si>
    <t>Стекло Apple iPhone 8 Plus, White, Original</t>
  </si>
  <si>
    <t>Стекло Apple iPhone 8, Black, Original</t>
  </si>
  <si>
    <t>Стекло дисплея Apple iPhone 11 Pro Max, с пленкой OCA, Original, Black</t>
  </si>
  <si>
    <t>Стекло дисплея Apple iPhone 11 Pro Max, с тачскрином, Original, Black</t>
  </si>
  <si>
    <t>Стекло дисплея Apple iPhone 11 Pro Max, с тачскрином, с пленкой OCA, Original, Black</t>
  </si>
  <si>
    <t>Стекло дисплея Apple iPhone 11 Pro, с пленкой OCA, Original</t>
  </si>
  <si>
    <t>Стекло дисплея Apple iPhone 11 Pro, с тачскрином, Original</t>
  </si>
  <si>
    <t>Стекло дисплея Apple iPhone 11 Pro, с тачскрином, с пленкой OCA, Original</t>
  </si>
  <si>
    <t>Стекло дисплея Apple iPhone 11, с пленкой OCA, Original, Black</t>
  </si>
  <si>
    <t>Стекло дисплея Apple iPhone 11, с пленкой OCA, с рамкой, Original</t>
  </si>
  <si>
    <t>Стекло дисплея Apple iPhone 11, с тачскрином, с рамкой, Original, Black</t>
  </si>
  <si>
    <t>Стекло дисплея Apple iPhone 11, с тачскрином, с рамкой, с пленкой OCA, Original</t>
  </si>
  <si>
    <t>Стекло дисплея Apple iPhone 12 Mini, с пленкой OCA, Original</t>
  </si>
  <si>
    <t>Стекло дисплея Apple iPhone 12 Pro Max, с пленкой OCA, High Quality</t>
  </si>
  <si>
    <t>Стекло дисплея Apple iPhone 12 Pro Max, с пленкой OCA, Original</t>
  </si>
  <si>
    <t>Стекло дисплея Apple iPhone 12, iPhone 12 Pro, с пленкой OCA, Original</t>
  </si>
  <si>
    <t>Стекло дисплея Apple iPhone 12, iPhone 12 Pro, с тачскрином, с пленкой OCA, Original</t>
  </si>
  <si>
    <t>Стекло дисплея Apple iPhone 13 Mini, с пленкой OCA, Original</t>
  </si>
  <si>
    <t>Стекло дисплея Apple iPhone 13 Pro Max, с пленкой OCA, Original</t>
  </si>
  <si>
    <t>Стекло дисплея Apple iPhone 13, iPhone 13 Pro, с пленкой OCA, Original</t>
  </si>
  <si>
    <t>Стекло дисплея Apple iPhone 14 Plus, с пленкой OCA, Original</t>
  </si>
  <si>
    <t>Стекло дисплея Apple iPhone 14 Pro Max, с пленкой OCA, Original</t>
  </si>
  <si>
    <t>Стекло дисплея Apple iPhone 14 Pro, с пленкой OCA, Original</t>
  </si>
  <si>
    <t>Стекло дисплея Apple iPhone 14, с пленкой OCA, Original</t>
  </si>
  <si>
    <t>Стекло дисплея Apple iPhone X, iPhone XS, Original</t>
  </si>
  <si>
    <t>Стекло дисплея Apple iPhone X, iPhone XS, с пленкой OCA, Original</t>
  </si>
  <si>
    <t>Стекло дисплея Apple iPhone X, с пленкой OCA, с рамкой, Original</t>
  </si>
  <si>
    <t>Стекло дисплея Apple iPhone X, с тачскрином</t>
  </si>
  <si>
    <t>Стекло дисплея Apple iPhone X, с тачскрином, High Quality</t>
  </si>
  <si>
    <t>Стекло дисплея Apple iPhone X, с тачскрином, с пленкой OCA, Original</t>
  </si>
  <si>
    <t>Стекло дисплея Apple iPhone XR, с пленкой OCA, Original, Black</t>
  </si>
  <si>
    <t>Стекло дисплея Apple iPhone XR, с пленкой OCA, с рамкой, Original</t>
  </si>
  <si>
    <t>Стекло дисплея Apple iPhone XR, с тачскрином, с рамкой, Original, Black</t>
  </si>
  <si>
    <t>Стекло дисплея Apple iPhone XR, с тачскрином, с рамкой, с пленкой OCA, Original</t>
  </si>
  <si>
    <t>Стекло дисплея Apple iPhone XS Max, Original</t>
  </si>
  <si>
    <t>Стекло дисплея Apple iPhone XS Max, с пленкой OCA, Original</t>
  </si>
  <si>
    <t>Стекло дисплея Apple iPhone XS Max, с тачскрином, Original, Black</t>
  </si>
  <si>
    <t>Стекло дисплея Apple iPhone XS Max, с тачскрином, с пленкой OCA, Original</t>
  </si>
  <si>
    <t>Стекло дисплея Apple iPhone XS, с тачскрином, Original, Black</t>
  </si>
  <si>
    <t>Стекло дисплея Apple iPhone XS, с тачскрином, с пленкой OCA, Original</t>
  </si>
  <si>
    <t>Стекло дисплея с рамкой и пленкой OCA Apple iPhone 6 Plus, Original, White</t>
  </si>
  <si>
    <t>Стекло дисплея с рамкой и пленкой OCA Apple iPhone 7 Plus, Original, Black</t>
  </si>
  <si>
    <t>Стекло дисплея с рамкой и пленкой OCA Apple iPhone 7 Plus, Original, White</t>
  </si>
  <si>
    <t>Стекло дисплея с рамкой и пленкой OCA Apple iPhone 7, Original, White</t>
  </si>
  <si>
    <t>Стекло дисплея с рамкой и пленкой OCA Apple iPhone 8 Plus, Original, Black</t>
  </si>
  <si>
    <t>Стекло дисплея с рамкой и пленкой OCA Apple iPhone 8 Plus, Original, White</t>
  </si>
  <si>
    <t>Стекло дисплея с рамкой и пленкой OCA Apple iPhone 8, iPhone SE 2020, Original, White</t>
  </si>
  <si>
    <t>Apple Watch</t>
  </si>
  <si>
    <t>Стекло дисплея Apple Watch Series 7, 41 mm, Original PRC</t>
  </si>
  <si>
    <t>Стекло дисплея Apple Watch Series 7, 45 mm, Original PRC</t>
  </si>
  <si>
    <t>Asus</t>
  </si>
  <si>
    <t>Стекло дисплея Asus Zenfone Max Pro M2 ZB631KL, Black</t>
  </si>
  <si>
    <t>Google</t>
  </si>
  <si>
    <t>Стекло дисплея Google Pixel 2 XL, Original, Black</t>
  </si>
  <si>
    <t>Стекло дисплея Google Pixel 2, Original, Black</t>
  </si>
  <si>
    <t>Стекло дисплея Google Pixel 3 XL, Original, Black</t>
  </si>
  <si>
    <t>Стекло дисплея Google Pixel 3, Original, Black</t>
  </si>
  <si>
    <t>Стекло дисплея Google Pixel 3A XL, с OCA пленкой, Original</t>
  </si>
  <si>
    <t>Стекло дисплея Google Pixel 3A, Black</t>
  </si>
  <si>
    <t>Стекло дисплея Google Pixel 3A, Original, Black</t>
  </si>
  <si>
    <t>Стекло дисплея Google Pixel 3A, с OCA пленкой, Original</t>
  </si>
  <si>
    <t>Стекло дисплея Google Pixel 4, Original, Black</t>
  </si>
  <si>
    <t>Стекло дисплея Google Pixel 4, с OCA пленкой, Original</t>
  </si>
  <si>
    <t>Стекло дисплея Google Pixel 4A</t>
  </si>
  <si>
    <t>Стекло дисплея Google Pixel 4A 5G</t>
  </si>
  <si>
    <t>Стекло дисплея Google Pixel 4A 5G, Original</t>
  </si>
  <si>
    <t>Стекло дисплея Google Pixel 4A 5G, с OCA пленкой, Original</t>
  </si>
  <si>
    <t>Стекло дисплея Google Pixel 4A, Original</t>
  </si>
  <si>
    <t>Стекло дисплея Google Pixel 4A, с OCA пленкой, Original</t>
  </si>
  <si>
    <t>Стекло дисплея Google Pixel 5, High Quality</t>
  </si>
  <si>
    <t>Стекло дисплея Google Pixel 5, Original</t>
  </si>
  <si>
    <t>Стекло дисплея Google Pixel 5, с OCA пленкой, Original</t>
  </si>
  <si>
    <t>Стекло дисплея Google Pixel 5A, Original</t>
  </si>
  <si>
    <t>Стекло дисплея Google Pixel 5A, с OCA пленкой, Original</t>
  </si>
  <si>
    <t>Стекло дисплея Google Pixel 6</t>
  </si>
  <si>
    <t>Стекло дисплея Google Pixel 6 Pro, с OCA пленкой, Original</t>
  </si>
  <si>
    <t>Стекло дисплея Google Pixel 6, с OCA пленкой, Original</t>
  </si>
  <si>
    <t>Стекло дисплея Google Pixel 6A, с OCA пленкой, Original</t>
  </si>
  <si>
    <t>Стекло дисплея Google Pixel 7 Pro, с OCA пленкой, Original</t>
  </si>
  <si>
    <t>Стекло дисплея Google Pixel 7, с OCA пленкой, Original</t>
  </si>
  <si>
    <t>Стекло дисплея Huawei Honor 10 Lite (HRY-LX1, HRY-LX2), Honor 10i (HRY-LX1T), с OCA пленкой, Original</t>
  </si>
  <si>
    <t>Стекло дисплея Huawei Honor 20 (YAL-L21), Honor 20 Pro, Nova 5T, Original</t>
  </si>
  <si>
    <t>Стекло дисплея Huawei Honor 20 (YAL-L21), Honor 20 Pro, Nova 5T, с OCA пленкой, Original</t>
  </si>
  <si>
    <t>Стекло дисплея Huawei Honor 50 Pro, с OCA пленкой, Original</t>
  </si>
  <si>
    <t>Стекло дисплея Huawei Honor 50, с OCA пленкой, Original</t>
  </si>
  <si>
    <t>Стекло дисплея Huawei Honor 8X (JSN-L21), Original, Black</t>
  </si>
  <si>
    <t>Стекло дисплея Huawei Honor 8X (JSN-L21), с OCA пленкой, Original</t>
  </si>
  <si>
    <t>Стекло дисплея Huawei Mate 10 (ALP-L09, ALP-L29), Gold</t>
  </si>
  <si>
    <t>Стекло дисплея Huawei Mate 20 (HMA-L29, HMA-L09), Black</t>
  </si>
  <si>
    <t>Стекло дисплея Huawei Mate 20 Lite (SNE-LX1), Original, Black</t>
  </si>
  <si>
    <t>Стекло дисплея Huawei Mate 20 Pro (LYA-L29), Black</t>
  </si>
  <si>
    <t>Стекло дисплея Huawei Mate 20 Pro (LYA-L29), с OCA пленкой, Original</t>
  </si>
  <si>
    <t>Стекло дисплея Huawei Mate 30 Pro, с OCA пленкой, Original</t>
  </si>
  <si>
    <t>Стекло дисплея Huawei Mate 40 Pro, с OCA пленкой, Original</t>
  </si>
  <si>
    <t>Стекло дисплея Huawei Mate 40, с OCA пленкой, Original</t>
  </si>
  <si>
    <t>Стекло дисплея Huawei Mate 8 (NXT-L29, NXT-AL10, NXT-CL00, NXT-DL00, NXT-TL00, NXT-L09), Gold</t>
  </si>
  <si>
    <t>Стекло дисплея Huawei Mate 8 (NXT-L29, NXT-AL10, NXT-CL00, NXT-DL00, NXT-TL00, NXT-L09), Mocha Brown</t>
  </si>
  <si>
    <t>Стекло дисплея Huawei MatePad 10.4, с OCA пленкой, Original PRC, Black</t>
  </si>
  <si>
    <t>Стекло дисплея Huawei MatePad 10.4, с OCA пленкой, Original PRC, White</t>
  </si>
  <si>
    <t>Стекло дисплея Huawei MatePad 11 2021, с OCA пленкой, Original PRC, Black</t>
  </si>
  <si>
    <t>Стекло дисплея Huawei MatePad Pro 12.6, с OCA пленкой, Original PRC, Black</t>
  </si>
  <si>
    <t>Стекло дисплея Huawei MatePad T10 (AGR-W09, AGR-L09), с OCA пленкой, Original PRC, Black</t>
  </si>
  <si>
    <t>Стекло дисплея Huawei MatePad T10s (AGS3-L09, AGS3-W09), с OCA пленкой, Original PRC, Black</t>
  </si>
  <si>
    <t>Стекло дисплея Huawei MediaPad (T1-701W, T1-701, T1-701U), White</t>
  </si>
  <si>
    <t>Стекло дисплея Huawei MediaPad T3 7 3G (T3-701, BG-U01, BG2-U01, BG2-W09), Black</t>
  </si>
  <si>
    <t>Стекло дисплея Huawei MediaPad T3 7 Wi-Fi (BG2-W09), T3-701, Black</t>
  </si>
  <si>
    <t>Стекло дисплея Huawei MediaPad T5 10 (AGS2-L09, AGS2-W09), с OCA пленкой, Original PRC, Black</t>
  </si>
  <si>
    <t>Стекло дисплея Huawei MediaPad T5 10 (AGS2-L09, AGS2-W09), с OCA пленкой, Original PRC, White</t>
  </si>
  <si>
    <t>Стекло дисплея Huawei Nova 2 Plus (BAC-L21), Black</t>
  </si>
  <si>
    <t>Стекло дисплея Huawei Nova 2 Plus, White</t>
  </si>
  <si>
    <t>Стекло дисплея Huawei Nova 3i (PAR-LX1, PAR-LX9), P Smart Plus (INE-LX1), Nova 3, Black</t>
  </si>
  <si>
    <t>Стекло дисплея Huawei Nova 3i (PAR-LX1, PAR-LX9), P Smart Plus (INE-LX1), Nova 3, с OCA пленкой, Original</t>
  </si>
  <si>
    <t>Стекло дисплея Huawei Nova 4 (VCE-L22), Black</t>
  </si>
  <si>
    <t>Стекло дисплея Huawei Nova 4e, P30 Lite (MAR-L21, MAR-LX1A, MAR-L21A, MAR-L01A), Black</t>
  </si>
  <si>
    <t>Стекло дисплея Huawei Nova 4e, P30 Lite (MAR-L21, MAR-LX1A, MAR-L21A, MAR-L01A), с OCA пленкой, Original</t>
  </si>
  <si>
    <t>Стекло дисплея Huawei Nova 8i (NEN-LX1, NEN-L22), Honor 50 Lite, Honor X20 (NTN-L22), с OCA пленкой, Original</t>
  </si>
  <si>
    <t>Стекло дисплея Huawei P Smart 2019 (POT-L21, POT-LX1), Black</t>
  </si>
  <si>
    <t>Стекло дисплея Huawei P Smart 2019 (POT-L21, POT-LX1), с OCA пленкой, Original</t>
  </si>
  <si>
    <t>Стекло дисплея Huawei P Smart 2021 (PPA-LX2), Y7A, Honor 10X Lite, Original PRC, Black</t>
  </si>
  <si>
    <t>Стекло дисплея Huawei P Smart 2021 (PPA-LX2), Y7A, Honor 10X Lite, с OCA пленкой, Original</t>
  </si>
  <si>
    <t>Стекло дисплея Huawei P Smart S, Y8P (AQM-LX1), Honor Play 4t Pro, Enjoy 10s, Original PRC, Black</t>
  </si>
  <si>
    <t>Стекло дисплея Huawei P Smart Z (STK-LX1, STK-L21, STK-L22), Y9 Prime 2019, Y9S, Honor 9X, с OCA пленкой, Original</t>
  </si>
  <si>
    <t>Стекло дисплея Huawei P10 Plus (VKY-L29), White</t>
  </si>
  <si>
    <t>Стекло дисплея Huawei P20 (EML-L09, EML-L29), Black</t>
  </si>
  <si>
    <t>Стекло дисплея Huawei P20 (EML-L09, EML-L29), Blue</t>
  </si>
  <si>
    <t>Стекло дисплея Huawei P20 (EML-L09, EML-L29), White</t>
  </si>
  <si>
    <t>Стекло дисплея Huawei P20 (EML-L09, EML-L29), с OCA пленкой, Original</t>
  </si>
  <si>
    <t>Стекло дисплея Huawei P20 Pro (CLT-L29, CLT-L09), Black</t>
  </si>
  <si>
    <t>Стекло дисплея Huawei P20 Pro (CLT-L29, CLT-L09), Blue</t>
  </si>
  <si>
    <t>Стекло дисплея Huawei P20 Pro (CLT-L29, CLT-L09), White</t>
  </si>
  <si>
    <t>Стекло дисплея Huawei P20 Pro (CLT-L29, CLT-L09), с OCA пленкой, Original</t>
  </si>
  <si>
    <t>Стекло дисплея Huawei P30 (ELE-L29, ELE-L09, ELE-L04, ELE-AL00), Black</t>
  </si>
  <si>
    <t>Стекло дисплея Huawei P30 (ELE-L29, ELE-L09, ELE-L04, ELE-AL00), с OCA пленкой, Original</t>
  </si>
  <si>
    <t>Стекло дисплея Huawei P30 Pro (VOG-L09, VOG-L29), Original, Black</t>
  </si>
  <si>
    <t>Стекло дисплея Huawei P30 Pro (VOG-L09, VOG-L29), с OCA пленкой, Original</t>
  </si>
  <si>
    <t>Стекло дисплея Huawei P40 (ANA-AN00, ANA-TN00), Original, Black</t>
  </si>
  <si>
    <t>Стекло дисплея Huawei P40 (ANA-AN00, ANA-TN00), Original, с OCA пленкой, Original</t>
  </si>
  <si>
    <t>Стекло дисплея Huawei P40 Lite (JNY-LX1), Nova 5i (GLK-LX1), Nova 7i (JNY-LX2), Nova 6 SE, без контура камеры, Original, Black</t>
  </si>
  <si>
    <t>Стекло дисплея Huawei P40 Lite (JNY-LX1), Nova 5i (GLK-LX1), Nova 7i (JNY-LX2), Nova 6 SE, с контуром камеры, Original, Black</t>
  </si>
  <si>
    <t>Стекло дисплея Huawei P40 Lite (JNY-LX1), Nova 5i (GLK-LX1), Nova 7i (JNY-LX2), Nova 6 SE, с контуром камеры, с OCA пленкой, Original</t>
  </si>
  <si>
    <t>Стекло дисплея Huawei P40 Lite E (ART-L28, ART-L29), Y7p 2020, Honor 9C, с OCA пленкой, Original</t>
  </si>
  <si>
    <t>Стекло дисплея Huawei P40 Pro, с OCA пленкой, Original</t>
  </si>
  <si>
    <t>Стекло дисплея Huawei Y6 Pro (TIT-U02), Black</t>
  </si>
  <si>
    <t>Стекло дисплея Huawei Y6P 2020, Honor 9A (MED-L29, LX9, LX9N, L29N, MOA-LX9, LX9N), Original PRC, Black</t>
  </si>
  <si>
    <t>Стекло дисплея Huawei Y6P 2020, Honor 9A (MED-L29, LX9, LX9N, L29N, MOA-LX9, LX9N), с OCA пленкой, Original</t>
  </si>
  <si>
    <t>Стекло дисплея Huawei Y9 2019 (JKM-L23, JKM-LX3), Enjoy 9 Plus, Black</t>
  </si>
  <si>
    <t>Стекло дисплея Huawei Y9 2019 (JKM-L23, JKM-LX3), Enjoy 9 Plus, с OCA пленкой, Black</t>
  </si>
  <si>
    <t>Стекло дисплея Xiaomi Redmi Note 10 Pro 5G, с OCA пленкой, Original</t>
  </si>
  <si>
    <t>Lenovo</t>
  </si>
  <si>
    <t>Стекло дисплея Lenovo Tab M10 HD 2 Gen (X306F, X306X), с OCA пленкой, Original, Black</t>
  </si>
  <si>
    <t>Стекло дисплея Lenovo Tab M10 Plus FHD (TB-X606F), с OCA пленкой, Original</t>
  </si>
  <si>
    <t>Стекло дисплея Lenovo Tab M10 TB-X605, с OCA пленкой, Original</t>
  </si>
  <si>
    <t>Стекло дисплея Lenovo Tab M8 (TB-8505F, TB-8505X), с OCA пленкой, Original</t>
  </si>
  <si>
    <t>Стекло дисплея Lenovo Tab M8 FHD (TB-8705F), с OCA пленкой, Original</t>
  </si>
  <si>
    <t>Стекло дисплея Lenovo Tab P11 (TB-J606F), Tab P11 Plus (TB-J616F), с OCA пленкой, Original</t>
  </si>
  <si>
    <t>Стекло дисплея Lenovo Tab P11 Pro (TB-J706), с OCA пленкой, Original</t>
  </si>
  <si>
    <t>LG</t>
  </si>
  <si>
    <t>Стекло дисплея LG G6 H870, G6 H870K, G6 H871, G6 H872, G6 H873, G6 LS993, G6 US997, G6 VS998, Original, Blue</t>
  </si>
  <si>
    <t>Стекло дисплея LG V30 H930DS, Silver</t>
  </si>
  <si>
    <t>Meizu</t>
  </si>
  <si>
    <t>Стекло дисплея Meizu 16, 16th M882H, M882Q, Black</t>
  </si>
  <si>
    <t>Стекло дисплея Meizu 16X, M872H, M872Q, Black</t>
  </si>
  <si>
    <t>Стекло дисплея Meizu MX5 M575, MX5e, MX5e Lite, Black</t>
  </si>
  <si>
    <t>Стекло дисплея Meizu MX5 M575, MX5e, MX5e Lite, White</t>
  </si>
  <si>
    <t>Стекло дисплея Meizu MX6 M685H, Black</t>
  </si>
  <si>
    <t>Стекло дисплея Meizu X8 M852, Black</t>
  </si>
  <si>
    <t>Microsoft</t>
  </si>
  <si>
    <t>Стекло дисплея Microsoft Lumia 950, Black</t>
  </si>
  <si>
    <t>Motorola</t>
  </si>
  <si>
    <t>Стекло дисплея Motorola E20 (XT2155), с OCA пленкой, Original</t>
  </si>
  <si>
    <t>Стекло дисплея Motorola E7 (XT2095), E7 Power (XT2097), E7i Power, с OCA пленкой, Original (G+OCA Pro)</t>
  </si>
  <si>
    <t>Стекло дисплея Motorola G10 (XT2127), G10 Power, G20 (XT2128), G30, Lenovo K13 Pro, с OCA пленкой, Original</t>
  </si>
  <si>
    <t>Стекло дисплея Motorola G60 (XT2135-2, XT2135), G40 Fusion, с OCA пленкой, Original</t>
  </si>
  <si>
    <t>Стекло дисплея Motorola G7 Power (XT1955), Black</t>
  </si>
  <si>
    <t>Стекло дисплея Motorola XT1635-02 Moto Z Play, Black</t>
  </si>
  <si>
    <t>Стекло дисплея Motorola XT1710 Moto Z2 Play, Black</t>
  </si>
  <si>
    <t>Стекло дисплея Motorola XT1925 Moto G6, Black</t>
  </si>
  <si>
    <t>Стекло дисплея Motorola XT1941-2 Moto P30 Play, Black</t>
  </si>
  <si>
    <t>Стекло дисплея Motorola XT1941-4 Moto One, Black</t>
  </si>
  <si>
    <t>Стекло дисплея Motorola XT1944 Moto E5, Black</t>
  </si>
  <si>
    <t>Стекло дисплея Motorola XT1952 Moto G7 Play, Black</t>
  </si>
  <si>
    <t>Стекло дисплея Motorola XT1962 Moto G7, XT1965 Moto G7 Plus, Black</t>
  </si>
  <si>
    <t>Стекло дисплея Motorola XT2010, Moto One Zoom, Black</t>
  </si>
  <si>
    <t>Стекло дисплея Motorola XT2013-2 Moto One Action, XT1970 Moto One Vision, Black</t>
  </si>
  <si>
    <t>Стекло дисплея Motorola XT2015 Moto G8 Play, Black</t>
  </si>
  <si>
    <t>Стекло дисплея Motorola XT2081 Moto E7 Plus, XT2083 Moto G9 Play, с OCA пленкой, Original</t>
  </si>
  <si>
    <t>Nokia</t>
  </si>
  <si>
    <t>Стекло дисплея Nokia 2.3 TA-1211, TA-1214, TA-1206, TA-1209, Original, Black</t>
  </si>
  <si>
    <t>Стекло дисплея Nokia 3.2 Dual Sim TA-1156, TA-1164, Original, Black</t>
  </si>
  <si>
    <t>Стекло дисплея Nokia 7.1 TA-1100, TA-1085, TA-1095, TA-1096, TA-1097, Black</t>
  </si>
  <si>
    <t>OnePlus</t>
  </si>
  <si>
    <t>Стекло дисплея OnePlus 5, Black</t>
  </si>
  <si>
    <t>Стекло дисплея OnePlus 6, Original, Black</t>
  </si>
  <si>
    <t>Стекло дисплея OnePlus 6T, Original, Black</t>
  </si>
  <si>
    <t>Стекло дисплея OnePlus 7 Pro, 7T Pro, Original, Black</t>
  </si>
  <si>
    <t>Стекло дисплея OnePlus 7, Original, Black</t>
  </si>
  <si>
    <t>Стекло дисплея OnePlus 7T, Original, Black</t>
  </si>
  <si>
    <t>Стекло дисплея OnePlus 7T, с OCA пленкой, Original</t>
  </si>
  <si>
    <t>Стекло дисплея OnePlus 8 Pro, Original, Black</t>
  </si>
  <si>
    <t>Стекло дисплея OnePlus 8 Pro, с OCA пленкой, Original</t>
  </si>
  <si>
    <t>Стекло дисплея OnePlus 8, Original, Black</t>
  </si>
  <si>
    <t>Стекло дисплея OnePlus 8, с OCA пленкой, Original</t>
  </si>
  <si>
    <t>Стекло дисплея OnePlus 8T, OnePlus 9, OnePlus 9R, с OCA пленкой, Original</t>
  </si>
  <si>
    <t>Стекло дисплея OnePlus Nord 2 (DN2103, DN2101), Nord CE (EB2101, EB2103), с OCA пленкой, Original</t>
  </si>
  <si>
    <t>Стекло дисплея OnePlus Nord N10 5G, с OCA пленкой, Original</t>
  </si>
  <si>
    <t>Стекло дисплея OnePlus Nord, Original, Black</t>
  </si>
  <si>
    <t>Стекло дисплея OnePlus Nord, с OCA пленкой, Original</t>
  </si>
  <si>
    <t>Стекло дисплея Oppo A12, A12s, с OCA пленкой, Original</t>
  </si>
  <si>
    <t>Стекло дисплея Oppo A15 2020, A15s, Realme C11, Realme C12, Realme C15, Black</t>
  </si>
  <si>
    <t>Стекло дисплея Oppo A31, A5 2020, A9 2020, A17, Realme 5, Realme 5S, Realme 5i, Realme 6i, Realme C3, Black</t>
  </si>
  <si>
    <t>Стекло дисплея Oppo A31, A5 2020, A9 2020, A17, Realme 5, Realme 5S, Realme 5i, Realme 6i, Realme C3, с OCA пленкой, Original</t>
  </si>
  <si>
    <t>Стекло дисплея Oppo A32 2020, A53, A53s; Realme 7, Realme C17; OnePlus Nord N100, Black</t>
  </si>
  <si>
    <t>Стекло дисплея Oppo A32 2020, A53, A53s; Realme 7, Realme C17; OnePlus Nord N100, с OCA пленкой, Original</t>
  </si>
  <si>
    <t>Стекло дисплея Oppo A52, A72, A92, Realme 6, Original PRC</t>
  </si>
  <si>
    <t>Стекло дисплея Oppo A52, A72, A92, Realme 6, с OCA пленкой, Original</t>
  </si>
  <si>
    <t>Стекло дисплея Oppo A55, с OCA пленкой, Original PRC</t>
  </si>
  <si>
    <t>Стекло дисплея Oppo A74 (4G), A94, Realme 7 Pro, Realme 8, Realme V, с OCA пленкой, Original</t>
  </si>
  <si>
    <t>Стекло дисплея Oppo A74 (4G), A94, Reno 5 Lite, Realme 7 Pro, Realme 8, Realme V, Black</t>
  </si>
  <si>
    <t>Стекло дисплея Oppo A91, Black</t>
  </si>
  <si>
    <t>Стекло дисплея Oppo A91, с OCA пленкой, Original</t>
  </si>
  <si>
    <t>Стекло дисплея Oppo A92s, Realme 6 Pro, Black</t>
  </si>
  <si>
    <t>Стекло дисплея Oppo Reno 8 Pro Plus, с OCA пленкой, Original</t>
  </si>
  <si>
    <t>Стекло дисплея Oppo Reno 8 Pro, с OCA пленкой, Original</t>
  </si>
  <si>
    <t>Стекло дисплея Oppo Reno 8, с OCA пленкой, Original</t>
  </si>
  <si>
    <t>Стекло дисплея Realme 9 Pro+ Plus, Oppo Reno7 4G 5G, Reno8 Lite 5G, Oneplus Nord CE 2 5G, с OCA пленкой, Original  (G+OCA Pro)</t>
  </si>
  <si>
    <t>Стекло дисплея Samsung A025 Galaxy A02s, A035 Galaxy A03, A037 Galaxy A03s, Black</t>
  </si>
  <si>
    <t>Стекло дисплея Samsung A025 Galaxy A02s, A035 Galaxy A03, A037 Galaxy A03s, с OCA пленкой, Original, Black</t>
  </si>
  <si>
    <t>Стекло дисплея Samsung A037 Galaxy A03s, Original PRC, Black</t>
  </si>
  <si>
    <t>Стекло дисплея Samsung A105 Galaxy A10 2019, Original, Black</t>
  </si>
  <si>
    <t>Стекло дисплея Samsung A105 Galaxy A10 2019, с OCA пленкой, Original, Black</t>
  </si>
  <si>
    <t>Стекло дисплея Samsung A107 Galaxy A10s, Original, Black</t>
  </si>
  <si>
    <t>Стекло дисплея Samsung A107 Galaxy A10s, с OCA пленкой, Original, Black</t>
  </si>
  <si>
    <t>Стекло дисплея Samsung A115 Galaxy A11, M115 Galaxy M11, Original, Black</t>
  </si>
  <si>
    <t>Стекло дисплея Samsung A115 Galaxy A11, M115 Galaxy M11, с OCA пленкой, Original, Black</t>
  </si>
  <si>
    <t>Стекло дисплея Samsung A125 Galaxy A12, A022 Galaxy A02, A326 Galaxy A32 5G, M127 Galaxy M12, Original, Black</t>
  </si>
  <si>
    <t>Стекло дисплея Samsung A125 Galaxy A12, A022 Galaxy A02, A326 Galaxy A32 5G, M127 Galaxy M12, с OCA пленкой, Original</t>
  </si>
  <si>
    <t>Стекло дисплея Samsung A135 Galaxy A13, с OCA пленкой, Original, Black</t>
  </si>
  <si>
    <t>Стекло дисплея Samsung A137 Galaxy A13, A235 Galaxy A23, M236 Galaxy M23, M336 Galaxy M33, с OCA пленкой, Original, Black</t>
  </si>
  <si>
    <t>Стекло дисплея Samsung A205 Galaxy A20 2019, A307 Galaxy A30s, Black</t>
  </si>
  <si>
    <t>Стекло дисплея Samsung A205 Galaxy A20 2019, A307 Galaxy A30s, с OCA пленкой, Original, Black</t>
  </si>
  <si>
    <t>Стекло дисплея Samsung A207 Galaxy A20s 2019, Original, Black</t>
  </si>
  <si>
    <t>Стекло дисплея Samsung A207 Galaxy A20s, с OCA пленкой, Original</t>
  </si>
  <si>
    <t>Стекло дисплея Samsung A215 Galaxy A21, с OCA пленкой, Original</t>
  </si>
  <si>
    <t>Стекло дисплея Samsung A217 Galaxy A21s, Original, Black</t>
  </si>
  <si>
    <t>Стекло дисплея Samsung A225 Galaxy A22, Original</t>
  </si>
  <si>
    <t>Стекло дисплея Samsung A226 Galaxy A22 5G, с OCA пленкой, Original</t>
  </si>
  <si>
    <t>Стекло дисплея Samsung A305 Galaxy A30 2019, A505 Galaxy A50 2019, с OCA пленкой, Original</t>
  </si>
  <si>
    <t>Стекло дисплея Samsung A3051 Galaxy A40s, Original, Black</t>
  </si>
  <si>
    <t>Стекло дисплея Samsung A315 Galaxy A31, Original, Black</t>
  </si>
  <si>
    <t>Стекло дисплея Samsung A315 Galaxy A31, с OCA пленкой, Original, Black</t>
  </si>
  <si>
    <t>Стекло дисплея Samsung A320 Galaxy A3 2017, Gold</t>
  </si>
  <si>
    <t>Стекло дисплея Samsung A320 Galaxy A3 2017, Pink</t>
  </si>
  <si>
    <t>Стекло дисплея Samsung A320 Galaxy A3 2017, White</t>
  </si>
  <si>
    <t>Стекло дисплея Samsung A325 Galaxy A32, с OCA пленкой, Original</t>
  </si>
  <si>
    <t>Стекло дисплея Samsung A336 Galaxy A33, с OCA пленкой, Original</t>
  </si>
  <si>
    <t>Стекло дисплея Samsung A405 Galaxy A40 2019, Original, Black</t>
  </si>
  <si>
    <t>Стекло дисплея Samsung A405 Galaxy A40 2019, с OCA пленкой, Original</t>
  </si>
  <si>
    <t>Стекло дисплея Samsung A415 Galaxy A41, Original, Black</t>
  </si>
  <si>
    <t>Стекло дисплея Samsung A415 Galaxy A41, с OCA пленкой, Original</t>
  </si>
  <si>
    <t>Стекло дисплея Samsung A500 Galaxy A5, Black</t>
  </si>
  <si>
    <t>Стекло дисплея Samsung A500 Galaxy A5, Gold</t>
  </si>
  <si>
    <t>Стекло дисплея Samsung A510 Galaxy A5 (2016), Gold</t>
  </si>
  <si>
    <t>Стекло дисплея Samsung A510 Galaxy A5 (2016), White</t>
  </si>
  <si>
    <t>Стекло дисплея Samsung A515 Galaxy A51, M317 Galaxy M31s, Original, Black</t>
  </si>
  <si>
    <t>Стекло дисплея Samsung A515 Galaxy A51, M317 Galaxy M31s, с OCA пленкой, Original, Black</t>
  </si>
  <si>
    <t>Стекло дисплея Samsung A520 Galaxy A5 2017, Original, White</t>
  </si>
  <si>
    <t>Стекло дисплея Samsung A525 Galaxy A52, G780 Galaxy S20 FE, Original, Black</t>
  </si>
  <si>
    <t>Стекло дисплея Samsung A525 Galaxy A52, G780 Galaxy S20 FE, с OCA пленкой, Original (G+OCA Pro)</t>
  </si>
  <si>
    <t>Стекло дисплея Samsung A530 Galaxy A8 2018, Original, Black</t>
  </si>
  <si>
    <t>Стекло дисплея Samsung A536 Galaxy A53 5G, с OCA пленкой, Original</t>
  </si>
  <si>
    <t>Стекло дисплея Samsung A600 Galaxy A6 2018, Black</t>
  </si>
  <si>
    <t>Стекло дисплея Samsung A605 Galaxy A6 Plus 2018, Black</t>
  </si>
  <si>
    <t>Стекло дисплея Samsung A606 Galaxy A60, M405 Galaxy M40, Original, Black</t>
  </si>
  <si>
    <t>Стекло дисплея Samsung A700 Galaxy A7, Black</t>
  </si>
  <si>
    <t>Стекло дисплея Samsung A700 Galaxy A7, Gold</t>
  </si>
  <si>
    <t>Стекло дисплея Samsung A700 Galaxy A7, White</t>
  </si>
  <si>
    <t>Стекло дисплея Samsung A705 Galaxy A70, Original, Black</t>
  </si>
  <si>
    <t>Стекло дисплея Samsung A705 Galaxy A70, с OCA пленкой, Original</t>
  </si>
  <si>
    <t>Стекло дисплея Samsung A710 Galaxy A7 (2016) Duos, Black</t>
  </si>
  <si>
    <t>Стекло дисплея Samsung A710 Galaxy A7 (2016) Duos, Gold</t>
  </si>
  <si>
    <t>Стекло дисплея Samsung A710 Galaxy A7 (2016) Duos, White</t>
  </si>
  <si>
    <t>Стекло дисплея Samsung A715 Galaxy A71, M515 Galaxy M51, Original PRC</t>
  </si>
  <si>
    <t>Стекло дисплея Samsung A715 Galaxy A71, M515 Galaxy M51, с OCA пленкой, Original</t>
  </si>
  <si>
    <t>Стекло дисплея Samsung A720 Galaxy A7 2017, White</t>
  </si>
  <si>
    <t>Стекло дисплея Samsung A725 Galaxy A72, Original PRC, Black</t>
  </si>
  <si>
    <t>Стекло дисплея Samsung A730 Galaxy A8 Plus 2018, Black</t>
  </si>
  <si>
    <t>Стекло дисплея Samsung A736 Galaxy A73 5G, с OCA пленкой, Original</t>
  </si>
  <si>
    <t>Стекло дисплея Samsung A750 Galaxy A7 2018, Black</t>
  </si>
  <si>
    <t>Стекло дисплея Samsung A750 Galaxy A7 2018, Gold</t>
  </si>
  <si>
    <t>Стекло дисплея Samsung A750 Galaxy A7 2018, White</t>
  </si>
  <si>
    <t>Стекло дисплея Samsung A805 Galaxy A80 2019, Original, Black</t>
  </si>
  <si>
    <t>Стекло дисплея Samsung A9100 Galaxy A9 Pro 2016, Black</t>
  </si>
  <si>
    <t>Стекло дисплея Samsung A9100 Galaxy A9 Pro 2016, Gold</t>
  </si>
  <si>
    <t>Стекло дисплея Samsung A9100 Galaxy A9 Pro 2016, White</t>
  </si>
  <si>
    <t>Стекло дисплея Samsung F926 Galaxy Fold 3, (Переднего), с пленкой OCA, Original, Black</t>
  </si>
  <si>
    <t>Стекло дисплея Samsung G570 Galaxy J5 Prime, Gold</t>
  </si>
  <si>
    <t>Стекло дисплея Samsung G570 Galaxy J5 Prime, White</t>
  </si>
  <si>
    <t>Стекло дисплея Samsung G610 Galaxy J7 Prime, Black</t>
  </si>
  <si>
    <t>Стекло дисплея Samsung G610 Galaxy J7 Prime, Gold</t>
  </si>
  <si>
    <t>Стекло дисплея Samsung G610 Galaxy J7 Prime, White</t>
  </si>
  <si>
    <t>Стекло дисплея Samsung G770 Galaxy S10 Lite, с OCA пленкой, Original</t>
  </si>
  <si>
    <t>Стекло дисплея Samsung G850 Galaxy Alpha, White</t>
  </si>
  <si>
    <t>Стекло дисплея Samsung G8870 Galaxy A8s 2018, Black</t>
  </si>
  <si>
    <t>Стекло дисплея Samsung G925 Galaxy S6 Edge, Blue</t>
  </si>
  <si>
    <t>Стекло дисплея Samsung G925 Galaxy S6 Edge, Gold</t>
  </si>
  <si>
    <t>Стекло дисплея Samsung G935 Galaxy S7 Edge, Coral Blue, Original</t>
  </si>
  <si>
    <t>Стекло дисплея Samsung G950 Galaxy S8, Original, Black</t>
  </si>
  <si>
    <t>Стекло дисплея Samsung G950 Galaxy S8, с OCA пленкой, Original, Black</t>
  </si>
  <si>
    <t>Стекло дисплея Samsung G950 Galaxy S8, с OCA пленкой, тачскрином, Original PRC, Black</t>
  </si>
  <si>
    <t>Стекло дисплея Samsung G955 Galaxy S8 Plus, Original PRC, Black</t>
  </si>
  <si>
    <t>Стекло дисплея Samsung G955 Galaxy S8 Plus, с OCA пленкой, Original, Black</t>
  </si>
  <si>
    <t>Стекло дисплея Samsung G955 Galaxy S8 Plus, с OCA пленкой, тачскрином, Original PRC, Black</t>
  </si>
  <si>
    <t>Стекло дисплея Samsung G960 Galaxy S9, Original PRC, Black</t>
  </si>
  <si>
    <t>Стекло дисплея Samsung G960 Galaxy S9, с OCA пленкой, Original, Black</t>
  </si>
  <si>
    <t>Стекло дисплея Samsung G965 Galaxy S9 Plus, Original PRC, Black</t>
  </si>
  <si>
    <t>Стекло дисплея Samsung G965 Galaxy S9 Plus, с OCA пленкой, Original, Black</t>
  </si>
  <si>
    <t>Стекло дисплея Samsung G970 Galaxy S10e, Original, Black</t>
  </si>
  <si>
    <t>Стекло дисплея Samsung G973 Galaxy S10, Original PRC, Black</t>
  </si>
  <si>
    <t>Стекло дисплея Samsung G973 Galaxy S10, с OCA пленкой, Original, Black</t>
  </si>
  <si>
    <t>Стекло дисплея Samsung G975 Galaxy S10 Plus, Original PRC, Black</t>
  </si>
  <si>
    <t>Стекло дисплея Samsung G975 Galaxy S10 Plus, с OCA пленкой, Original, Black</t>
  </si>
  <si>
    <t>Стекло дисплея Samsung G980 Galaxy S20, Original PRC, Black</t>
  </si>
  <si>
    <t>Стекло дисплея Samsung G980 Galaxy S20, с OCA пленкой, Original</t>
  </si>
  <si>
    <t>Стекло дисплея Samsung G985 Galaxy S20 Plus, Original PRC, Black</t>
  </si>
  <si>
    <t>Стекло дисплея Samsung G985 Galaxy S20 Plus, с OCA пленкой, Original PRC, Black</t>
  </si>
  <si>
    <t>Стекло дисплея Samsung G988 Galaxy S20 Ultra, Original PRC, Black</t>
  </si>
  <si>
    <t>Стекло дисплея Samsung G988 Galaxy S20 Ultra, с OCA пленкой, Original</t>
  </si>
  <si>
    <t>Стекло дисплея Samsung G991 Galaxy S21, с OCA пленкой, Original</t>
  </si>
  <si>
    <t>Стекло дисплея Samsung G996 Galaxy S21 Plus, с OCA пленкой, Original</t>
  </si>
  <si>
    <t>Стекло дисплея Samsung G998 Galaxy S21 Ultra, с OCA пленкой, Original PRC</t>
  </si>
  <si>
    <t>Стекло дисплея Samsung I9082 Galaxy Grand Duos, White</t>
  </si>
  <si>
    <t>Стекло дисплея Samsung I9100 Galaxy S2, White</t>
  </si>
  <si>
    <t>Стекло дисплея Samsung I9300 Galaxy S3, Grey</t>
  </si>
  <si>
    <t>Стекло дисплея Samsung J110 Galaxy J1 Ace Duos, Black</t>
  </si>
  <si>
    <t>Стекло дисплея Samsung J110 Galaxy J1 Ace Duos, Gold</t>
  </si>
  <si>
    <t>Стекло дисплея Samsung J110 Galaxy J1 Ace Duos, White</t>
  </si>
  <si>
    <t>Стекло дисплея Samsung J120 Galaxy J1 2016, White</t>
  </si>
  <si>
    <t>Стекло дисплея Samsung J200 Galaxy J2, Black</t>
  </si>
  <si>
    <t>Стекло дисплея Samsung J200 Galaxy J2, Gold</t>
  </si>
  <si>
    <t>Стекло дисплея Samsung J200 Galaxy J2, White</t>
  </si>
  <si>
    <t>Стекло дисплея Samsung J320 Galaxy J3 2016, Black</t>
  </si>
  <si>
    <t>Стекло дисплея Samsung J320 Galaxy J3 2016, Gold</t>
  </si>
  <si>
    <t>Стекло дисплея Samsung J330 Galaxy J3 2017, Original, Pink</t>
  </si>
  <si>
    <t>Стекло дисплея Samsung J400 Galaxy J4 2018, Pink</t>
  </si>
  <si>
    <t>Стекло дисплея Samsung J500 Galaxy J5, Black</t>
  </si>
  <si>
    <t>Стекло дисплея Samsung J500 Galaxy J5, Gold</t>
  </si>
  <si>
    <t>Стекло дисплея Samsung J500 Galaxy J5, White</t>
  </si>
  <si>
    <t>Стекло дисплея Samsung J510 Galaxy J5 (2016) Duos, Gold</t>
  </si>
  <si>
    <t>Стекло дисплея Samsung J530 Galaxy J5 2017, Gold</t>
  </si>
  <si>
    <t>Стекло дисплея Samsung J530 Galaxy J5 2017, White</t>
  </si>
  <si>
    <t>Стекло дисплея Samsung J610 Galaxy J6 Plus 2018, J415 Galaxy J4 Plus 2018, Black</t>
  </si>
  <si>
    <t>Стекло дисплея Samsung J610 Galaxy J6 Plus 2018, J415 Galaxy J4 Plus 2018, White</t>
  </si>
  <si>
    <t>Стекло дисплея Samsung J700 Galaxy J7, White</t>
  </si>
  <si>
    <t>Стекло дисплея Samsung J730 Galaxy J7 2017, Black</t>
  </si>
  <si>
    <t>Стекло дисплея Samsung J730 Galaxy J7 2017, Blue</t>
  </si>
  <si>
    <t>Стекло дисплея Samsung J730 Galaxy J7 2017, Gold</t>
  </si>
  <si>
    <t>Стекло дисплея Samsung J810 Galaxy J8 2018, Black</t>
  </si>
  <si>
    <t>Стекло дисплея Samsung M105 Galaxy M10, Original, Black</t>
  </si>
  <si>
    <t>Стекло дисплея Samsung M135 Galaxy M13, с OCA пленкой, Original</t>
  </si>
  <si>
    <t>Стекло дисплея Samsung M146 Galaxy M14, с OCA пленкой, Original</t>
  </si>
  <si>
    <t>Стекло дисплея Samsung M205 Galaxy M20, Original, Black</t>
  </si>
  <si>
    <t>Стекло дисплея Samsung M215 Galaxy M21, Black</t>
  </si>
  <si>
    <t>Стекло дисплея Samsung M305 Galaxy M30, M307 Galaxy M30s, M315 Galaxy M31, Original, Black</t>
  </si>
  <si>
    <t>Стекло дисплея Samsung M305 Galaxy M30, M307 Galaxy M30s, M315 Galaxy M31, с OCA пленкой, Original</t>
  </si>
  <si>
    <t>Стекло дисплея Samsung M526 Galaxy M52, Black</t>
  </si>
  <si>
    <t>Стекло дисплея Samsung M536 Galaxy M53, с OCA пленкой, Original</t>
  </si>
  <si>
    <t>Стекло дисплея Samsung N7000 Galaxy Note, Black</t>
  </si>
  <si>
    <t>Стекло дисплея Samsung N7000 Galaxy Note, White</t>
  </si>
  <si>
    <t>Стекло дисплея Samsung N920 Galaxy Note 5, Original, Blue</t>
  </si>
  <si>
    <t>Стекло дисплея Samsung N920 Galaxy Note 5, Original, Gold</t>
  </si>
  <si>
    <t>Стекло дисплея Samsung N920 Galaxy Note 5, Silver</t>
  </si>
  <si>
    <t>Стекло дисплея Samsung N950 Galaxy Note 8, Original PRC, Black</t>
  </si>
  <si>
    <t>Стекло дисплея Samsung N950 Galaxy Note 8, с OCA пленкой, Original</t>
  </si>
  <si>
    <t>Стекло дисплея Samsung N950 Galaxy Note 8, с OCA пленкой, тачскрином, Original PRC, Black</t>
  </si>
  <si>
    <t>Стекло дисплея Samsung N960 Galaxy Note 9, Original PRC, Black</t>
  </si>
  <si>
    <t>Стекло дисплея Samsung N960 Galaxy Note 9, с OCA пленкой, Original</t>
  </si>
  <si>
    <t>Стекло дисплея Samsung N970 Galaxy Note 10, Original PRC, Black</t>
  </si>
  <si>
    <t>Стекло дисплея Samsung N970 Galaxy Note 10, с OCA пленкой, Original PRC, Black</t>
  </si>
  <si>
    <t>Стекло дисплея Samsung N975 Galaxy Note 10 Plus, Original PRC, Black</t>
  </si>
  <si>
    <t>Стекло дисплея Samsung N975 Galaxy Note 10 Plus, с OCA пленкой, Original</t>
  </si>
  <si>
    <t>Стекло дисплея Samsung N980 Galaxy Note 20, с OCA пленкой, Original</t>
  </si>
  <si>
    <t>Стекло дисплея Samsung N985 Galaxy Note 20 Ultra, с OCA пленкой, Original PRC</t>
  </si>
  <si>
    <t>Стекло дисплея Samsung P610, P613, P615, P617, P619 Galaxy Tab S6 Lite, с OCA пленкой, Original, Black</t>
  </si>
  <si>
    <t>Стекло дисплея Samsung S901 Galaxy S22, с OCA пленкой, Original</t>
  </si>
  <si>
    <t>Стекло дисплея Samsung S906 Galaxy S22 Plus, с OCA пленкой, Original</t>
  </si>
  <si>
    <t>Стекло дисплея Samsung S911 Galaxy S23, с OCA пленкой, Original (G+OCA Pro)</t>
  </si>
  <si>
    <t>Стекло дисплея Samsung S916 Galaxy S23 Plus, с OCA пленкой, Original (G+OCA Pro)</t>
  </si>
  <si>
    <t>Стекло дисплея Samsung T220 Galaxy Tab A7 Lite Wi-Fi, с OCA пленкой, Original, Black</t>
  </si>
  <si>
    <t>Стекло дисплея Samsung T225 Galaxy Tab A7 Lite LTE, с OCA пленкой, Original, Black</t>
  </si>
  <si>
    <t>Стекло дисплея Samsung T225 Galaxy Tab A7 Lite LTE, с OCA пленкой, Original, White</t>
  </si>
  <si>
    <t>Стекло дисплея Samsung T280 Galaxy Tab A 7.0 Wi-FI, Black</t>
  </si>
  <si>
    <t>Стекло дисплея Samsung T280 Galaxy Tab A 7.0 Wi-FI, White</t>
  </si>
  <si>
    <t>Стекло дисплея Samsung T285 Galaxy Tab A 7.0 3G, Black</t>
  </si>
  <si>
    <t>Стекло дисплея Samsung T285 Galaxy Tab A 7.0 3G, White</t>
  </si>
  <si>
    <t>Стекло дисплея Samsung T285 Galaxy Tab A 7.0 3G, с OCA пленкой, Original, Black</t>
  </si>
  <si>
    <t>Стекло дисплея Samsung T290 Galaxy Tab A 8.0 WiFi, с OCA пленкой, Original, Black</t>
  </si>
  <si>
    <t>Стекло дисплея Samsung T290 Galaxy Tab A 8.0 WiFi, с OCA пленкой, Original, White</t>
  </si>
  <si>
    <t>Стекло дисплея Samsung T500, T505 Galaxy Tab A7 10.4, с OCA пленкой, Original, Black</t>
  </si>
  <si>
    <t>Стекло дисплея Samsung T500, T505 Galaxy Tab A7 10.4, с OCA пленкой, Original, White</t>
  </si>
  <si>
    <t>Стекло дисплея Samsung T510 Galaxy Tab A 10.1 Wi-Fi, T515 Galaxy Tab A 10.1 LTE, Black</t>
  </si>
  <si>
    <t>Стекло дисплея Samsung T700 Galaxy Tab S 8.4, Black</t>
  </si>
  <si>
    <t>Стекло дисплея Samsung T700 Galaxy Tab S 8.4, White</t>
  </si>
  <si>
    <t>Стекло дисплея Samsung T705 Galaxy Tab S 8.4 3G, с OCA пленкой, Original, Bronze</t>
  </si>
  <si>
    <t>Стекло дисплея Samsung T720, T725 Galaxy Tab S5e 10.5, T860, T865 Galaxy Tab S6 10.5, с OCA пленкой, Original, Black</t>
  </si>
  <si>
    <t>Стекло дисплея Samsung T800 Galaxy Tab S 10.5, T805 Galaxy Tab S 10.5 LTE, с OCA пленкой, Original, Black</t>
  </si>
  <si>
    <t>Стекло дисплея Samsung T800 Galaxy Tab S 10.5, T805 Galaxy Tab S 10.5 LTE, с OCA пленкой, Original, White</t>
  </si>
  <si>
    <t>Стекло дисплея Samsung T810 Galaxy Tab S2, T815 Galaxy Tab S2 LTE, с OCA пленкой, Original, Black</t>
  </si>
  <si>
    <t>Стекло дисплея Samsung T810 Galaxy Tab S2, T815 Galaxy Tab S2 LTE, с OCA пленкой, Original, White</t>
  </si>
  <si>
    <t>Стекло дисплея Samsung T870 Galaxy Tab S7 Wi-Fi, T875, T876 Galaxy Tab S7 LTE / 5G, с OCA пленкой, Original, Black</t>
  </si>
  <si>
    <t>Стекло дисплея Samsung T970 Galaxy Tab S7 Plus Wi-Fi, T975, T976 Galaxy Tab S7 Plus LTE / 5G, с OCA пленкой, Original, Black</t>
  </si>
  <si>
    <t>Стекло дисплея Samsung X200 Galaxy Tab A8 Wi-Fi, X205 Galaxy Tab A8 LTE, с OCA пленкой, Original, Black</t>
  </si>
  <si>
    <t>Стекло дисплея Samsung X700, X706 Galaxy Tab S8, Original, Black</t>
  </si>
  <si>
    <t>Стекло дисплея Sony F3111 Xperia XA, F3112 Xperia XA Dual, F3113 Xperia XA, F3115 Xperia XA, F3116 Xperia XA Dual, Gold</t>
  </si>
  <si>
    <t>Стекло дисплея Sony F3111 Xperia XA, F3112 Xperia XA Dual, F3113 Xperia XA, F3115 Xperia XA, F3116 Xperia XA Dual, Pink</t>
  </si>
  <si>
    <t>Tecno</t>
  </si>
  <si>
    <t>Стекло дисплея Tecno Camon 12 (CC7), с OCA пленкой, Original</t>
  </si>
  <si>
    <t>Стекло дисплея Tecno Camon 12 Air (CC6), с OCA пленкой, Original</t>
  </si>
  <si>
    <t>Стекло дисплея Tecno Camon 15 (CD7), Camon 15 Air, Spark 5, Spark 5 Pro (KD7), с OCA пленкой, Original</t>
  </si>
  <si>
    <t>Стекло дисплея Tecno Camon 16 Pro, с OCA пленкой, Original (G+OCA Pro)</t>
  </si>
  <si>
    <t>Стекло дисплея Tecno Camon 18 (CH6n), Camon 18P (CH7)</t>
  </si>
  <si>
    <t>Стекло дисплея Tecno Camon 18 (CH6n), Camon 18P (CH7), с OCA пленкой, Original</t>
  </si>
  <si>
    <t>Стекло дисплея Tecno Pova 2 (LE7n)</t>
  </si>
  <si>
    <t>Стекло дисплея Tecno Pova 2 (LE7n), с OCA пленкой, Original</t>
  </si>
  <si>
    <t>Стекло дисплея Tecno Spark 5 AIR (KD6), с OCA пленкой, Original</t>
  </si>
  <si>
    <t>Стекло дисплея Tecno Spark 6 (KE7), Camon 16 SE (CE7j)</t>
  </si>
  <si>
    <t>Стекло дисплея Tecno Spark 6 (KE7), Camon 16 SE (CE7j), с OCA пленкой, Original</t>
  </si>
  <si>
    <t>Стекло дисплея Tecno Spark 6 Go (KE5)</t>
  </si>
  <si>
    <t>Стекло дисплея Tecno Spark 6 Go (KE5), с OCA пленкой, Original</t>
  </si>
  <si>
    <t>Стекло дисплея Tecno Spark 7 (KF6n)</t>
  </si>
  <si>
    <t>Стекло дисплея Tecno Spark 7 Go (KF6m)</t>
  </si>
  <si>
    <t>Стекло дисплея Tecno Spark Go 2022 (KG5), Spark 7 (KF6n), Tecno Spark 8c (KG5n), с OCA пленкой, Original (G+OCA Pro)</t>
  </si>
  <si>
    <t>Стекло дисплея Vivo Y11 (2019), Y12 (2019), Y15 (2019), Y17 (2019), Black</t>
  </si>
  <si>
    <t>Стекло дисплея Vivo Y11 (2019), Y12 (2019), Y15 (2019), Y17 (2019), с OCA пленкой, Original</t>
  </si>
  <si>
    <t>Стекло дисплея Vivo Y19, с OCA пленкой, Original</t>
  </si>
  <si>
    <t>Стекло дисплея Vivo Y20, Y30, Black</t>
  </si>
  <si>
    <t>Стекло дисплея Vivo Y21 (V2111), Y21s (V2110), с пленкой OCA, Original</t>
  </si>
  <si>
    <t>Стекло дисплея Vivo Y31 (V2036), Y31s (V2054A), с OCA пленкой, Original</t>
  </si>
  <si>
    <t>Стекло дисплея Vivo Y53s (V2111A, V2058), с пленкой OCA, Original, Black</t>
  </si>
  <si>
    <t>Стекло дисплея Xiaomi 11 Lite, Mi 11 Lite 5G, с OCA пленкой, Original</t>
  </si>
  <si>
    <t>Стекло дисплея Xiaomi 11T, 11T Pro, с OCA пленкой, Original</t>
  </si>
  <si>
    <t>Стекло дисплея Xiaomi 12 Lite, с OCA пленкой, Original</t>
  </si>
  <si>
    <t>Стекло дисплея Xiaomi 12T, с OCA пленкой, Original</t>
  </si>
  <si>
    <t>Стекло дисплея Xiaomi 13 (2211133C, 2211133G), с OCA пленкой, Original (G+OCA Pro)</t>
  </si>
  <si>
    <t>Стекло дисплея Xiaomi 13 Lite, с OCA пленкой, Original (G+OCA Pro)</t>
  </si>
  <si>
    <t>Стекло дисплея Xiaomi 13T, 13T Pro, с OCA пленкой, Original (G+OCA Pro)</t>
  </si>
  <si>
    <t>Стекло дисплея Xiaomi CC9e, Mi A3, Black</t>
  </si>
  <si>
    <t>Стекло дисплея Xiaomi Mi 10, Mi 10 Pro, Black</t>
  </si>
  <si>
    <t>Стекло дисплея Xiaomi Mi 10, Mi 10 Pro, с OCA пленкой, Original, Black</t>
  </si>
  <si>
    <t>Стекло дисплея Xiaomi Mi 10T Lite, Poco X3, Poco X3 Pro, Original, Black</t>
  </si>
  <si>
    <t>Стекло дисплея Xiaomi Mi 10T Lite, Poco X3, Poco X3 Pro, с OCA пленкой, Original</t>
  </si>
  <si>
    <t>Стекло дисплея Xiaomi Mi 11, Mi 11 Pro, Mi 11 Ultra, Original</t>
  </si>
  <si>
    <t>Стекло дисплея Xiaomi Mi 11, Mi 11 Pro, Mi 11 Ultra, с OCA пленкой, Original</t>
  </si>
  <si>
    <t>Стекло дисплея Xiaomi Mi 11i, Mi 11x, Black Shark 4, Poco F3, Poco F4, Redmi K40, Original, Black</t>
  </si>
  <si>
    <t>Стекло дисплея Xiaomi Mi 11i, Mi 11x, Black Shark 4, Poco F3, Poco F4, Redmi K40, с OCA пленкой, Original</t>
  </si>
  <si>
    <t>Стекло дисплея Xiaomi Mi 8 Lite, Black</t>
  </si>
  <si>
    <t>Стекло дисплея Xiaomi Mi 8 Lite, White</t>
  </si>
  <si>
    <t>Стекло дисплея Xiaomi Mi 8 Lite, с OCA пленкой, Original</t>
  </si>
  <si>
    <t>Стекло дисплея Xiaomi Mi 8 Pro, Original, Black</t>
  </si>
  <si>
    <t>Стекло дисплея Xiaomi Mi 8 SE, Black</t>
  </si>
  <si>
    <t>Стекло дисплея Xiaomi Mi 8, Black</t>
  </si>
  <si>
    <t>Стекло дисплея Xiaomi Mi 8, White</t>
  </si>
  <si>
    <t>Стекло дисплея Xiaomi Mi 8, с OCA пленкой, Original</t>
  </si>
  <si>
    <t>Стекло дисплея Xiaomi Mi 9 Lite, Black</t>
  </si>
  <si>
    <t>Стекло дисплея Xiaomi Mi 9 Lite, с OCA пленкой, Original</t>
  </si>
  <si>
    <t>Стекло дисплея Xiaomi Mi 9 SE, Black</t>
  </si>
  <si>
    <t>Стекло дисплея Xiaomi Mi 9, Original, Black</t>
  </si>
  <si>
    <t>Стекло дисплея Xiaomi Mi 9, с OCA пленкой, Original</t>
  </si>
  <si>
    <t>Стекло дисплея Xiaomi Mi 9T, Mi 9T Pro, Redmi K20, Redmi K20 Pro, Original</t>
  </si>
  <si>
    <t>Стекло дисплея Xiaomi Mi 9T, Mi 9T Pro, Redmi K20, Redmi K20 Pro, с OCA пленкой, Original</t>
  </si>
  <si>
    <t>Стекло дисплея Xiaomi Mi A2, Redmi 6x, Black</t>
  </si>
  <si>
    <t>Стекло дисплея Xiaomi Mi A2, Redmi 6x, Original, с олеофобным покрытием, Black</t>
  </si>
  <si>
    <t>Стекло дисплея Xiaomi Mi A2, Redmi 6x, Original, с олеофобным покрытием, White</t>
  </si>
  <si>
    <t>Стекло дисплея Xiaomi Mi A2, Redmi 6x, White</t>
  </si>
  <si>
    <t>Стекло дисплея Xiaomi Mi Mix 2, Black</t>
  </si>
  <si>
    <t>Стекло дисплея Xiaomi Mi Mix 2, Original, с олеофобным покрытием, White</t>
  </si>
  <si>
    <t>Стекло дисплея Xiaomi Mi Mix 2, White</t>
  </si>
  <si>
    <t>Стекло дисплея Xiaomi Mi Mix 3, Black</t>
  </si>
  <si>
    <t>Стекло дисплея Xiaomi Mi Mix, Black</t>
  </si>
  <si>
    <t>Стекло дисплея Xiaomi Mi Mix, White</t>
  </si>
  <si>
    <t>Стекло дисплея Xiaomi Mi Note 10, Mi Note 10 Lite, Mi Note 10 Pro, Original, Black</t>
  </si>
  <si>
    <t>Стекло дисплея Xiaomi Mi Note 10, Mi Note 10 Lite, Mi Note 10 Pro, с OCA пленкой, Original, Black</t>
  </si>
  <si>
    <t>Стекло дисплея Xiaomi Mi Note 2, Black</t>
  </si>
  <si>
    <t>Стекло дисплея Xiaomi Pad 5 Pro 12.4, Mi Pad 5 Pro 12.4, с OCA пленкой, Original</t>
  </si>
  <si>
    <t>Стекло дисплея Xiaomi Pad 5, Mi Pad 5 11, Mi Pad 5 Pro 11, с OCA пленкой, Original</t>
  </si>
  <si>
    <t>Стекло дисплея Xiaomi Pad 6, Mi Pad 6, с OCA пленкой, Original</t>
  </si>
  <si>
    <t>Стекло дисплея Xiaomi Pocophone F1, Black</t>
  </si>
  <si>
    <t>Стекло дисплея Xiaomi Redmi 10A, Original, Black</t>
  </si>
  <si>
    <t>Стекло дисплея Xiaomi Redmi 10c, с OCA пленкой, Original</t>
  </si>
  <si>
    <t>Стекло дисплея Xiaomi Redmi 12, с OCA пленкой, Original (G+OCA Pro)</t>
  </si>
  <si>
    <t>Стекло дисплея Xiaomi Redmi 12c, с OCA пленкой, Original</t>
  </si>
  <si>
    <t>Стекло дисплея Xiaomi Redmi 5 Plus, с OCA пленкой, Original, Black</t>
  </si>
  <si>
    <t>Стекло дисплея Xiaomi Redmi 5, Original, White</t>
  </si>
  <si>
    <t>Стекло дисплея Xiaomi Redmi 5, White</t>
  </si>
  <si>
    <t>Стекло дисплея Xiaomi Redmi 8, Redmi 8a, Black</t>
  </si>
  <si>
    <t>Стекло дисплея Xiaomi Redmi 8, Redmi 8a, с OCA пленкой, Original</t>
  </si>
  <si>
    <t>Стекло дисплея Xiaomi Redmi 9, Black</t>
  </si>
  <si>
    <t>Стекло дисплея Xiaomi Redmi 9, с OCA пленкой, Original</t>
  </si>
  <si>
    <t>Стекло дисплея Xiaomi Redmi 9A, Redmi 9C, Redmi 10A, Poco C3, Black</t>
  </si>
  <si>
    <t>Стекло дисплея Xiaomi Redmi 9A, Redmi 9C, Redmi 10A, Poco C3, с OCA пленкой, Original</t>
  </si>
  <si>
    <t>Стекло дисплея Xiaomi Redmi 9T, Redmi 9 Power, Poco M3, Black</t>
  </si>
  <si>
    <t>Стекло дисплея Xiaomi Redmi 9T, Redmi 9 Power, Poco M3, с OCA пленкой, Original</t>
  </si>
  <si>
    <t>Стекло дисплея Xiaomi Redmi K30, Pocophone X2, Black</t>
  </si>
  <si>
    <t>Стекло дисплея Xiaomi Redmi Note 10 4G, Redmi Note 10S, Original, Black</t>
  </si>
  <si>
    <t>Стекло дисплея Xiaomi Redmi Note 10 4G, Redmi Note 10S, с OCA пленкой, Original</t>
  </si>
  <si>
    <t>Стекло дисплея Xiaomi Redmi Note 10 5G, Poco M3 Pro, Poco M3 Pro 5G, Original, Black</t>
  </si>
  <si>
    <t>Стекло дисплея Xiaomi Redmi Note 10 5G, Redmi 10, Poco M3 Pro, Poco M3 Pro 5G, с OCA пленкой, Original (G+OCA Pro)</t>
  </si>
  <si>
    <t>Стекло дисплея Xiaomi Redmi Note 10 Pro, Original, Black</t>
  </si>
  <si>
    <t>Стекло дисплея Xiaomi Redmi Note 10 Pro, с OCA пленкой, (Small LCD)</t>
  </si>
  <si>
    <t>Стекло дисплея Xiaomi Redmi Note 10 Pro, с OCA пленкой, Original</t>
  </si>
  <si>
    <t>Стекло дисплея Xiaomi Redmi Note 11 (Global version), Redmi Note 11s, Redmi Note 12s, с OCA пленкой, Original (G+OCA Pro)</t>
  </si>
  <si>
    <t>Стекло дисплея Xiaomi Redmi Note 11 5G, Redmi Note 11T 5G, Redmi Note 11S 5G, Poco M4 Pro 5G, с OCA пленкой, Original</t>
  </si>
  <si>
    <t>Стекло дисплея Xiaomi Redmi Note 11 Pro, Redmi Note 11 Pro 5G, Poco X4 Pro 5G, с OCA пленкой, Original</t>
  </si>
  <si>
    <t>Стекло дисплея Xiaomi Redmi Note 11E, Redmi 10 5G, Poco M4 5G, Poco M5, с OCA пленкой, Original (G+OCA Pro)</t>
  </si>
  <si>
    <t>Стекло дисплея Xiaomi Redmi Note 12 4G, Redmi Note 12 5G, Poco X5, с OCA пленкой, Original (G+OCA Pro)</t>
  </si>
  <si>
    <t>Стекло дисплея Xiaomi Redmi Note 12 Pro, Redmi Note 12 Pro Plus, Poco X5 Pro, с OCA пленкой, Original (G+OCA Pro)</t>
  </si>
  <si>
    <t>Стекло дисплея Xiaomi Redmi Note 12, с OCA пленкой, Original</t>
  </si>
  <si>
    <t>Стекло дисплея Xiaomi Redmi Note 5, Redmi Note 5 Pro, Black</t>
  </si>
  <si>
    <t>Стекло дисплея Xiaomi Redmi Note 5, Redmi Note 5 Pro, White</t>
  </si>
  <si>
    <t>Стекло дисплея Xiaomi Redmi Note 5, Redmi Note 5 Pro, с OCA пленкой, Original, Black</t>
  </si>
  <si>
    <t>Стекло дисплея Xiaomi Redmi Note 5, Redmi Note 5 Pro, с олеофобным покрытием, Original, White</t>
  </si>
  <si>
    <t>Стекло дисплея Xiaomi Redmi Note 6 Pro, с OCA пленкой, Original, Black</t>
  </si>
  <si>
    <t>Стекло дисплея Xiaomi Redmi Note 6 Pro, с OCA пленкой, Original, White</t>
  </si>
  <si>
    <t>Стекло дисплея Xiaomi Redmi Note 6, Original, с олеофобным покрытием, Black</t>
  </si>
  <si>
    <t>Стекло дисплея Xiaomi Redmi Note 6, Original, с олеофобным покрытием, White</t>
  </si>
  <si>
    <t>Стекло дисплея Xiaomi Redmi Note 7, Redmi Note 7 Pro, Black</t>
  </si>
  <si>
    <t>Стекло дисплея Xiaomi Redmi Note 7, Redmi Note 7 Pro, с OCA пленкой, Original</t>
  </si>
  <si>
    <t>Стекло дисплея Xiaomi Redmi Note 8 Pro, Black</t>
  </si>
  <si>
    <t>Стекло дисплея Xiaomi Redmi Note 8 Pro, с OCA пленкой, Original</t>
  </si>
  <si>
    <t>Стекло дисплея Xiaomi Redmi Note 8, Black</t>
  </si>
  <si>
    <t>Стекло дисплея Xiaomi Redmi Note 8, с OCA пленкой, Original</t>
  </si>
  <si>
    <t>Стекло дисплея Xiaomi Redmi Note 8T, Original, Black</t>
  </si>
  <si>
    <t>Стекло дисплея Xiaomi Redmi Note 9 Pro, Redmi Note 9S, Black</t>
  </si>
  <si>
    <t>Стекло дисплея Xiaomi Redmi Note 9 Pro, Redmi Note 9S, с OCA пленкой, Original</t>
  </si>
  <si>
    <t>Стекло дисплея Xiaomi Redmi Note 9, Redmi 10X 4G, Black</t>
  </si>
  <si>
    <t>Стекло дисплея Xiaomi Redmi Note 9, Redmi 10X 4G, с OCA пленкой, Original</t>
  </si>
  <si>
    <t>Форми для ремонта дисплейных модулей</t>
  </si>
  <si>
    <t>Комплекты прес форм</t>
  </si>
  <si>
    <t>Комплект пресс форм для дисплея Samsung G973 Galaxy S10, для пресов типа Triangel M103</t>
  </si>
  <si>
    <t>Комплект пресс форм для дисплея Samsung G975 Galaxy S10 Plus, для пресов типа Triangel M103</t>
  </si>
  <si>
    <t>Комплект пресс форм для дисплея Samsung G980 Galaxy S20, для пресов типа Triangel M103</t>
  </si>
  <si>
    <t>Комплект пресс форм для дисплея Samsung G985 Galaxy S20 Plus, для пресов типа Triangel M103</t>
  </si>
  <si>
    <t>Комплект пресс форм для дисплея Samsung G988 Galaxy S20 Ultra, для пресов типа Triangel M103</t>
  </si>
  <si>
    <t>Комплект пресс форм для дисплея Samsung N950 Galaxy Note 8, для пресов типа Triangel M103</t>
  </si>
  <si>
    <t>Комплект пресс форм для дисплея Samsung N960 Galaxy Note 9, для пресов типа Triangel M103</t>
  </si>
  <si>
    <t>Комплект пресс форм для дисплея Samsung N970 Galaxy Note 10, для пресов типа Triangel M103</t>
  </si>
  <si>
    <t>Комплект пресс форм для дисплея Samsung N975 Galaxy Note 10 Plus, для пресов типа Triangel M103</t>
  </si>
  <si>
    <t>Позиционные формы для дисплеев</t>
  </si>
  <si>
    <t>Комплект прес форм для ламинации OCA  (для ламинации в вакуумных машинах) Samsung Galaxy S8 G950 (алюминиево-силиконовый)</t>
  </si>
  <si>
    <t>Позиционная форма дисплейного модуля при склейке iPhone 5 | 5s | 5c | SE (алюминиевый)</t>
  </si>
  <si>
    <t>Позиционная форма дисплея iPhone 7 Plus</t>
  </si>
  <si>
    <t>Позиционная форма дисплея iPhone X, XS, алюминиевая</t>
  </si>
  <si>
    <t>Позиционная форма дисплея iPhone XS Max, алюминиевая</t>
  </si>
  <si>
    <t>Позиционная форма дисплея Samsung A205 Galaxy A20 2019, алюминиевая</t>
  </si>
  <si>
    <t>Позиционная форма дисплея Samsung A305 Galaxy A30 2019, алюминиевая</t>
  </si>
  <si>
    <t>Позиционная форма дисплея Samsung A405 Galaxy A40 2019, алюминиевая</t>
  </si>
  <si>
    <t>Позиционная форма дисплея Samsung A505 Galaxy A50 2019, алюминиевая</t>
  </si>
  <si>
    <t>Позиционная форма дисплея Samsung Galaxy S6 Edge G925 (алюминиевый)</t>
  </si>
  <si>
    <t>Позиционная форма дисплея Samsung Galaxy S7 Edge G935 (алюминиевый)</t>
  </si>
  <si>
    <t>Позиционная форма дисплея при склейке c стеклом + рамкой iPhone 5, 5S (для вакуумных машин)</t>
  </si>
  <si>
    <t>Позиционная форма дисплея при склейке c стеклом + рамкой iPhone 6 Plus, 6S Plus (для вакуумных машин)</t>
  </si>
  <si>
    <t>Позиционная форма дисплея при склейке c стеклом + рамкой iPhone 6, 6S (для вакуумных машин)</t>
  </si>
  <si>
    <t>Позиционная форма дисплея при склейке c стеклом + рамкой iPhone 7 (для вакуумных машин)</t>
  </si>
  <si>
    <t>Позиционная форма дисплея при склейке c стеклом + рамкой iPhone 7 Plus (для вакуумных машин)</t>
  </si>
  <si>
    <t>Позиционная форма дисплея при склейке c стеклом + рамкой iPhone 8 (для вакуумных машин)</t>
  </si>
  <si>
    <t>Позиционная форма дисплея при склейке c стеклом + рамкой iPhone 8 Plus (для вакуумных машин)</t>
  </si>
  <si>
    <t>Позиционная форма дисплея при склейке iPhone 6</t>
  </si>
  <si>
    <t>Позиционная форма дисплея при склейке iPhone 6 plus</t>
  </si>
  <si>
    <t>Позиционная форма дисплея при склейке iPhone 6s (алюминиевый)</t>
  </si>
  <si>
    <t>Позиционная форма дисплея при склейке iPhone 6s plus (алюминиевый)</t>
  </si>
  <si>
    <t>Позиционная форма дисплея при склейке Samsung Galaxy A3 A300 (алюминиевый)</t>
  </si>
  <si>
    <t>Позиционная форма дисплея при склейке Samsung Galaxy A5 A500 (алюминиевый)</t>
  </si>
  <si>
    <t>Позиционная форма дисплея при склейке Samsung Galaxy A7 A700 (алюминиевый)</t>
  </si>
  <si>
    <t>Позиционная форма дисплея при склейке Samsung Galaxy J2 J200 (алюминиевый)</t>
  </si>
  <si>
    <t>Позиционная форма дисплея при склейке Samsung Galaxy S3 i9300</t>
  </si>
  <si>
    <t>Позиционная форма дисплея при склейке Samsung Galaxy S3 i9300 (алюминиевый)</t>
  </si>
  <si>
    <t>Позиционная форма дисплея при склейке Samsung Galaxy S4 i9500 (алюминиевый)</t>
  </si>
  <si>
    <t>Позиционная форма дисплея при склейке Samsung Galaxy S6 G920 (алюминиевый)</t>
  </si>
  <si>
    <t>Позиционная форма дисплея при склейке Samsung Galaxy S7 G930 (алюминиевый)</t>
  </si>
  <si>
    <t>Позиционная форма дисплея при склейке Samsung I8190</t>
  </si>
  <si>
    <t>Позиционная форма дисплея при склейке Samsung I9100</t>
  </si>
  <si>
    <t>Позиционная форма дисплея при склейке Samsung N7000</t>
  </si>
  <si>
    <t>Позиционная форма дисплея при склейке Sony Xperia Z1 C6902 (алюминиевый)</t>
  </si>
  <si>
    <t>Позиционная форма дисплея при склейке Sony Xperia Z2 D6502 (алюминиевый)</t>
  </si>
  <si>
    <t>Позиционная форма дисплея при склейке Sony Xperia Z3 D6602 (алюминиевый)</t>
  </si>
  <si>
    <t>Позиционная форма дисплея при склейке Sony Xperia Z5 E6603 (алюминиевый)</t>
  </si>
  <si>
    <t>Прес форма для ламинации OCA  (для ламинации в вакуумных машинах) Samsung Galaxy S6 Edge G925 (алюминиево-силиконовый)</t>
  </si>
  <si>
    <t>Прес форма для ламинации OCA  (для ламинации в вакуумных машинах) Samsung Galaxy S7 Edge G935 (алюминиево-силиконовый)</t>
  </si>
  <si>
    <t>Формы для дисплеев с рамками</t>
  </si>
  <si>
    <t>Формa для дисплея с рамкой Samsung G935 Galaxy S7 Edge</t>
  </si>
  <si>
    <t>Формa для дисплея с рамкой Samsung G950 Galaxy S8</t>
  </si>
  <si>
    <t>Формa для дисплея с рамкой Samsung G955 Galaxy S8 Plus</t>
  </si>
  <si>
    <t>Формa для дисплея с рамкой Samsung G960 Galaxy S9</t>
  </si>
  <si>
    <t>Формa для дисплея с рамкой Samsung G965 Galaxy S9 Plus</t>
  </si>
  <si>
    <t>Формa для дисплея с рамкой Samsung N950 Galaxy Note 8</t>
  </si>
  <si>
    <t>Формa для дисплея с рамкой Samsung N960 Galaxy Note 9</t>
  </si>
  <si>
    <t>Форма для дисплейного модуля и рамки iPhone 7 (для установки рамки в машинах 5in1)</t>
  </si>
  <si>
    <t>Форма для дисплейного модуля и рамки iPhone 7 Plus (для установки рамки в машинах 5in1)</t>
  </si>
  <si>
    <t>Запчасти для квадрокоптеров (дронов)</t>
  </si>
  <si>
    <t>Аккумуляторы для FPV</t>
  </si>
  <si>
    <t>Аккумулятор для FPV дрона, 6S2P, 8000mAh, Lishen LR2170LA, 21700</t>
  </si>
  <si>
    <t>Аккумулятор для FPV дрона, 6S2P, 8400mAh, Molicel INR-21700-P42A, 21700</t>
  </si>
  <si>
    <t>Аккумулятор для FPV дрона, 6S3P, 12000mAh, Lishen LR2170LA, 21700</t>
  </si>
  <si>
    <t>Аккумулятор для FPV дрона, 6S3P, 12600mAh, Molicel INR-21700-P42A</t>
  </si>
  <si>
    <t>Аккумуляторы для квадрокоптеров DJI</t>
  </si>
  <si>
    <t>Аккумулятор для DJI Mavic 2, Mavic 2 Pro, (3850 mAh, 59.29 Wh)</t>
  </si>
  <si>
    <t>Аккумулятор для DJI Mavic 3, Mavic 3 Pro, (5000 mAh, 77 Wh)</t>
  </si>
  <si>
    <t>Аккумулятор для DJI Mavic Air 2, Mavic Air 2s, (3500 mAh, 40.42 Wh)</t>
  </si>
  <si>
    <t>Аккумулятор для DJI Mavic Mini, (2500 mAh, 18 Wh)</t>
  </si>
  <si>
    <t>Аккумулятор для DJI Mini 2, (2400 mAh, 18.48 Wh)</t>
  </si>
  <si>
    <t>Аккумулятор для DJI Mini 3, (3850 mAh, 28.41 Wh)</t>
  </si>
  <si>
    <t>Аккумулятор для DJI Phantom 4, (5870 mAh, 89.2 Wh)</t>
  </si>
  <si>
    <t>Зарядка на 3 аккумулятора для Dji Mavic 3</t>
  </si>
  <si>
    <t>Антенны</t>
  </si>
  <si>
    <t>Антенна для видео передатчика FPV 5 Mini RHCP, 5.8G, 2,8 dBi, 150 mm, SMA</t>
  </si>
  <si>
    <t>Антенна для видео передатчика FPV AKK Diamond, 5-5.5GHz, 6.0 dBi, 160 mm, SMA</t>
  </si>
  <si>
    <t>Антенна для видео передатчика FPV AKK Diamond, 5.8G, 6.0 dBi, 160 mm, SMA</t>
  </si>
  <si>
    <t>Антенна для видео передатчика FPV AKK Tube, 4.9G (4900-5500 MHz), 4.5 dBi, 160 mm, SMA</t>
  </si>
  <si>
    <t>Антенна для видео передатчика FPV AKK Tube, 5.8G (5500-6060 MHz), 4.5 dBi, 160 mm, SMA</t>
  </si>
  <si>
    <t>Антенна для видео передатчика FPV AKK, 5.8G, 3 dBi, 160 mm, SMA</t>
  </si>
  <si>
    <t>Антенна для видео передатчика FPV Bullet, RHCP, 5.8G, 3.5 dBi, 150 mm, SMA</t>
  </si>
  <si>
    <t>Антенна для видео передатчика FPV Foxeer Lollipop 4 Plus, RHCP, 5.8G, 2.6 dBi, 150 mm, SMA, Бирюзовый</t>
  </si>
  <si>
    <t>Антенна для видео передатчика FPV Foxeer Lollipop 4 Plus, RHCP, 5.8G, 2.6 dBi, 168 mm, MMCX, Бирюзовый</t>
  </si>
  <si>
    <t>Антенна для видео передатчика FPV Foxeer Pagoda PRO, RHCP, 5.8G, 3 dBi, 150 mm, SMA</t>
  </si>
  <si>
    <t>Антенна для видео передатчика FPV GEPRC Soma, RHCP, 3.3GHz, 4.85dbi, 170mm, SMA</t>
  </si>
  <si>
    <t>Антенна для видео передатчика FPV iFlight Albatross V2, RHCP, 4.9G, 2.68 dBi, 175 mm, SMA</t>
  </si>
  <si>
    <t>Антенна для видео передатчика FPV iFlight Albatross, LHCP, 5,8G, 2.72 dBi, 150 mm, RP-SMA</t>
  </si>
  <si>
    <t>Антенна для видео передатчика FPV iFlight, RHCP, 3.3 G, 3.47 dBi, 175 mm, SMA</t>
  </si>
  <si>
    <t>Антенна для видео передатчика FPV Pagoda-2, 5.8G, 80 mm, RP-SMA</t>
  </si>
  <si>
    <t>Антенна для видео передатчика FPV Pagoda-2, 5.8G, 80 mm, SMA</t>
  </si>
  <si>
    <t>Антенна для видео передатчика FPV Rush Cherry II, RHCP, 5.8G, 150 mm, SMA</t>
  </si>
  <si>
    <t>Антенна для видео передатчика FPV Rush Cherry, RHCP, 5.8G, 160 mm, SMA</t>
  </si>
  <si>
    <t>Антенна для видео передатчика FPV, RHCP, 1.3G, 1.9 dBi, 150 mm, SMA</t>
  </si>
  <si>
    <t>Антенна для видео передатчика FPV, RHCP, 5.5 - 6 GHz, 3.9 dBi, 233 mm, SMA</t>
  </si>
  <si>
    <t>Видеопередатчики (VTX)</t>
  </si>
  <si>
    <t>Видео передатчик Solar, 5.8 GHz, 40 каналов, 25/400/800/1500/2500mW</t>
  </si>
  <si>
    <t>Видеопередатчик AKK Alpha 5, 5W, 25mW / 1W / 2w / 3W / 5W, 5.8 GHz, на 80 каналов</t>
  </si>
  <si>
    <t>Видеопередатчик AKK FX2 Dominator (New Version) VTX, 25/500/1000/2000 mW, 5.8 GHz, на 48 каналов</t>
  </si>
  <si>
    <t>Видеопередатчик AKK FX2 Dominator VTX, 250/500/1000/2000 mW, 5.8 GHz</t>
  </si>
  <si>
    <t>Видеопередатчик AKK Race Ranger 200/400/800/1600 mW, 5.8 GHz, на 40 каналов</t>
  </si>
  <si>
    <t>Видеопередатчик AKK Ultra Long Range (All Channels Version) TX300AC, 25/250/500/1000/2000/3000 mW, 4990-5945 MHz, на 80 каналов</t>
  </si>
  <si>
    <t>Видеопередатчик AKK Ultra Long Range (New Version) VTX, 25/250/500/1000/2000/3000 mW, 5.8G, 40 каналов</t>
  </si>
  <si>
    <t>Видеопередатчик AKK Ultra Long Range TX500AC, 5W, 25/200/500/1000/3000/5000 mW, 4900-6000 MHz, на 96 каналов</t>
  </si>
  <si>
    <t>Видеопередатчик Foxeer Reaper Extreme (MR1831), 3W, 4.9-6 GHz, 80 каналов</t>
  </si>
  <si>
    <t>Видеопередатчик Foxeer Reaper Extreme V3 (MR1844), 2.5W, 4.9-6 GHz, 80 каналов</t>
  </si>
  <si>
    <t>Видеопередатчик GEPRC MATEN 3.3GHz, 3W VTX PRO, 25mW/3000mW, Pit mode, на 40 каналов</t>
  </si>
  <si>
    <t>Видеопередатчик GEPRC MATEN 5.8G 2.5W VTX PRO, 25mW/200mW/600mW/1600mW/2500mW, Pit mode, на 72 каналов</t>
  </si>
  <si>
    <t>Видеопередатчик GEPRC MATEN 5.8G 3W VTX PRO, 25mW/200mW/600mW/1600mW/3000mW, Pit mode, на 80 каналов</t>
  </si>
  <si>
    <t>Видеопередатчик GEPRC MATEN 5.8G 5W VTX PRO, 300mW/600mW/1600mW/3000mW/5000mW, Pit mode, на 80 каналов</t>
  </si>
  <si>
    <t>Видеопередатчик iFlight BLITZ Whoop 3.3G 2W, PIT: 25/400/1000/2000 mW</t>
  </si>
  <si>
    <t>Видеопередатчик iFlight BLITZ Whoop 4.9G 2.5W, PIT: 250/400/1000/2500 mW, на 8 каналов</t>
  </si>
  <si>
    <t>Видеопередатчик Readytosky Ultra 2500 VTX 4.9G–5.8G 2.5W, 25мВт/400мВт/800мВт/1500мВт/2500мВт, Pit mode, на 64 каналов</t>
  </si>
  <si>
    <t>Видеопередатчик Readytosky Ultra 3000 VTX 4.9G–5.8G 3W, 25mW/400mW/800mW/1500mW/3000mW, Pit mode, на 64 канала</t>
  </si>
  <si>
    <t>Видеопередатчик RUSH Tank Solo 5.8G VTX, 25/400/800/1600 mW</t>
  </si>
  <si>
    <t>Видеопередатчик RUSHFPV VTX 3.3G, 2W, на 8 каналов, с антеной 3.3G 135mm</t>
  </si>
  <si>
    <t>Видеопередатчик SOLOGOOD 25/400/800/1500/2500mW, 5.8G, на 40 каналов</t>
  </si>
  <si>
    <t>Видеопередатчик, 3.3GHz, 16 каналов, 4W</t>
  </si>
  <si>
    <t>Пигтейл для антенны, кабель антенный, SMA Female - MMCX Male, 12 см</t>
  </si>
  <si>
    <t>Видеоприемники (VRX)</t>
  </si>
  <si>
    <t>Видеоприемник (VRX) AKK, 4.9-5.8 GHz, 96 каналов</t>
  </si>
  <si>
    <t>Видеоприемник (VRX) GEPRC MATEN 3.3GHz VRX с сигнализацией сигнала 3.3G</t>
  </si>
  <si>
    <t>Видеоприемник (VRX) iFlight Google Receiver для Skyzone, 4.9 GHz - 5.8 GHz, с антеннами</t>
  </si>
  <si>
    <t>Видеоприемник (VRX) RUSHFPV, 3.3 GHz, DVR, с антенной</t>
  </si>
  <si>
    <t>Видеоприемник (VRX) RUSHFPV, 3.3 GHz, с антенной</t>
  </si>
  <si>
    <t>Видеоприемник (VRX) Skyzone Steadyview X, 5.8 GHz</t>
  </si>
  <si>
    <t>Видеоприемник (VRX), 3.3GHz, 16 каналов</t>
  </si>
  <si>
    <t>Видеосистема цифровая Walksnail</t>
  </si>
  <si>
    <t>Видеоприемник Caddx Walksnail Avatar VRX, 5.8G, LHCP</t>
  </si>
  <si>
    <t>Видеосистема цифровая Caddx Walksnail Avatar HD Pro Kit Dual Antenna, 32 Gb</t>
  </si>
  <si>
    <t>Очки CADDXFPV Walksnail Avatar HD Goggles X Digital, 5.8 GHz, 8CH</t>
  </si>
  <si>
    <t>Датчики воздушной скорости</t>
  </si>
  <si>
    <t>Датчик воздушной скорости CUAV SKYE</t>
  </si>
  <si>
    <t>Датчик воздушной скорости Holybro PT60, сенсором MS4525DO</t>
  </si>
  <si>
    <t>Дроны FPV</t>
  </si>
  <si>
    <t>Дрон FPV 10 дюймов со скидом и поворотным механизмом камеры, F405 50A, Flash Hobby A3112 900KV, ELRS 915 MHz, AKK 3W 5.8G</t>
  </si>
  <si>
    <t>Дрон FPV 7 дюймов, F405 50A, Emax 2807 1300KV, ELRS 915 MHz, VTX 5.8G 2W</t>
  </si>
  <si>
    <t>Дрон FPV 7 дюймов, F405 50A, FlashHobby 2807 1300KV, ELRS 915 MHz, VTX 5.8G 2W</t>
  </si>
  <si>
    <t>Дрон FPV 7 дюймов, SoloGood F405 55A, Emax 2807 1300KV, ELRS 915 MHz, Foxeer Reaper Extreme V2 5.8G 2.5W</t>
  </si>
  <si>
    <t>Зарядные устройства ToolkitRC</t>
  </si>
  <si>
    <t>Блок питания ToolkitRC ADP100, 100W, 5A, с разьемом ХТ60</t>
  </si>
  <si>
    <t>Зарядное устройство ToolkitRC M6D, 500W, 15A, 2 канала</t>
  </si>
  <si>
    <t>Зарядное устройство ToolkitRC M7AC, DC 300W, 1 канал, с встроенным блоком питания на AC 100W</t>
  </si>
  <si>
    <t>Зарядное устройство ToolkitRC M8AC, 600W, 2-8S, с встроенным блоком питания на 200W</t>
  </si>
  <si>
    <t>Зарядное устройство ToolkitRC Q6AC, 1000W, 4 канала, с встроенным блоком питания на 400W</t>
  </si>
  <si>
    <t>Кабель ToolkitRC SC100, Type-C на XT60 (Female)</t>
  </si>
  <si>
    <t>Камера для FPV</t>
  </si>
  <si>
    <t>Камера для дрона FPV AKK, тепловизионная, аналоговая, 256 х 192, 10 mm</t>
  </si>
  <si>
    <t>Камера для дрона FPV AXIS C2, 1200TVL, 1/4 CMOS, H100°, V70°</t>
  </si>
  <si>
    <t>Камера для дрона FPV AXIS Firefly 1800TVL, 1/3 CMOS, H100°, V70°</t>
  </si>
  <si>
    <t>Камера для дрона FPV AXIS OWL Black Light, CVBS, 1928x1088, 1/2.7, 135°, черно-белая</t>
  </si>
  <si>
    <t>Камера для дрона FPV AXIS, тепловизионная, аналоговая, 256 x 192, 9.7 мм, FOV H18.1° x V13.6°</t>
  </si>
  <si>
    <t>Камера для дрона FPV AXIS, тепловизионная, аналоговая, 384 x 288, 9.7 мм, FOV H26.46° x V19.81°</t>
  </si>
  <si>
    <t>Камера для дрона FPV AXIS, тепловизионная, аналоговая, 640 x 512, 9.1 мм, FOV H48.3° x V38.6°</t>
  </si>
  <si>
    <t>Камера для дрона FPV Caddx Farsight, 1500TVL, 1/2, 0.01 Lux, Zoom: 1-8X</t>
  </si>
  <si>
    <t>Камера для дрона FPV Caddx Gazer, 1500TVL, 1/1.8, FOV: 131.6°, Zoom: 3X</t>
  </si>
  <si>
    <t>Камера для дрона FPV Caddx Infra IRC-210SL, 1500TVL, 4:3/16:9, (аналоговая инфракамера)</t>
  </si>
  <si>
    <t>Камера для дрона FPV Caddx Ratel 2 Micro, 1200TVL, 1/1.8 Starlight HDR, 2.1mm 165°</t>
  </si>
  <si>
    <t>Камера для дрона FPV Caddx Ratel 2 Night Version, Micro, 1500TVL, 1/1.8 Starlight, min. illumination 0.00001 Lux</t>
  </si>
  <si>
    <t>Камера для дрона FPV Caddx Ratel Pro Micro (19mmx19mm), 1500TVL, 1/1.8, Super WDR, 125°, для полетов в сумерках</t>
  </si>
  <si>
    <t>Камера для дрона FPV Foxeer Cat 3 Micro, 1/3, 1200 TVL, 0.00001, для полетов в сумерках</t>
  </si>
  <si>
    <t>Камера для дрона FPV RunCam Night Eagle 3 V2</t>
  </si>
  <si>
    <t>Камера для дрона FPV RunCam Phoenix 2 SP V3, 1500TVL, 1/2.8 CMOS, 4:3/16:9, NTSC/PAL</t>
  </si>
  <si>
    <t>Камера для дрона FPV SIYI A8 mini 4K, 1/1.7 Sony CMOS, 8 МП, F2.8, 93°</t>
  </si>
  <si>
    <t>Модуль GPS для FPV</t>
  </si>
  <si>
    <t>Компас для дрона Holybro DroneCAN RM3100, 42 см</t>
  </si>
  <si>
    <t>Модуль GPS Beitian BE-182</t>
  </si>
  <si>
    <t>Модуль GPS Beitian BE-252Q, с компасом</t>
  </si>
  <si>
    <t>Модуль GPS Beitian BE-880, с компасом</t>
  </si>
  <si>
    <t>Модуль GPS CUAV NEO 3 Pro с барометром и компасом</t>
  </si>
  <si>
    <t>Модуль GPS HolyBro M9N, коннектор 10 pins</t>
  </si>
  <si>
    <t>Модуль GPS Matek M10Q-5883 GNSS, (с компасом)</t>
  </si>
  <si>
    <t>Моторы для FPV</t>
  </si>
  <si>
    <t>Комбо мотор Hobbywing Xrotor X9 PLUS, с регулятором, CCW</t>
  </si>
  <si>
    <t>Комбо мотор Hobbywing Xrotor X9 PLUS, с регулятором, CW</t>
  </si>
  <si>
    <t>Комбо мотор Hobbywing Xrotor X9 PLUS, с регулятором, с пропеллером 36190, CCW</t>
  </si>
  <si>
    <t>Комбо мотор Hobbywing Xrotor X9 PLUS, с регулятором, с пропеллером 36190, CW</t>
  </si>
  <si>
    <t>Мотор T-Motor AT3520, KV850, 3S-4S, для самолетов</t>
  </si>
  <si>
    <t>Мотор T-Motor AT4130, KV450, 6S, для самолетов</t>
  </si>
  <si>
    <t>Мотор бесколлекторный 2812 1150KV</t>
  </si>
  <si>
    <t>Мотор бесколлекторный 3110 1150KV</t>
  </si>
  <si>
    <t>Мотор бесколлекторный Arthur Flash Hobby A2807 1300KV</t>
  </si>
  <si>
    <t>Мотор бесколлекторный Arthur Flash Hobby A2812 900KV</t>
  </si>
  <si>
    <t>Мотор бесколлекторный Arthur Flash Hobby A3112 900KV</t>
  </si>
  <si>
    <t>Мотор бесколлекторный Arthur Flash Hobby A4312 380KV, для дронов на 13 дюймовой раме</t>
  </si>
  <si>
    <t>Мотор бесколлекторный Arthur Flash Hobby A4320 350KV, для дронов на 13-15 дюймовой раме</t>
  </si>
  <si>
    <t>Мотор бесколлекторный Arthur Flash Hobby D4250 EVO, 600KV</t>
  </si>
  <si>
    <t>Мотор бесколлекторный Arthur Flash Hobby M2807 1300KV, Mars Series</t>
  </si>
  <si>
    <t>Мотор бесколлекторный Arthur Flash Hobby M2812 900KV, Mars Series</t>
  </si>
  <si>
    <t>Мотор бесколлекторный Arthur Flash Hobby M3110 900KV, Mars Series</t>
  </si>
  <si>
    <t>Мотор бесколлекторный Arthur Flash Hobby M3115 900KV, Mars Series</t>
  </si>
  <si>
    <t>Мотор бесколлекторный Axisflying AZ 3115 900KV</t>
  </si>
  <si>
    <t>Мотор бесколлекторный BrotherHobby Tornado T10 Pro 5215 330KV</t>
  </si>
  <si>
    <t>Мотор бесколлекторный Diatone KN3214, 730KV</t>
  </si>
  <si>
    <t>Мотор бесколлекторный Emax ECO II 2807 1300KV</t>
  </si>
  <si>
    <t>Мотор бесколлекторный Readytosky 2812 900KV</t>
  </si>
  <si>
    <t>Мотор бесколлекторный Readytosky 3115 900KV</t>
  </si>
  <si>
    <t>Мотор бесколлекторный Readytosky 4312 380KV</t>
  </si>
  <si>
    <t>Мотор бесколлекторный Readytosky 4320 350KV</t>
  </si>
  <si>
    <t>Мотор бесколлекторный Surpass Hobby B2807 1300KV</t>
  </si>
  <si>
    <t>Мотор бесколлекторный Surpass Hobby B3115 900KV</t>
  </si>
  <si>
    <t>Очки для FPV</t>
  </si>
  <si>
    <t>Очки для FPV Skyzone SKY04O Pro, OLED, 1024x768, 5.8 Ghz, 48 CH L,X Band, с приёмником SteadyView, Black</t>
  </si>
  <si>
    <t>Очки для FPV Skyzone SKY04X Pro, OLED, 1920x1080, 5.8 Ghz, 52 CH L,X Band, с приёмником SteadyView, Black</t>
  </si>
  <si>
    <t>Плата захвата и трекинга цели, для FPV дрона</t>
  </si>
  <si>
    <t>Полетные контроллеры для FPV</t>
  </si>
  <si>
    <t>Полетный контроллер CUAV X7+</t>
  </si>
  <si>
    <t>Полетный контроллер CUAV X7+ Pro</t>
  </si>
  <si>
    <t>Полетный контроллер Diatone Mamba F405MK2 V2, Gyro: 42688</t>
  </si>
  <si>
    <t>Полетный контроллер HolyBro Kakute H743 Wing</t>
  </si>
  <si>
    <t>Полетный контроллер Pixhawk 6C, с модулем питания PM02-12S</t>
  </si>
  <si>
    <t>Полетный стек Argus ECO FC: F405, ESC: 60A</t>
  </si>
  <si>
    <t>Полетный стек Argus FC: F722, ESC: 80A 6S, BLheli</t>
  </si>
  <si>
    <t>Полетный стек Argus FC: F722, ESC: 80A 8S, BLheli</t>
  </si>
  <si>
    <t>Полетный стек Diatone Mamba F405MK2 V2 Gyro: 42688, ESC: F55 BLS, 6S</t>
  </si>
  <si>
    <t>Полетный стек FLASH HOBBY F405, ESC 4-in-1 BLS 60A, 30.5 x 30.5</t>
  </si>
  <si>
    <t>Полетный стек FLASH HOBBY F722, BLS 60A, 30.5x30.5, 4-in-1ESC</t>
  </si>
  <si>
    <t>Полетный стек GEPRC TAKER F405, BLS 60A, V2</t>
  </si>
  <si>
    <t>Полетный стек GEPRC TAKER F722, BLS 80A, 8S, V2</t>
  </si>
  <si>
    <t>Полетный стек Readytosky F405 V2, BLHELI-S 3-6S 60A</t>
  </si>
  <si>
    <t>Полетный стек SoloGood F405 60A 6S, BLS 8-bit, ESC-60A</t>
  </si>
  <si>
    <t>Полетный стек SoloGood F722 80A 8S, BLS 8-bit, ESC-80A</t>
  </si>
  <si>
    <t>Полетный стек SoloGood FC: SB-F405-V1, ESC: SB-BLS-55A</t>
  </si>
  <si>
    <t>Полетный стек SoloGood FC: SG-F722-V1, ESC: SG-BLS-60A</t>
  </si>
  <si>
    <t>Полетный стек SpeedyBee F4V3-50-Stack, FC: SB-F405-V3, ESC: SB-BLS-50A</t>
  </si>
  <si>
    <t>Полетный стек для летающего крыла Matek F405-WING</t>
  </si>
  <si>
    <t>Регулятор оборотов ESC Diatone Mamba S60, BLS, 8 BIT, 60A, 6S</t>
  </si>
  <si>
    <t>Регулятор оборотов ESC Hobbywing Xrotor 40A, 2-6S</t>
  </si>
  <si>
    <t>Регулятор оборотов ESC T-MOTOR AT75A V2, 2-6S</t>
  </si>
  <si>
    <t>Приемники сигнала (RX)</t>
  </si>
  <si>
    <t>Плата Diversity RX Board, для управления дроном по двум каналам, на 2 приемника, FPV Axis</t>
  </si>
  <si>
    <t>Приемник ELRS 2.4G (2400 MHz), Sologood Nano 2400 PA RX, (прошивка 3.5.2), с антенной Immortal T</t>
  </si>
  <si>
    <t>Приемник ELRS 433 MHz (370-500 MHz), ESP8285, LR1121, с антенной Immortal T</t>
  </si>
  <si>
    <t>Приемник ELRS 730-770 MHz, Betaflight RX, с антенной Immortal T</t>
  </si>
  <si>
    <t>Приемник ELRS 865-869 MHz, Betaflight RX, с антенной Immortal T</t>
  </si>
  <si>
    <t>Приемник ELRS 900 MHz (903-927 MHz), BetaFPV 900 RX, прошивка 3.5.2, с антенной Immortal T</t>
  </si>
  <si>
    <t>Приемник ELRS 915 MHz SuperD, BetaFPV 900 RX, (прошивка 3.4.3), с 2 антеннами Immortal T</t>
  </si>
  <si>
    <t>Приемник GEPRC ELRS 915 MHz / 2.4 GHz Gemini Xrossband Receiver, с 2 антеннами Immortal T</t>
  </si>
  <si>
    <t>Приемник GEPRC ELRS Nano 915M V2 Receiver, с антенной Immortal T</t>
  </si>
  <si>
    <t>Приемник Radiomaster DBR4 Dual Band Xross Gemini ELRS RX 915 MHz / 2.4 GHz, с 4 антеннами</t>
  </si>
  <si>
    <t>Приемник SoloGood ELRS Gemini 2.4G | 915 mHz , с 2 антеннами Immortal T</t>
  </si>
  <si>
    <t>Приемник TBS Crossfire Nano Rx(SE), с антенной Immortal T, V2</t>
  </si>
  <si>
    <t>Пропеллеры</t>
  </si>
  <si>
    <t>Пропеллер складной Hobbywing 36190, с адаптером для Xrotor X9 PLUS, CCW</t>
  </si>
  <si>
    <t>Пропеллер складной Hobbywing 36190, с адаптером для Xrotor X9 PLUS, CW</t>
  </si>
  <si>
    <t>Пропеллеры Gemfan 1050, 3 лопасти, стекловолокно, (набор CW - 1шт, CCW - 1шт)</t>
  </si>
  <si>
    <t>Пропеллеры Gemfan 1050, 3 лопасти, стекловолокно, (набор CW - 2шт, CCW - 2шт)</t>
  </si>
  <si>
    <t>Пропеллеры Gemfan 1050W, 3 лопасти, стекловолокно, (набор CW - 2шт, CCW - 2шт)</t>
  </si>
  <si>
    <t>Пропеллеры Gemfan 1308, 3 лопасти, стекловолокно, (набор CW - 1шт, CCW - 1шт)</t>
  </si>
  <si>
    <t>Пропеллеры Gemfan 1310, 3 лопасти, стекловолокно, (набор CW - 1шт, CCW - 1шт)</t>
  </si>
  <si>
    <t>Пропеллеры Gemfan 1507, 3 лопасти, стекловолокно, (набор CW - 1шт, CCW - 1шт), для дронов на 15 дюймовой раме</t>
  </si>
  <si>
    <t>Пропеллеры Gemfan 8040, 3 лопасти, поликарбонат, (набор CW - 2шт, CCW - 2шт)</t>
  </si>
  <si>
    <t>Пропеллеры Gemfan 8040, 3 лопасти, стекловолокно, (набор CW - 2шт, CCW - 2шт)</t>
  </si>
  <si>
    <t>Пропеллеры Gemfan Flash 7040, 3 лопасти, поликарбонат, (набор CW - 2шт, CCW - 2шт)</t>
  </si>
  <si>
    <t>Пропеллеры Gemfan PFGN 13X6.5-EAL, CW, стекловолоконный нейлоновый пропеллер, для радиоуправляемого FPV крыла</t>
  </si>
  <si>
    <t>Пропеллеры Gemfan PFGN 13X6.5-EAR, CCW стекловолоконный нейлоновый пропеллер, для радиоуправляемого FPV крыла</t>
  </si>
  <si>
    <t>Пропеллеры Gemfan PFGN18X8-EAL, CW, стекловолоконный нейлоновый пропеллер, для радиоуправляемого FPV крыла</t>
  </si>
  <si>
    <t>Пульты управления (TX)</t>
  </si>
  <si>
    <t>Модуль передатчика ELRS 433 MHz, Micro, с антенной 408-458 MHz</t>
  </si>
  <si>
    <t>Модуль передатчика ELRS 750-780 MHz, 1W, Micro, с антенной 750 MHz</t>
  </si>
  <si>
    <t>Модуль передатчика ELRS 868 MHz, 1W, Micro, с антенной 868-930 MHz</t>
  </si>
  <si>
    <t>Модуль передатчика TBS Crossfire Micro TX V2</t>
  </si>
  <si>
    <t>Модуль передатчика TBS Crossfire Micro TX V2, + Приемник TBS Crossfire Nano Rx SE 3 шт.</t>
  </si>
  <si>
    <t>Плата 2-ох модулей передатчиков Micro, для пультов управления</t>
  </si>
  <si>
    <t>Пульт управления RadioMaster Boxer ELRS (HP0157.0043-M2)</t>
  </si>
  <si>
    <t>Пульт управления RadioMaster GX12 Dual-Band 2.4GHz/900MHz, 16CH</t>
  </si>
  <si>
    <t>Пульт управления RadioMaster TX12 Mark II ELRS M2</t>
  </si>
  <si>
    <t>Пульт управления RadioMaster TX16S Mark II ELRS, Black</t>
  </si>
  <si>
    <t>Разъемы, коннекторы, стяжки</t>
  </si>
  <si>
    <t>Балансировочный разъем JST-XH 6S, c кабелем 22 AWG, 25 см</t>
  </si>
  <si>
    <t>Балансировочный разъем JST-XH 6S, c кабелем 22 AWG, 30 см</t>
  </si>
  <si>
    <t>Разъем, коннектор QS8-S, Female (мама), безискровый</t>
  </si>
  <si>
    <t>Разъем, коннектор QS8-S, Male (папа), безискровый</t>
  </si>
  <si>
    <t>Разъем, коннектор XT30U Amass, Female (мама)</t>
  </si>
  <si>
    <t>Разъем, коннектор XT30U Amass, Male (папа)</t>
  </si>
  <si>
    <t>Разъем, коннектор XT60 Amass, пара M+F</t>
  </si>
  <si>
    <t>Разъем, коннектор XT60, пара M+F</t>
  </si>
  <si>
    <t>Разъем, коннектор XT60E-F Amass, Female (мама)</t>
  </si>
  <si>
    <t>Разъем, коннектор XT60E-M Amass, Male (папа)</t>
  </si>
  <si>
    <t>Разъем, коннектор XT60H Amass, Female (мама)</t>
  </si>
  <si>
    <t>Разъем, коннектор XT60H Amass, Male (папа)</t>
  </si>
  <si>
    <t>Разъем, коннектор XT90 Amass, Female (мама)</t>
  </si>
  <si>
    <t>Разъем, коннектор XT90 Amass, Male (папа)</t>
  </si>
  <si>
    <t>Разъем, коннектор XT90 Amass, пара M+F</t>
  </si>
  <si>
    <t>Стяжка для аккумулятора FPV 250мм * 20мм, кожзам, металическая пряжка (комплект 2 шт)</t>
  </si>
  <si>
    <t>Рама для FPV</t>
  </si>
  <si>
    <t>Рама для дрона FPV Diatone KN-104, 10 дюймов, карбоновая</t>
  </si>
  <si>
    <t>Рама для дрона FPV Diatone KN-106, 10 дюймов, карбоновая</t>
  </si>
  <si>
    <t>Рама для дрона FPV GEPRC, GEP-Mark4, 7 дюймов, 295 мм, карбоновая</t>
  </si>
  <si>
    <t>Рама для дрона FPV, 15 дюймов, 580 мм, карбоновая, с креплением для антенны</t>
  </si>
  <si>
    <t>Рама для дрона FPV, Mark4 V2, 10 дюймов, карбоновая</t>
  </si>
  <si>
    <t>Рама для дрона FPV, Mark4 V2, 13 дюймов, карбоновая</t>
  </si>
  <si>
    <t>Рама для дрона FPV, Mark4 V2, 9 дюймов, карбоновая</t>
  </si>
  <si>
    <t>Рама для дрона FPV, Mark4, 7 дюймов, 295 мм, Sologood, карбоновая</t>
  </si>
  <si>
    <t>Рама для дрона FPV, Mark4, 7 дюймов, 295 мм, карбоновая</t>
  </si>
  <si>
    <t>Рама для дрона FPV, Mark4, 7.5 дюймов, карбоновая</t>
  </si>
  <si>
    <t>Рама для дрона FPV, Mark4, 8 дюймов, карбоновая (V1)</t>
  </si>
  <si>
    <t>Хвостовой крепеж антенн для рамы Mark4 / APEX, VTX+RX</t>
  </si>
  <si>
    <t>Сервопривода</t>
  </si>
  <si>
    <t>Понижающий регулятор напряжения на 5V, Bluesky 3A UBEC</t>
  </si>
  <si>
    <t>Реверсивный переключатель сигнала сервопривода, 3.6 -24V, 5A</t>
  </si>
  <si>
    <t>Реверсивный переключатель сигнала сервопривода, 4-6V, 2A</t>
  </si>
  <si>
    <t>Сервопривод EMAX ES08MA II, аналоговый, 12g</t>
  </si>
  <si>
    <t>Сервопривод FH-9025, металическая шестерня, 25 гр.</t>
  </si>
  <si>
    <t>Станции управления дроном через оптоволокно</t>
  </si>
  <si>
    <t>Катушка с оптоволокном Axisflying, со встроенным оптическим терминалом на 10 км</t>
  </si>
  <si>
    <t>Катушка с оптоволокном Axisflying, со встроенным оптическим терминалом на 5 км</t>
  </si>
  <si>
    <t>Катушка с оптоволокном, с оптическим терминалом на 10 км</t>
  </si>
  <si>
    <t>Катушка с оптоволокном, с оптическим терминалом на 5 км</t>
  </si>
  <si>
    <t>Наземная станция управления FPV Дроном для оптоволокна</t>
  </si>
  <si>
    <t>Наземная станция управления FPV Дроном для оптоволокна Axisflying</t>
  </si>
  <si>
    <t>Оптический терминал (TX модуль) для FPV дрона</t>
  </si>
  <si>
    <t>Запчасти для планшетов</t>
  </si>
  <si>
    <t>Аккумуляторы для планшетов</t>
  </si>
  <si>
    <t>Аккумулятор Apple iPad 2 (A1376)</t>
  </si>
  <si>
    <t>Аккумулятор Apple iPad 3 A1389, Apple iPad 4 A1460, (11560 mAh), Original</t>
  </si>
  <si>
    <t>Аккумулятор Apple iPad Air 2 (A1547, A1566, A1567), 7340 mAh, Original PRC</t>
  </si>
  <si>
    <t>Аккумулятор Apple iPad Air, 9.7 2018, 10.2 2019, 10.5 2020, (A1474, A1484, A1475, A1476, A1822, A1823, A1893, A1954), Original PRC</t>
  </si>
  <si>
    <t>Аккумулятор Apple iPad Mini (A1445, A1432, A1454, A1455), Original</t>
  </si>
  <si>
    <t>Аккумулятор Apple iPad mini 2 Retina (A1489, A1490, A1491), Apple iPad mini 3 Retina (A1512, A1599, A1600), 6471 mAh, Original</t>
  </si>
  <si>
    <t>Аккумулятор Apple iPad mini 4 (A1546, A1538, A1550), 5124 mAh, Original</t>
  </si>
  <si>
    <t>Аккумулятор Apple iPad Pro 10.5 (A1701, A1709, A1852) Original</t>
  </si>
  <si>
    <t>Аккумулятор Apple iPad Pro 9.7 (A1673, A1674, A1675), Original</t>
  </si>
  <si>
    <t>Аккумулятор Asus FonePad 7 ME372 CG K00E (C11P1310)</t>
  </si>
  <si>
    <t>Аккумулятор для планшета Huawei MediaPad M5, MediaPad M5 Lite 10.0 (BAH2-L09), HB299418ECW, (Li-ion 3.82V, 7350mAh), Original PRC</t>
  </si>
  <si>
    <t>Аккумулятор для планшета Huawei MediaPad T3 7, BG2-U01, BG2-W09, HB396481EBC, (3100mAh)</t>
  </si>
  <si>
    <t>Аккумулятор для планшета Huawei MediaPad T3 8.0, T3 10 (AGS-L09, KOB-L09, KOB-W09), HB3080G1EBW, (4800mAh), Original PRC</t>
  </si>
  <si>
    <t>Аккумулятор для планшета Huawei MediaPad T5 10 (AGS2-L09, AGS2-W09), HB2899C0ECW, (5100mAh), Original PRC</t>
  </si>
  <si>
    <t>Аккумулятор Lenovo A10-70F, BT-X103F, L14D2P31, (7000 mAh)</t>
  </si>
  <si>
    <t>Аккумулятор Lenovo A3500, S5000, A7-20, TB-7304, A7-30, TB-710, L13D1P31, (3550 mAh)</t>
  </si>
  <si>
    <t>Аккумулятор Lenovo IdeaPad S6000, L11C2P32 (6340mAh)</t>
  </si>
  <si>
    <t>Аккумулятор Lenovo IdeaTab A1000, A3000, A5000, A3300 (L12T1P33, L12D1P31)</t>
  </si>
  <si>
    <t>Аккумулятор Lenovo Phab Plus PB1-770M, L14D1P31, 3500mAh</t>
  </si>
  <si>
    <t>Аккумулятор Samsung P3200, T210, T2105, T211 Galaxy Tab 3, (4000 mAh)</t>
  </si>
  <si>
    <t>Аккумулятор Samsung T220, T225 Galaxy Tab A7 Lite, (5100 mAh), HQ-3565S, Original PRC</t>
  </si>
  <si>
    <t>Аккумулятор Samsung T230 Galaxy Tab 4, T231 Galaxy Tab 4 3G, T235 Galaxy Tab 4 LTE, EB-BT230FBE</t>
  </si>
  <si>
    <t>Аккумулятор Samsung T280 Galaxy Tab E 7.0, T285 Galaxy Tab A 7.0 LTE, EB-BT280ABE, Original</t>
  </si>
  <si>
    <t>Аккумулятор Samsung T500, T505 Galaxy Tab A7 10.4, SCUD-WT-N19, 7400 mAh, без логотипа</t>
  </si>
  <si>
    <t>Аккумулятор Samsung T510, T515 Galaxy Tab A 10.1, EB-BT515ABU, 6000 mAh, без логотипа</t>
  </si>
  <si>
    <t>Аккумулятор Samsung T530, T531, T535 Galaxy Tab 4 10.1, EB-BT530FBE, Original</t>
  </si>
  <si>
    <t>Аккумулятор Samsung T560 Galaxy Tab E, T561 Galaxy Tab E, EB-BT561ABE, Original PRC</t>
  </si>
  <si>
    <t>Аккумулятор Samsung T580 Galaxy Tab A 10.1, T585 Galaxy Tab A 10.1, EB-BT585ABE, Original</t>
  </si>
  <si>
    <t>Аккумулятор Samsung T590 Galaxy Tab A 10.5 Wi-Fi, T595 Galaxy Tab A 10.5 LTE, EB-BT595ABE, 7300 mAh, без логотипа</t>
  </si>
  <si>
    <t>Держатели SIM-карт для планшетов</t>
  </si>
  <si>
    <t>Держатель SIM-карты Apple iPad 2, Apple iPad 3</t>
  </si>
  <si>
    <t>Дисплеи для планшетов</t>
  </si>
  <si>
    <t>Дисплей Apple iPad 10.2 2019 (A2197, A2198, A2200), iPad 10.2 2020 (A2270, A2428, A2429), iPad 10.2 2021 (A2602, A2603, A2604, A2605), High Quality</t>
  </si>
  <si>
    <t>Дисплей Apple iPad 10.2 2019 (A2197, A2198, A2200), iPad 10.2 2020 (A2270, A2428, A2429), iPad 10.2 2021 (A2602, A2603, A2604, A2605), Original</t>
  </si>
  <si>
    <t>Дисплей Apple iPad 10.9 2022 10 Gen, Original</t>
  </si>
  <si>
    <t>Дисплей Apple iPad 3 (A1403, A1416, A1430), Apple iPad 4 (A1458, A1459, A1460) (Уценка)</t>
  </si>
  <si>
    <t>Дисплей Apple iPad 9.7 2018 (A1893, A1954), High Quality</t>
  </si>
  <si>
    <t>Дисплей Apple iPad 9.7 2018 (A1893, A1954), Original</t>
  </si>
  <si>
    <t>Дисплей Apple iPad Air 10.9, iPad Air 4 2020, с тачскрином, Original</t>
  </si>
  <si>
    <t>Дисплей Apple iPad Air 2 (A1566, A1567), с тачскрином, Original PRC, Black</t>
  </si>
  <si>
    <t>Дисплей Apple iPad Air 2 (A1566, A1567), с тачскрином, Original PRC, White</t>
  </si>
  <si>
    <t>Дисплей Apple iPad Air 2022, с тачскрином, Original</t>
  </si>
  <si>
    <t>Дисплей Apple iPad Air 3 2019 (A2123, A2152, A2153), с тачскрином, Original PRC, Black</t>
  </si>
  <si>
    <t>Дисплей Apple iPad Air 3 2019 (A2123, A2152, A2153), с тачскрином, Original PRC, White</t>
  </si>
  <si>
    <t>Дисплей Apple iPad mini (A1432, A1454, A1455)</t>
  </si>
  <si>
    <t>Дисплей Apple iPad Mini 2 Retina (A1489, A1490, A1491), Apple iPad Mini 3 (A1599, A1600)</t>
  </si>
  <si>
    <t>Дисплей Apple iPad Mini 4 (A1538, A1550), с тачскрином, Black</t>
  </si>
  <si>
    <t>Дисплей Apple iPad Mini 4 (A1538, A1550), с тачскрином, White</t>
  </si>
  <si>
    <t>Дисплей Apple iPad Mini 5 (A2124, A2126, A2133), с тачскрином, Original PRC, Black</t>
  </si>
  <si>
    <t>Дисплей Apple iPad Pro 10.5 (A1701, A1709, A1852), с тачскрином, Original, Black</t>
  </si>
  <si>
    <t>Дисплей Apple iPad Pro 10.5 (A1701, A1709, A1852), с тачскрином, Original, White</t>
  </si>
  <si>
    <t>Дисплей Apple iPad Pro 11 2018 (A1934, A1980, A2013), с тачскрином, Original, Black</t>
  </si>
  <si>
    <t>Дисплей Apple iPad Pro 11 2021, iPad Pro 11 2022, с тачскрином, Original, Black</t>
  </si>
  <si>
    <t>Дисплей Apple iPad Pro 12.9 2015 (A1584, A1652), с тачскрином, Black</t>
  </si>
  <si>
    <t>Дисплей Apple iPad Pro 12.9 2015 (A1584, A1652), с тачскрином, White</t>
  </si>
  <si>
    <t>Дисплей Apple iPad Pro 12.9 2015 (A1584, A1652), с тачскрином, со шлейфом, Black</t>
  </si>
  <si>
    <t>Дисплей Apple iPad Pro 12.9 2015 (A1584, A1652), с тачскрином, со шлейфом, White</t>
  </si>
  <si>
    <t>Дисплей Apple iPad Pro 12.9 2017 (A1670, A1671), с тачскрином, со шлейфом, Original, Black</t>
  </si>
  <si>
    <t>Дисплей Apple iPad Pro 12.9 2017 (A1670, A1671), с тачскрином, со шлейфом, Original, White</t>
  </si>
  <si>
    <t>Дисплей Apple iPad Pro 12.9 2018 (A1876, A1895, A1983, A2014), с тачскрином, Original, Black</t>
  </si>
  <si>
    <t>Дисплей Apple iPad Pro 9.7 (A1673, A1674, A1675), с тачскрином, Original PRC, Black</t>
  </si>
  <si>
    <t>Дисплей Apple iPad Pro 9.7 (A1673, A1674, A1675), с тачскрином, Original PRC, White</t>
  </si>
  <si>
    <t>Дисплей Asus FonePad 7 FE170CG, MeMO Pad 7 ME170, MeMO Pad 7 ME170c, K012, K017, K01A</t>
  </si>
  <si>
    <t>Дисплей ASUS Google Nexus 7 с тачскрином</t>
  </si>
  <si>
    <t>Дисплей Asus ME301T Memo Pad Smart, TF300T Eee Pad Transformer, TF301T Eee Pad Transformer, (N101ICG-L21)</t>
  </si>
  <si>
    <t>Дисплей Asus Z170MG ZenPad C 7.0, P001, с тачскрином, Black</t>
  </si>
  <si>
    <t>Дисплей Asus ZenPad 3S Z500KL ( 23.8 cm x 16 cm ), с тачскрином, Black</t>
  </si>
  <si>
    <t>Дисплей Asus ZenPad 3S Z500M ( 23.6 cm x 16 cm  ), с тачскрином, Black</t>
  </si>
  <si>
    <t>Дисплей Asus ZenPad S 8.0 Z580, с тачскрином, Black</t>
  </si>
  <si>
    <t>Дисплей Nomi C070020 Corsa Pro 7 3G; Asus FonePad 7 FE375CXG, FonePad 7 ME375, MeMO Pad 7 ME176, MeMO Pad 7 ME176CX, 7, (1280*800), 162 мм, 103 мм,</t>
  </si>
  <si>
    <t>Дисплей Huawei Honor Tab 5 8.0 (Wi-Fi), с тачскрином, Black</t>
  </si>
  <si>
    <t>Дисплей Huawei MatePad 10.4 (BAH3-W09, BAH3-AL00), с тачскрином, Original</t>
  </si>
  <si>
    <t>Дисплей Huawei MatePad Pro 10.8 (MRX-AL09), с тачскрином, Original</t>
  </si>
  <si>
    <t>Дисплей Huawei MatePad SE 10.4 (AGS5-W09, AGS5-L09, AGS5-W00), с тачскрином, Original</t>
  </si>
  <si>
    <t>Дисплей Huawei MatePad T10 (AGR-W09, AGR-L09), с тачскрином, Original PRC, Black</t>
  </si>
  <si>
    <t>Дисплей Huawei MatePad T10s (AGS3-L09, AGS3-W09), с тачскрином, Original</t>
  </si>
  <si>
    <t>Дисплей Huawei MatePad T8 (KOBE2-L09, KOBE2-L03), с тачскрином, Original PRC, Black</t>
  </si>
  <si>
    <t>Дисплей Huawei MediaPad M3 Lite 10 LTE (BAH-L09), с тачскрином, Black</t>
  </si>
  <si>
    <t>Дисплей Huawei MediaPad M3 Lite 10 LTE (BAH-L09), с тачскрином, White</t>
  </si>
  <si>
    <t>Дисплей Huawei MediaPad M5 8 (SHT-AL09, SHT-W09), с тачскрином, Black</t>
  </si>
  <si>
    <t>Дисплей Huawei MediaPad M5 Lite 10 (BAH2-L09, BAH2-W19), с тачскрином, Original PRC, Black</t>
  </si>
  <si>
    <t>Дисплей Huawei MediaPad M5 Lite 10 (BAH2-L09, BAH2-W19), с тачскрином, Original PRC, White</t>
  </si>
  <si>
    <t>Дисплей Huawei MediaPad T1 7 (T1-701U), с тачскрином, Original, Black</t>
  </si>
  <si>
    <t>Дисплей Huawei MediaPad T1 7 (T1-701U), с тачскрином, Original, White</t>
  </si>
  <si>
    <t>Дисплей Huawei MediaPad T3 10 LTE (AGS-L09), с тачскрином, Original PRC, Black</t>
  </si>
  <si>
    <t>Дисплей Huawei MediaPad T3 10 LTE (AGS-L09), с тачскрином, Original PRC, White</t>
  </si>
  <si>
    <t>Дисплей Huawei MediaPad T3 7 3G, T3-701, BG-U01, BG2-U01, с тачскрином, Original PRC, Black</t>
  </si>
  <si>
    <t>Дисплей Huawei MediaPad T3 7 Wi-Fi, BG2-W09, T3-701, с тачскрином, Original PRC, Black</t>
  </si>
  <si>
    <t>Дисплей Huawei MediaPad T3 8.0 (KOB-L09, KOB-W09), с тачскрином, Original PRC, Black</t>
  </si>
  <si>
    <t>Дисплей Huawei MediaPad T3 8.0 (KOB-L09, KOB-W09), с тачскрином, Original PRC, White</t>
  </si>
  <si>
    <t>Дисплей Huawei MediaPad T5 10 (AGS2-L09, AGS2-W09), с тачскрином, Original PRC, Black</t>
  </si>
  <si>
    <t>Дисплей Lenovo A5500 IdeaTab, A8-50 Tab 2, A8-50F Tab 2, A8-50L Tab 2, A8-50LC Tab 2</t>
  </si>
  <si>
    <t>Дисплей Lenovo IdeaTab A7600, A10-70</t>
  </si>
  <si>
    <t>Дисплей Lenovo IdeaTab A7600, A10-70 с тачскрином, рамкой, Black</t>
  </si>
  <si>
    <t>Дисплей Lenovo Miix 3-830 с тачскрином, рамкой, Black</t>
  </si>
  <si>
    <t>Дисплей Lenovo PB1-750M Phab с тачскрином, Black</t>
  </si>
  <si>
    <t>Дисплей Lenovo PB1-750M Phab с тачскрином, White</t>
  </si>
  <si>
    <t>Дисплей Lenovo PB1-770M Phab Plus LTE с тачскрином, White</t>
  </si>
  <si>
    <t>Дисплей Lenovo Tab 10 TB-X103F, с тачскрином, Black</t>
  </si>
  <si>
    <t>Дисплей Lenovo Tab 2 A10-70F, A10-70L с тачскрином White</t>
  </si>
  <si>
    <t>Дисплей Lenovo Tab 2 A10-70F, A10-70L, с тачскрином, Black</t>
  </si>
  <si>
    <t>Дисплей Lenovo Tab 2 A7-10, A7-20, с тачскрином, Black</t>
  </si>
  <si>
    <t>Дисплей Lenovo Tab 2 A7-30, Tab 2 A7-30DC, Tab 2 A7-30F, (Green FPC), с тачскрином, Black</t>
  </si>
  <si>
    <t>Дисплей Lenovo Tab 2 A7-30HC, (Yellow FPC), с тачскрином, Black</t>
  </si>
  <si>
    <t>Дисплей Lenovo Tab 3 Plus 8703X 8 LTE, TB-8703X, с тачскрином, Black</t>
  </si>
  <si>
    <t>Дисплей Lenovo Tab 3 Plus TB-7703X 7 LTE, с тачскрином, с рамкою, Blue</t>
  </si>
  <si>
    <t>Дисплей Lenovo Tab 3 Plus X70L 10.1 LTE, с тачскрином, Black</t>
  </si>
  <si>
    <t>Дисплей Lenovo Tab 3 Plus X70L 10.1 LTE, с тачскрином, White</t>
  </si>
  <si>
    <t>Дисплей Lenovo Tab 3 TB3-710F Essential, Tab 3 TB3-710L Essential</t>
  </si>
  <si>
    <t>Дисплей Lenovo Tab 3 TB3-850M, TB3-850F, с тачскрином, Black</t>
  </si>
  <si>
    <t>Дисплей Lenovo Tab 3-710F, с тачскрином, Black</t>
  </si>
  <si>
    <t>Дисплей Lenovo Tab 3-730 (187*97мм) с тачскрином, Black</t>
  </si>
  <si>
    <t>Дисплей Lenovo Tab 4 10 Plus X704L, с тачскрином, Black, Original</t>
  </si>
  <si>
    <t>Дисплей Lenovo Tab 4 10 TB-X304L, Original PRC</t>
  </si>
  <si>
    <t>Дисплей Lenovo Tab 4 10 TB-X304L, с тачскрином, Black</t>
  </si>
  <si>
    <t>Дисплей Lenovo Tab 4 10 TB-X304L, с тачскрином, White</t>
  </si>
  <si>
    <t>Дисплей Lenovo Tab 4 7 Essential TB-7304F (187*97мм), с тачскрином, Black</t>
  </si>
  <si>
    <t>Дисплей Lenovo Tab 4 8 Plus TB-8704X, с тачскрином, Black</t>
  </si>
  <si>
    <t>Дисплей Lenovo Tab 4 8 TB-8504F (зеленая плата), с тачскрином, Black</t>
  </si>
  <si>
    <t>Дисплей Lenovo Tab 4 TB-7504X LTE, с тачскрином, Original PRC, Black</t>
  </si>
  <si>
    <t>Дисплей Lenovo Tab 4 TB-7504X LTE, с тачскрином, Original PRC, White</t>
  </si>
  <si>
    <t>Дисплей Lenovo Tab M10 3rd Gen (TB328), с тачскрином, Original, Black</t>
  </si>
  <si>
    <t>Дисплей Lenovo Tab M10 HD 2 Gen (X306F, X306X), с тачскрином, Original PRC, Black</t>
  </si>
  <si>
    <t>Дисплей Lenovo Tab M10 HD 2 Gen (X306F, X306X), с тачскрином, Original, Black</t>
  </si>
  <si>
    <t>Дисплей Lenovo Tab M10 Plus 3rd Gen (TB125, TB128), с тачскрином, Original, Black</t>
  </si>
  <si>
    <t>Дисплей Lenovo Tab M10 Plus FHD (TB-X606F), с тачскрином, Original, Black</t>
  </si>
  <si>
    <t>Дисплей Lenovo Tab M10 TB-X605, с тачскрином, Original, Black</t>
  </si>
  <si>
    <t>Дисплей Lenovo Tab M7 7305, TB-7305, с тачскрином, Original, Black</t>
  </si>
  <si>
    <t>Дисплей Lenovo Tab M8 (TB-8505F, TB-8505X), с тачскрином, Original, Black</t>
  </si>
  <si>
    <t>Дисплей Lenovo Tab M8 FHD (TB-8705F), с тачскрином, Original, Black</t>
  </si>
  <si>
    <t>Дисплей Lenovo Tab P10 (TB-X705), с тачскрином, Original, Black</t>
  </si>
  <si>
    <t>Дисплей Lenovo Tab P11 (TB-J606F), Tab P11 Plus (TB-J616F), с тачскрином, Original, Black</t>
  </si>
  <si>
    <t>Дисплей Lenovo Tab S8-50 с тачскрином, Black</t>
  </si>
  <si>
    <t>Дисплей Lenovo Tab S8-50F</t>
  </si>
  <si>
    <t>Дисплей Lenovo Yoga Tablet 2 1050L, с тачскрином, Black</t>
  </si>
  <si>
    <t>Дисплей Lenovo Yoga Tablet 3 Pro YT3-X90L, YT3-X90F, YT3-X90X, X90L, с тачскрином, Black</t>
  </si>
  <si>
    <t>Дисплей Lenovo Yoga Tablet 3-850F, с тачскрином, Black</t>
  </si>
  <si>
    <t>Дисплей Lenovo Yoga Tablet B6000, с тачскрином, Black</t>
  </si>
  <si>
    <t>Дисплей Lenovo Yoga Tablet B8000, с тачскрином, Black</t>
  </si>
  <si>
    <t>Дисплей LG V400 G Pad 7.0 с тачскрином</t>
  </si>
  <si>
    <t>Дисплей LG V480, V490 G Pad 8.0, с тачскрином, Black</t>
  </si>
  <si>
    <t>Дисплей LG V500 G Pad 8.3 3G с тачскрином, White</t>
  </si>
  <si>
    <t>Дисплей LG V500 G Pad 8.3 Wi-Fi с тачскрином, Black, VERIZON</t>
  </si>
  <si>
    <t>Дисплей LG V500 G Pad 8.3 Wi-Fi с тачскрином, рамкой, White</t>
  </si>
  <si>
    <t>Дисплей LG V700 G Pad 10.1, с тачскрином, Black</t>
  </si>
  <si>
    <t>Дисплей Microsoft Surface Pro 1</t>
  </si>
  <si>
    <t>Дисплей Microsoft Surface Pro 2</t>
  </si>
  <si>
    <t>Дисплей Microsoft Surface Pro 3, с тачскрином</t>
  </si>
  <si>
    <t>Дисплей Microsoft Surface Pro 4, с тачскрином</t>
  </si>
  <si>
    <t>Дисплей Microsoft Surface RT</t>
  </si>
  <si>
    <t>Nomi</t>
  </si>
  <si>
    <t>Дисплей Nomi C070010 Corsa 7 3G, (1280x720), 162 мм, 103 мм, 31 pin, #N070ICE-GB2 Rev.B1</t>
  </si>
  <si>
    <t>Дисплей Nomi C10104 Terra S</t>
  </si>
  <si>
    <t>Realme</t>
  </si>
  <si>
    <t>Дисплей Realme Pad Mini 8.7, с тачскрином, Original, Black</t>
  </si>
  <si>
    <t>Дисплей Samsung A3000, P1000,  P3100, P3110, P3200, P6200, T211 Galaxy Tab 3 7.0</t>
  </si>
  <si>
    <t>Дисплей Samsung N8000 Galaxy Note, N8010 Galaxy Note</t>
  </si>
  <si>
    <t>Дисплей Samsung P355 Galaxy Tab A 8.0 с тачскрином, Black</t>
  </si>
  <si>
    <t>Дисплей Samsung P5100 Galaxy Tab2 , P5110 Galaxy Tab2 , P5200 Galaxy Tab3, P5210 Galaxy Tab3, P7500 Galaxy Tab, P7510 Galaxy Tab, T530 Galaxy Tab 4 1</t>
  </si>
  <si>
    <t>Дисплей Samsung P600 Galaxy Note 10.1, P605 Galaxy Note 10.1, с тачскрином, Black, Original</t>
  </si>
  <si>
    <t>Дисплей Samsung P600 Galaxy Note 10.1, P605 Galaxy Note 10.1, с тачскрином, White, Original</t>
  </si>
  <si>
    <t>Дисплей Samsung P610, P613, P615, P617, P619 Galaxy Tab S6 Lite, с тачскрином, Original PRC, Black</t>
  </si>
  <si>
    <t>Дисплей Samsung P610, P613, P615, P617, P619 Galaxy Tab S6 Lite, с тачскрином, Original, Black</t>
  </si>
  <si>
    <t>Дисплей Samsung T220 Galaxy Tab A7 Lite Wi-Fi, с тачскрином, Original PRC, Black</t>
  </si>
  <si>
    <t>Дисплей Samsung T225 Galaxy Tab A7 Lite LTE, с тачскрином, Original PRC, Black</t>
  </si>
  <si>
    <t>Дисплей Samsung T230 Galaxy Tab 4 7.0, T231 Galaxy Tab 4 7.0 3G , T235 Galaxy Tab 4 7.0 LTE</t>
  </si>
  <si>
    <t>Дисплей Samsung T231 Galaxy Tab 4 7.0 (WI-FI + 3G) с тачскрином (black)</t>
  </si>
  <si>
    <t>Дисплей Samsung T231 Galaxy Tab 4 7.0 (WI-FI + 3G) с тачскрином и рамкой (white)</t>
  </si>
  <si>
    <t>Дисплей Samsung T280 Galaxy Tab A 7.0 WiFi, с тачскрином, Black</t>
  </si>
  <si>
    <t>Дисплей Samsung T285 Galaxy Tab A 7.0 LTE, с тачскрином, Original PRC, Black</t>
  </si>
  <si>
    <t>Дисплей Samsung T285 Galaxy Tab A 7.0 LTE, с тачскрином, Original PRC, White</t>
  </si>
  <si>
    <t>Дисплей Samsung T310 Galaxy Tab 3 8.0, T3100, T311, T3110, T315 LTE,  (версия WiFi), с тачскрином, Black</t>
  </si>
  <si>
    <t>Дисплей Samsung T310 Galaxy Tab 3 8.0, T3100, T311, T3110, T315 LTE,  (версия WiFi), с тачскрином, White</t>
  </si>
  <si>
    <t>Дисплей Samsung T310 Galaxy Tab 3 8.0, T3100, T311, T3110, T315 LTE, (версия 3G), с тачскрином Black</t>
  </si>
  <si>
    <t>Дисплей Samsung T310 Galaxy Tab 3 8.0, T3100, T311, T3110, T315 LTE, (версия 3G), с тачскрином White</t>
  </si>
  <si>
    <t>Дисплей Samsung T320 Galaxy Tab PRO 8.4 (wi-fi), с тачскрином, Black</t>
  </si>
  <si>
    <t>Дисплей Samsung T321 Galaxy Tab Pro 8.4 3G, T325 Galaxy Tab Pro 8.4 LTE, с тачскрином, Original PRC, Black</t>
  </si>
  <si>
    <t>Дисплей Samsung T321 Galaxy Tab Pro 8.4 3G, T325 Galaxy Tab Pro 8.4 LTE, с тачскрином, Original PRC, White</t>
  </si>
  <si>
    <t>Дисплей Samsung T330 Galaxy Tab 4 8.0 wi-fi с тачскрином, Black</t>
  </si>
  <si>
    <t>Дисплей Samsung T330 Galaxy Tab 4 8.0 wi-fi с тачскрином, White</t>
  </si>
  <si>
    <t>Дисплей Samsung T335 Galaxy Tab 4 8.0 3G, с тачскрином, Black</t>
  </si>
  <si>
    <t>Дисплей Samsung T335 Galaxy Tab 4 8.0 3G, с тачскрином, White</t>
  </si>
  <si>
    <t>Дисплей Samsung T380 Galaxy Tab A 8.0, (версия WI-FI), с тачскрином, Black</t>
  </si>
  <si>
    <t>Дисплей Samsung T385 Galaxy Tab A 8.0 LTE, с тачскрином, Original PRC, Black</t>
  </si>
  <si>
    <t>Дисплей Samsung T385 Galaxy Tab A 8.0 LTE, с тачскрином, Original PRC, White</t>
  </si>
  <si>
    <t>Дисплей Samsung T395 Galaxy Active 2 8.0 LTE, с тачскрином, Original PRC, Black</t>
  </si>
  <si>
    <t>Дисплей Samsung T395 Galaxy Active 2 8.0 LTE, с тачскрином, Original PRC, White</t>
  </si>
  <si>
    <t>Дисплей Samsung T500, T505 Galaxy Tab A7 10.4, с тачскрином, Black, Original</t>
  </si>
  <si>
    <t>Дисплей Samsung T510 Galaxy Tab A 10.1 Wi-Fi, T515 Galaxy Tab A 10.1 LTE, с тачскрином, High Quality, Black</t>
  </si>
  <si>
    <t>Дисплей Samsung T510 Galaxy Tab A 10.1 Wi-Fi, T515 Galaxy Tab A 10.1 LTE, с тачскрином, Original, Black</t>
  </si>
  <si>
    <t>Дисплей Samsung T530, T531 Galaxy Tab 4 10.1 с тачскрином и рамкой, Black</t>
  </si>
  <si>
    <t>Дисплей Samsung T530, T531 Galaxy Tab 4 10.1 с тачскрином, White</t>
  </si>
  <si>
    <t>Дисплей Samsung T550 Galaxy Tab A 9.7, T555 Galaxy Tab A 9.7 LTE</t>
  </si>
  <si>
    <t>Дисплей Samsung T550 Galaxy Tab A 9.7, T555 Galaxy Tab A 9.7 LTE, с тачскрином, Black</t>
  </si>
  <si>
    <t>Дисплей Samsung T560 Galaxy Tab E 9.6, T561 Galaxy Tab E 9.6, Original PRC</t>
  </si>
  <si>
    <t>Дисплей Samsung T560 Galaxy Tab E 9.6, T561 Galaxy Tab E 9.6, с тачскрином, Original PRC, Black</t>
  </si>
  <si>
    <t>Дисплей Samsung T560 Galaxy Tab E 9.6, T561 Galaxy Tab E 9.6, с тачскрином, Original PRC, White</t>
  </si>
  <si>
    <t>Дисплей Samsung T580 Galaxy Tab A 10.1 WiFi, T585 Galaxy Tab A 10.1 LTE, Original</t>
  </si>
  <si>
    <t>Дисплей Samsung T580 Galaxy Tab A 10.1 WiFi, T585 Galaxy Tab A 10.1 LTE, с тачскрином, Original, Black</t>
  </si>
  <si>
    <t>Дисплей Samsung T580 Galaxy Tab A 10.1 WiFi, T585 Galaxy Tab A 10.1 LTE, с тачскрином, Original, White</t>
  </si>
  <si>
    <t>Дисплей Samsung T590 Galaxy Tab A 10.5 Wi-Fi, T595 Galaxy Tab A 10.5 LTE, с тачскрином, Original, Black</t>
  </si>
  <si>
    <t>Дисплей Samsung T700 Galaxy Tab S 8.4, (версия WiFi), с тачскрином, Bronze</t>
  </si>
  <si>
    <t>Дисплей Samsung T700 Galaxy Tab S 8.4, (версия WiFi), с тачскрином, White</t>
  </si>
  <si>
    <t>Дисплей Samsung T705 Galaxy Tab S 8.4 LTE, с тачскрином, Bronze, Original</t>
  </si>
  <si>
    <t>Дисплей Samsung T720, T725 Galaxy Tab S5e 10.5, с тачскрином, Black, Original</t>
  </si>
  <si>
    <t>Дисплей Samsung T730, T733, T735, T736B Galaxy Tab S7 FE, с тачскрином, Original, Black</t>
  </si>
  <si>
    <t>Дисплей Samsung T800 Galaxy Tab S 10.5, T805 Galaxy Tab S 10.5 LTE, с тачскрином, Bronze, Original</t>
  </si>
  <si>
    <t>Дисплей Samsung T810 Galaxy Tab S2, T815 Galaxy Tab S2 LTE, с тачскрином, Black, Original</t>
  </si>
  <si>
    <t>Дисплей Samsung T830 Galaxy Tab S4 10.5, T835 Galaxy Tab S4 10.5 LTE, с тачскрином, Black, Original</t>
  </si>
  <si>
    <t>Дисплей Samsung T860, T865 Galaxy Tab S6, с тачскрином, Black, Original</t>
  </si>
  <si>
    <t>Дисплей Samsung T870 Galaxy Tab S7 Wi-Fi, T875 Galaxy Tab S7 LTE, T876B Galaxy Tab S7 LTE/5G, с тачскрином, Original, Black</t>
  </si>
  <si>
    <t>Дисплей Samsung X200 Galaxy Tab A8 Wi-Fi, X205 Galaxy Tab A8 LTE, с тачскрином, Original, Black</t>
  </si>
  <si>
    <t>Дисплей Samsung X706 Galaxy Tab S8 5G, с тачскрином, Original</t>
  </si>
  <si>
    <t>Дисплей Samsung X806 Galaxy Tab S8 Plus 5G, с тачскрином, Original</t>
  </si>
  <si>
    <t>Дисплей Samsung X906 Galaxy Tab S8 Ultra 5G, с тачскрином, Original</t>
  </si>
  <si>
    <t>Дисплей SONY Xperia Tablet Z (SGP311/SGP312), с тачскрином</t>
  </si>
  <si>
    <t>Дисплей SONY Xperia Tablet Z2 (SGP511, SGP512, SGP521, SGP541), с тачскрином</t>
  </si>
  <si>
    <t>Дисплей Xiaomi Mi Pad 2, Mi Pad 3, с тачскрином, Black</t>
  </si>
  <si>
    <t>Дисплей Xiaomi Mi Pad 4 Plus, с тачскрином, Black, Original</t>
  </si>
  <si>
    <t>Дисплей Xiaomi Mi Pad 4 Plus, с тачскрином, White, Original</t>
  </si>
  <si>
    <t>Дисплей Xiaomi Mi Pad 4, с тачскрином, Black, Original</t>
  </si>
  <si>
    <t>Дисплей Xiaomi Mi Pad 4, с тачскрином, White, Original</t>
  </si>
  <si>
    <t>Дисплей Xiaomi Mi Pad 5, Mi Pad 5 Pro, с тачскрином, Original PRC, Black</t>
  </si>
  <si>
    <t>Китайские планшеты</t>
  </si>
  <si>
    <t>Дисплей 10.1 inch, 30pins, Size: 234mm*137mm, 1024*600, MF1011683002A</t>
  </si>
  <si>
    <t>Корпуса для планшетов</t>
  </si>
  <si>
    <t>iPad</t>
  </si>
  <si>
    <t>Корпус Apple iPad 4 3G A1460, White (задняя крышка)</t>
  </si>
  <si>
    <t>Разъемы (коннекторы) для планшетов</t>
  </si>
  <si>
    <t>Коннекторы для зарядки</t>
  </si>
  <si>
    <t>Коннектор зарядки Asus ME170, MeMO Pad HD7 Dual SIM ME175KG (K00S); Lenovo Tab 2 A7-30;  Explay A500, 5 pin, micro-USB, тип-B</t>
  </si>
  <si>
    <t>Рамки сенсора для планшетов</t>
  </si>
  <si>
    <t>Рамка сенсора Apple Ipad 2, Apple Ipad 3, Black</t>
  </si>
  <si>
    <t>Рамка сенсора Apple Ipad 2, Apple Ipad 3, White</t>
  </si>
  <si>
    <t>Сенсорные экраны (сенсоры) для планшетов</t>
  </si>
  <si>
    <t>Сенсор (тачскрин) Apple iPad 10.2 2019 (A2197, A2198, A2200), iPad 10.2 2020 (A2270, A2428, A2429), High Quality, Black</t>
  </si>
  <si>
    <t>Сенсор (тачскрин) Apple iPad 10.2 2019 (A2197, A2198, A2200), iPad 10.2 2020 (A2270, A2428, A2429), High Quality, White</t>
  </si>
  <si>
    <t>Сенсор (тачскрин) Apple iPad 10.2 2021 (A2602, A2603, A2604, A2605), с кнопкой Home, Original PRC, Black</t>
  </si>
  <si>
    <t>Сенсор (тачскрин) Apple iPad 10.2 2021 (A2602, A2603, A2604, A2605), с кнопкой Home, Original, White</t>
  </si>
  <si>
    <t>Сенсор (тачскрин) Apple iPad 10.9 2022 10 Gen, Original, Black</t>
  </si>
  <si>
    <t>Сенсор (тачскрин) Apple iPad 5 Air, iPad Air, iPad 9.7 2017, A1822, A1823, Original PRC, Black</t>
  </si>
  <si>
    <t>Сенсор (тачскрин) Apple iPad 5 Air, iPad Air, iPad 9.7 2017, A1822, A1823, Original PRC, White</t>
  </si>
  <si>
    <t>Сенсор (тачскрин) Apple iPad 5 air, iPad Air, iPad 9.7 2017, A1822, A1823, с кнопкой Home, High Quality, Black</t>
  </si>
  <si>
    <t>Сенсор (тачскрин) Apple iPad 5 Air, iPad Air, iPad 9.7 2017, A1822, A1823, с кнопкой Home, Original PRC, Black</t>
  </si>
  <si>
    <t>Сенсор (тачскрин) Apple iPad 5 Air, iPad Air, iPad 9.7 2017, A1822, A1823, с кнопкой Home, Original PRC, White</t>
  </si>
  <si>
    <t>Сенсор (тачскрин) Apple iPad 9.7 2018 (A1893, A1954), Original, White</t>
  </si>
  <si>
    <t>Сенсор (тачскрин) Apple iPad 9.7 2018 (A1893, A1954), с кнопкой HOME, Original, Black</t>
  </si>
  <si>
    <t>Сенсор (тачскрин) Apple iPad 9.7 2018 (A1893, A1954), с кнопкой HOME, Original, White</t>
  </si>
  <si>
    <t>Сенсор (тачскрин) Apple iPad Air 2 (A1566, A1567), Original PRC, Black</t>
  </si>
  <si>
    <t>Сенсор (тачскрин) Apple iPad Air 2 (A1566, A1567), Original PRC, White</t>
  </si>
  <si>
    <t>Сенсор (тачскрин) Apple iPad Air 2 (A1566, A1567), с кнопкой Home, Original, Black</t>
  </si>
  <si>
    <t>Сенсор (тачскрин) Apple iPad Air 2 (A1566, A1567), с кнопкой Home, Original, White</t>
  </si>
  <si>
    <t>Сенсор (тачскрин) Apple iPad Air 3 2019 (A2123, A2152, A2153), Original PRC, Black</t>
  </si>
  <si>
    <t>Сенсор (тачскрин) Apple iPad mini (A1432, A1454, A1455), iPad Mini 2 Retina (A1489, A1490, A1491), с кнопкой Home, High Quality, Black</t>
  </si>
  <si>
    <t>Сенсор (тачскрин) Apple iPad mini (A1432, A1454, A1455), iPad Mini 2 Retina (A1489, A1490, A1491), с кнопкой Home, High Quality, White</t>
  </si>
  <si>
    <t>Сенсор (тачскрин) Apple iPad mini (A1432, A1454, A1455), iPad Mini 2 Retina (A1489, A1490, A1491), с кнопкой Home, Original PRC, Black</t>
  </si>
  <si>
    <t>Сенсор (тачскрин) Apple iPad mini (A1432, A1454, A1455), iPad Mini 2 Retina (A1489, A1490, A1491), с кнопкой Home, Original PRC, White</t>
  </si>
  <si>
    <t>Сенсор (тачскрин) Apple iPad Mini 3 (A1599, A1600), с кнопкой Home, Original PRC, Black</t>
  </si>
  <si>
    <t>Сенсор (тачскрин) Apple iPad Mini 3 (A1599, A1600), с кнопкой Home, Original PRC, White</t>
  </si>
  <si>
    <t>Сенсор (тачскрин) Apple iPad Mini 5 (A2124, A2126, A2133), Original PRC, Black</t>
  </si>
  <si>
    <t>Сенсор (тачскрин) Apple iPad Mini 5 (A2124, A2126, A2133), Original PRC, White</t>
  </si>
  <si>
    <t>Сенсор (тачскрин) Apple iPad Mini 6 2021 (A2567, A2568, A2569), Original</t>
  </si>
  <si>
    <t>Сенсор (тачскрин) Apple iPad Pro 10.5 (A1701, A1709, A1852), Original, Black</t>
  </si>
  <si>
    <t>Сенсор (тачскрин) Apple iPad Pro 10.5 (A1701, A1709, A1852), Original, White</t>
  </si>
  <si>
    <t>Сенсор (тачскрин) Apple iPad Pro 11 2018, iPad Pro 11 2020, Original</t>
  </si>
  <si>
    <t>Сенсор (тачскрин) Apple iPad Pro 11 2021, Original</t>
  </si>
  <si>
    <t>Сенсор (тачскрин) Apple iPad Pro 12.9 2018, iPad Pro 12.9 2020, Original</t>
  </si>
  <si>
    <t>Сенсор (тачскрин) Apple iPad Pro 9.7 (A1673, A1674, A1675), Original PRC, Black</t>
  </si>
  <si>
    <t>Сенсор (тачскрин) Apple iPad Pro 9.7 (A1673, A1674, A1675), Original PRC, White</t>
  </si>
  <si>
    <t>Сенсор (тачскрин) Huawei MediaPad M5 Lite 10 (BAH2-L09, BAH2-W19), с OCA пленкой, Original PRC, Black</t>
  </si>
  <si>
    <t>Сенсор (тачскрин) Huawei MediaPad T3 10 LTE (AGS-L09), High Quality, Black</t>
  </si>
  <si>
    <t>Сенсор (тачскрин) Huawei MediaPad T3 10 LTE (AGS-L09), High Quality, White</t>
  </si>
  <si>
    <t>Сенсор (тачскрин) Huawei MediaPad T3 10 LTE (AGS-L09), с OCA пленкой, Original PRC, Black</t>
  </si>
  <si>
    <t>Сенсор (тачскрин) Huawei MediaPad T3 10 LTE (AGS-L09), с OCA пленкой, Original PRC, White</t>
  </si>
  <si>
    <t>Сенсор (тачскрин) Huawei MediaPad T3 8.0 (KOB-L09, KOB-W09), High Quality, Black</t>
  </si>
  <si>
    <t>Сенсор (тачскрин) Huawei MediaPad T3 8.0 (KOB-L09, KOB-W09), High Quality, White</t>
  </si>
  <si>
    <t>Сенсор (тачскрин) Huawei S8-701u MediaPad T1 8.0, T1-821L MediaPad T1 8.0 LTE, White</t>
  </si>
  <si>
    <t>Стекло дисплея Huawei MatePad T10 (AGR-W09, AGR-L09), с OCA пленкой, Original PRC, White</t>
  </si>
  <si>
    <t>Стекло дисплея Huawei MatePad T10s (AGS3-L09, AGS3-W09), с OCA пленкой, Original PRC, White</t>
  </si>
  <si>
    <t>Сенсор (тачскрин) Lenovo IdeaTab A1000</t>
  </si>
  <si>
    <t>Сенсор (тачскрин) Lenovo IdeaTab A3000, Black</t>
  </si>
  <si>
    <t>Сенсор (тачскрин) Lenovo IdeaTab A3000, White</t>
  </si>
  <si>
    <t>Сенсор (тачскрин) Lenovo IdeaTab A3300, Black</t>
  </si>
  <si>
    <t>Сенсор (тачскрин) Lenovo IdeaTab A3500, Black</t>
  </si>
  <si>
    <t>Сенсор (тачскрин) Lenovo IdeaTab S5000</t>
  </si>
  <si>
    <t>Сенсор (тачскрин) Lenovo IdeaTab S6000</t>
  </si>
  <si>
    <t>Сенсор (тачскрин) Lenovo Phab 2 PB2-670M, Black</t>
  </si>
  <si>
    <t>Сенсор (тачскрин) Lenovo Phab 2 PB2-670M, Gold</t>
  </si>
  <si>
    <t>Сенсор (тачскрин) Lenovo Tab 10 TB-X103F, Black</t>
  </si>
  <si>
    <t>Сенсор (тачскрин) Lenovo Tab 2 A10-30, X30F, High Quality, Black</t>
  </si>
  <si>
    <t>Сенсор (тачскрин) Lenovo Tab 2 A10-30, X30F, High Quality, White</t>
  </si>
  <si>
    <t>Сенсор (тачскрин) Lenovo Tab 2 A10-70F, Tab 2 A10-70L, White</t>
  </si>
  <si>
    <t>Сенсор (тачскрин) Lenovo Tab 2 A7-10, Tab 2 A7-20F, Black</t>
  </si>
  <si>
    <t>Сенсор (тачскрин) Lenovo Tab 2 A7600, A10-70, Black</t>
  </si>
  <si>
    <t>Сенсор (тачскрин) Lenovo Tab 2 A8-50F, Tab 2 A8-50LC, Black</t>
  </si>
  <si>
    <t>Сенсор (тачскрин) Lenovo Tab 3 710F, Black</t>
  </si>
  <si>
    <t>Сенсор (тачскрин) Lenovo Tab 3 TB3-850M, TB3-850F, Black</t>
  </si>
  <si>
    <t>Сенсор (тачскрин) Lenovo Tab 4 10 Plus X704L, Black</t>
  </si>
  <si>
    <t>Сенсор (тачскрин) Lenovo Tab 4 10 TB-X304L, High Quality, White</t>
  </si>
  <si>
    <t>Сенсор (тачскрин) Lenovo Tab 4 10 TB-X304L, с OCA пленкой, Original PRC, Black</t>
  </si>
  <si>
    <t>Сенсор (тачскрин) Lenovo Tab M10 HD (TB-X505), с OCA пленкой, Original PRC, Black</t>
  </si>
  <si>
    <t>Сенсор (тачскрин) Lenovo Tab M10 HD (TB-X505), с OCA пленкой, Original PRC, White</t>
  </si>
  <si>
    <t>Сенсор (тачскрин) Lenovo Yoga Tablet 3 Pro YT3-X90L, YT3-X90F, YT3-X90X, X90L, Black</t>
  </si>
  <si>
    <t>Сенсор (тачскрин) Lenovo Yoga Tablet 3-850F, Black</t>
  </si>
  <si>
    <t>Сенсор (тачскрин) Lenovo Yoga Tablet 3-X50 10 LTE, Black</t>
  </si>
  <si>
    <t>Сенсор (тачскрин) Lenovo Yoga Tablet B6000</t>
  </si>
  <si>
    <t>Сенсор (тачскрин) Lenovo Yoga Tablet B8000</t>
  </si>
  <si>
    <t>Сенсор (тачскрин) LG V490 G Pad 8.0, Black</t>
  </si>
  <si>
    <t>Сенсор (тачскрин) LG V495 G Pad 8.0, Black</t>
  </si>
  <si>
    <t>Сенсор (тачскрин) Nomi C070010 Corsa, размер:184*108 мм, Black</t>
  </si>
  <si>
    <t>Сенсор (тачскрин) Nomi C070010 Corsa, размер:184*108 мм, White</t>
  </si>
  <si>
    <t>Сенсор (тачскрин) Nomi C070011 Corsa 2, 2.5D, (p/n: JM70F-62, ZYD070-268-V02) White</t>
  </si>
  <si>
    <t>Сенсор (тачскрин) Nomi C070012 Corsa 3, 2.5D, (p/n:CY70S309-01), Gray</t>
  </si>
  <si>
    <t>Сенсор (тачскрин) Nomi C070012 Corsa 3, 2.5D, (p/n:CY70S309-01), White</t>
  </si>
  <si>
    <t>Сенсор (тачскрин) Nomi C070014 Corsa 4 3G, (p/n: XC-283-A1), Black</t>
  </si>
  <si>
    <t>Сенсор (тачскрин) Nomi C070020 Corsa Pro Black размер:184*104 мм</t>
  </si>
  <si>
    <t>Сенсор (тачскрин) Nomi C070020 Corsa Pro, (p|n: 70A23), размер: 184mm*108mm, White</t>
  </si>
  <si>
    <t>Сенсор (тачскрин) Nomi C10103 Ultra+ 16GB, (p/n: YJ406FPC-V1)</t>
  </si>
  <si>
    <t>Сенсор (тачскрин) Nomi C10103 Ultra+, Nomi NB-10103, размер 250mm*115mm (p/n: YJ408FPC-V0 )</t>
  </si>
  <si>
    <t>Сенсор (тачскрин) Samsung N8000 Galaxy Note 10.1, N8010 Galaxy Note 10.1, P5100 Galaxy Tab 2 10.1, P5110 Galaxy Tab 2 10.1, Black</t>
  </si>
  <si>
    <t>Сенсор (тачскрин) Samsung P1000</t>
  </si>
  <si>
    <t>Сенсор (тачскрин) Samsung P3100 Galaxy Tab 2 7.0, Black</t>
  </si>
  <si>
    <t>Сенсор (тачскрин) Samsung P550 Galaxy Tab A 9.7, Black</t>
  </si>
  <si>
    <t>Сенсор (тачскрин) Samsung P550 Galaxy Tab A 9.7, White</t>
  </si>
  <si>
    <t>Сенсор (тачскрин) Samsung P7300 Galaxy Tab 8.9, Black</t>
  </si>
  <si>
    <t>Сенсор (тачскрин) Samsung P7300 Galaxy Tab 8.9, White</t>
  </si>
  <si>
    <t>Сенсор (тачскрин) Samsung P7500, P7510 Galaxy Tab, Black</t>
  </si>
  <si>
    <t>Сенсор (тачскрин) Samsung P7500, P7510 Galaxy Tab, White</t>
  </si>
  <si>
    <t>Сенсор (тачскрин) Samsung T111 Galaxy Tab 3 Lite 7.0 3G, Black</t>
  </si>
  <si>
    <t>Сенсор (тачскрин) Samsung T111 Galaxy Tab 3 Lite 7.0 3G, White</t>
  </si>
  <si>
    <t>Сенсор (тачскрин) Samsung T113 Galaxy Tab 3 Lite 7.0 wi-fi, White</t>
  </si>
  <si>
    <t>Сенсор (тачскрин) Samsung T116 Galaxy Tab 3 Lite 7.0 3G, High Quality, Black</t>
  </si>
  <si>
    <t>Сенсор (тачскрин) Samsung T116 Galaxy Tab 3 Lite 7.0 3G, High Quality, White</t>
  </si>
  <si>
    <t>Сенсор (тачскрин) Samsung T210 Galaxy Tab 3 7.0 Wi-Fi, Black</t>
  </si>
  <si>
    <t>Сенсор (тачскрин) Samsung T210 Galaxy Tab 3 7.0 Wi-Fi, White</t>
  </si>
  <si>
    <t>Сенсор (тачскрин) Samsung T211 Galaxy Tab 3 7.0 3G, Black</t>
  </si>
  <si>
    <t>Сенсор (тачскрин) Samsung T211 Galaxy Tab 3 7.0 3G, Brown</t>
  </si>
  <si>
    <t>Сенсор (тачскрин) Samsung T230 Galaxy Tab 4 7.0, T231 Galaxy Tab 4 7.0 3G, T235 Galaxy Tab 4 7.0 LTE, High Quality, Black</t>
  </si>
  <si>
    <t>Сенсор (тачскрин) Samsung T230 Galaxy Tab 4 7.0, T231 Galaxy Tab 4 7.0 3G, T235 Galaxy Tab 4 7.0 LTE, High Quality, White</t>
  </si>
  <si>
    <t>Сенсор (тачскрин) Samsung T320 Galaxy Tab PRO 8.4, (версия WiFi), Black</t>
  </si>
  <si>
    <t>Сенсор (тачскрин) Samsung T320 Galaxy Tab PRO 8.4, (версия WiFi), White</t>
  </si>
  <si>
    <t>Сенсор (тачскрин) Samsung T321 Galaxy Tab Pro 8.4 3G, T325 Galaxy Tab Pro 8.4 LTE, (версия 3G), Black</t>
  </si>
  <si>
    <t>Сенсор (тачскрин) Samsung T321 Galaxy Tab Pro 8.4 3G, T325 Galaxy Tab Pro 8.4 LTE, (версия 3G), White</t>
  </si>
  <si>
    <t>Сенсор (тачскрин) Samsung T335 Galaxy Tab 4 8.0 3G Black</t>
  </si>
  <si>
    <t>Сенсор (тачскрин) Samsung T335 Galaxy Tab 4 8.0 3G White</t>
  </si>
  <si>
    <t>Сенсор (тачскрин) Samsung T350 Galaxy Tab A 8.0, (версия Wi-fi), White</t>
  </si>
  <si>
    <t>Сенсор (тачскрин) Samsung T510 Galaxy Tab A 10.1 Wi-Fi, T515 Galaxy Tab A 10.1 LTE, Original PRC, Black</t>
  </si>
  <si>
    <t>Сенсор (тачскрин) Samsung T510 Galaxy Tab A 10.1 Wi-Fi, T515 Galaxy Tab A 10.1 LTE, с OCA пленкой, Original</t>
  </si>
  <si>
    <t>Сенсор (тачскрин) Samsung T550 Galaxy Tab A 9.7, T555 Galaxy Tab A 9.7 LTE, Black</t>
  </si>
  <si>
    <t>Сенсор (тачскрин) Samsung T550 Galaxy Tab A 9.7, T555 Galaxy Tab A 9.7 LTE, White</t>
  </si>
  <si>
    <t>Сенсор (тачскрин) Samsung T560, T561, T567 Galaxy Tab E 9.6, Original PRC, Black</t>
  </si>
  <si>
    <t>Сенсор (тачскрин) Samsung T560, T561, T567 Galaxy Tab E 9.6, Original PRC, White</t>
  </si>
  <si>
    <t>Сенсор (тачскрин) Samsung T580 Galaxy Tab A 10.1 WiFi, T585 Galaxy Tab A 10.1 3G, High Quality, Black</t>
  </si>
  <si>
    <t>Сенсор (тачскрин) Samsung T580 Galaxy Tab A 10.1 WiFi, T585 Galaxy Tab A 10.1 3G, High Quality, White</t>
  </si>
  <si>
    <t>Сенсор (тачскрин) Samsung T800 Galaxy Tab S 10.5, T805 Galaxy Tab S 10.5 LTE, Black</t>
  </si>
  <si>
    <t>Шлейфы для планшетов</t>
  </si>
  <si>
    <t>Шлейф Apple iPad 10.2 2019 (A2197, A2198, A2200), iPad 10.2 2020 (A2270, A2428, A2429), iPad 10.2 2021, коннектор зарядки, Black</t>
  </si>
  <si>
    <t>Шлейф Apple iPad 10.2 2019 (A2197, A2198, A2200), iPad 10.2 2020 (A2270, A2428, A2429), iPad 10.2 2021, коннектор зарядки, White</t>
  </si>
  <si>
    <t>Шлейф Apple iPad 10.2 2019 (A2197, A2198, A2200), iPad 10.2 2020 (A2270, A2428, A2429), с микрофоном</t>
  </si>
  <si>
    <t>Шлейф Apple iPad 2 WI-FI + 3G  (A1395, A1396, A1397) с коннектором на наушники , Black</t>
  </si>
  <si>
    <t>Шлейф Apple iPad 3 (A1403, A1416, A1430), iPad 4 (A1458, A1459, A1460) с кнопкой Home, White</t>
  </si>
  <si>
    <t>Шлейф Apple iPad 3, iPad 4 (A1416, A1430, A1403, A1458, A1459, A1460) с микрофоном</t>
  </si>
  <si>
    <t>Шлейф Apple iPad Air (A1474, A1475, A1476), iPad 9.7 2017 (A1822, A1823) с кнопкой вклечения, регулировкой громкости, Original</t>
  </si>
  <si>
    <t>Шлейф Apple iPad Air 2 (A1566, A1567), коннектор зарядки, с компонентами, Black</t>
  </si>
  <si>
    <t>Шлейф Apple iPad Air 2 (A1566, A1567), коннектор зарядки, с компонентами, White</t>
  </si>
  <si>
    <t>Шлейф Apple iPad Air, iPad 5 (A1474, A1475, A1476), коннектор зарядки, Black, Original</t>
  </si>
  <si>
    <t>Шлейф Apple iPad Air, iPad 5 (A1474, A1475, A1476), коннектор зарядки, White, Original</t>
  </si>
  <si>
    <t>Шлейф Apple iPad Mini (A1432, A1454, A1455), кнопка включения, с компонентами</t>
  </si>
  <si>
    <t>Шлейф Apple iPad mini (A1432, A1454, A1455), коннектор зарядки, с компонентами, Black</t>
  </si>
  <si>
    <t>Шлейф Apple iPad mini (A1432, A1454, A1455), коннектор зарядки, с компонентами, White</t>
  </si>
  <si>
    <t>Шлейф Apple iPad Mini (A1432, A1454, A1455), коннектор наушников, с компонентами, Black</t>
  </si>
  <si>
    <t>Шлейф Apple iPad Mini (A1432, A1454, A1455), коннектор наушников, с компонентами, White</t>
  </si>
  <si>
    <t>Шлейф Apple iPad Mini 2 Retina (A1489, A1490, A1491), iPad Mini 3 Retina (A1599, A1600), коннектор зарядки, с компонентами, White</t>
  </si>
  <si>
    <t>Шлейф Apple iPad Mini 4 (A1538, A1550), кнопка включения, с микрофоном</t>
  </si>
  <si>
    <t>Шлейф Apple iPad Mini 4 (A1538, A1550), коннектор зарядки, с компонентами, Black</t>
  </si>
  <si>
    <t>Шлейф Apple iPad Mini 4 (A1538, A1550), коннектор зарядки, с компонентами, White</t>
  </si>
  <si>
    <t>Шлейф Apple iPad mini 4 (A1538, A1550), с кнопкой Home и Touch ID, Black</t>
  </si>
  <si>
    <t>Шлейф Apple iPad mini 4 (A1538, A1550), с кнопкой Home и Touch ID, Gold</t>
  </si>
  <si>
    <t>Шлейф Apple iPad mini 4 (A1538, A1550), с кнопкой Home и Touch ID, White</t>
  </si>
  <si>
    <t>Шлейф Lenovo A7600 кнопка включения, регулировки громкости</t>
  </si>
  <si>
    <t>Шлейф Lenovo A8-50F Tab 2, межплатний</t>
  </si>
  <si>
    <t>Шлейф Lenovo S8-50L, межплатний</t>
  </si>
  <si>
    <t>Нижняя плата Samsung T220 Galaxy Tab A7 Lite Wi-Fi, T225 Galaxy Tab A7 Lite LTE, с разъёмом зарядки, Original PRC</t>
  </si>
  <si>
    <t>Нижняя плата Samsung T290 Galaxy Tab A 8.0 WiFi, T295 Galaxy Tab A 8.0, с разъёмом зарядки, Original PRC</t>
  </si>
  <si>
    <t>Нижняя плата Samsung T500, T505 Galaxy Tab A7 10.4, с разъёмом зарядки, Original PRC</t>
  </si>
  <si>
    <t>Нижняя плата Samsung T510 Galaxy Tab A 10.1 Wi-Fi, T515 Galaxy Tab A 10.1 LTE, с разъёмом зарядки, Original PRC</t>
  </si>
  <si>
    <t>Нижняя плата Samsung T590 Galaxy Tab A 10.5 Wi-Fi, T595 Galaxy Tab A 10.5 LTE, с разъёмом зарядки, Original</t>
  </si>
  <si>
    <t>Нижняя плата Samsung X200 Galaxy Tab A8 Wi-Fi, X205 Galaxy Tab A8 LTE, с разъёмом зарядки, Original PRC</t>
  </si>
  <si>
    <t>Шлейф Samsung P5100 кнопка включення</t>
  </si>
  <si>
    <t>Шлейф Samsung Samsung P5100 Galaxy Tab 2, P7500 Galaxy Tab, N8000 Galaxy Note, межплатный.</t>
  </si>
  <si>
    <t>Шлейф Samsung Samsung P5100 Galaxy Tab2, коннектор зарядки, с микрофоном</t>
  </si>
  <si>
    <t>Шлейф Samsung T210 Galaxy Tab 3 7.0, T211 Galaxy Tab 3 7.0 на дисплей</t>
  </si>
  <si>
    <t>Шлейф Samsung T310 Galaxy Tab 3 8.0, (версия WiFi), коннектор зарядки</t>
  </si>
  <si>
    <t>Шлейф дисплея Samsung P3100 Galaxy Tab2, P3110 Galaxy Tab2</t>
  </si>
  <si>
    <t>Запчасти для смарт часов</t>
  </si>
  <si>
    <t>Аккумуляторы для смарт часов</t>
  </si>
  <si>
    <t>Аккумулятор Apple Watch Series 1, 38mm, Original PRC</t>
  </si>
  <si>
    <t>Аккумулятор Apple Watch Series 2, 38mm, Original PRC</t>
  </si>
  <si>
    <t>Аккумулятор Apple Watch Series 2, 42mm, A1761, Original PRC</t>
  </si>
  <si>
    <t>Аккумулятор Apple Watch Series 3, 38mm, A1847, Original PRC</t>
  </si>
  <si>
    <t>Аккумулятор Apple Watch Series 4, 40mm, Original PRC</t>
  </si>
  <si>
    <t>Аккумулятор Apple Watch Series 4, 44mm, A2059, Original PRC</t>
  </si>
  <si>
    <t>Аккумулятор Apple Watch Series 5, 44mm, A2181, Original PRC</t>
  </si>
  <si>
    <t>Дисплеи для смарт часов</t>
  </si>
  <si>
    <t>Дисплей Apple Watch Series 4, 40mm, с тачскрином, Original</t>
  </si>
  <si>
    <t>Дисплей Apple Watch Series 4, 44mm, с тачскрином, Original</t>
  </si>
  <si>
    <t>Дисплей Apple Watch Series 5, Apple Watch SE, 40mm, с тачскрином, Original</t>
  </si>
  <si>
    <t>Дисплей Apple Watch Series 5, Apple Watch SE, 44mm, с тачскрином, Original</t>
  </si>
  <si>
    <t>Дисплей Apple Watch Series 6, 40mm, с тачскрином, Original</t>
  </si>
  <si>
    <t>Дисплей Apple Watch Series 6, 44mm, с тачскрином, Original</t>
  </si>
  <si>
    <t>Дисплей Apple Watch Sport 38mm, с тачскрином</t>
  </si>
  <si>
    <t>Дисплей Apple Watch Sport Series 2, 38mm, с тачскрином</t>
  </si>
  <si>
    <t>Дисплей Apple Watch Sport Series 2, 42mm, с тачскрином</t>
  </si>
  <si>
    <t>Дисплей Apple Watch Sport Series 3 GPS, 38mm, с тачскрином</t>
  </si>
  <si>
    <t>Дисплей Apple Watch Sport Series 3 GPS, 42mm, с тачскрином</t>
  </si>
  <si>
    <t>Дисплей Apple Watch Sport Series 3 LTE, 38mm, с тачскрином</t>
  </si>
  <si>
    <t>Дисплей Apple Watch Sport Series 3 LTE, 42mm, с тачскрином</t>
  </si>
  <si>
    <t>Сенсоры для смарт часов</t>
  </si>
  <si>
    <t>Сенсор (тачскрин) Apple Watch Series 2, Series 3, 38mm, Original</t>
  </si>
  <si>
    <t>Сенсор (тачскрин) Apple Watch Series 2, Series 3, 42mm, Original</t>
  </si>
  <si>
    <t>Сенсор (тачскрин) Apple Watch Series 4, 40mm, Original</t>
  </si>
  <si>
    <t>Сенсор (тачскрин) Apple Watch Series 4, 44mm, Original</t>
  </si>
  <si>
    <t>Сенсор (тачскрин) Apple Watch Series 5, Watch SE, 40mm, Original</t>
  </si>
  <si>
    <t>Сенсор (тачскрин) Apple Watch Series 5, Watch SE, 44mm, Original</t>
  </si>
  <si>
    <t>Сенсор (тачскрин) Apple Watch Series 6, 40mm, Original PRC</t>
  </si>
  <si>
    <t>Сенсор (тачскрин) Apple Watch Series 6, 44mm, Original PRC</t>
  </si>
  <si>
    <t>Сенсор (тачскрин) Apple Watch Sport, 38mm, Original</t>
  </si>
  <si>
    <t>Сенсор (тачскрин) Apple Watch Sport, 42mm, Original</t>
  </si>
  <si>
    <t>Сенсоры для смарт часов (G+OCA PRO)</t>
  </si>
  <si>
    <t>Сенсор (тачскрин) Apple Watch Series 4, 40mm, с пленкой OCA, Original (G+OCA Pro)</t>
  </si>
  <si>
    <t>Сенсор (тачскрин) Apple Watch Series 4, 44mm, с пленкой OCA, Original (G+OCA Pro)</t>
  </si>
  <si>
    <t>Сенсор (тачскрин) Apple Watch Series 5, Watch SE, 40mm, с пленкой OCA, Original (G+OCA Pro)</t>
  </si>
  <si>
    <t>Сенсор (тачскрин) Apple Watch Series 5, Watch SE, 44mm, с пленкой OCA, Original (G+OCA Pro)</t>
  </si>
  <si>
    <t>Сенсор (тачскрин) Apple Watch Series 6, 40mm, с пленкой OCA, Original (G+OCA Pro)</t>
  </si>
  <si>
    <t>Сенсор (тачскрин) Apple Watch Series 6, 44mm, с пленкой OCA, Original (G+OCA Pro)</t>
  </si>
  <si>
    <t>Шлейфы для смарт часов</t>
  </si>
  <si>
    <t>Шлейф Apple Watch Sport Series 2, 38mm, датчика гравитации</t>
  </si>
  <si>
    <t>Шлейф Apple Watch Sport Series 2, 42mm, датчика гравитации</t>
  </si>
  <si>
    <t>Шлейф Apple Watch Sport Series 3, 38mm, датчика гравитации</t>
  </si>
  <si>
    <t>Шлейф Apple Watch Sport Series 3, 42mm, датчика гравитации</t>
  </si>
  <si>
    <t>Шлейф Apple Watch Sport Series 4, 40mm, датчика гравитации</t>
  </si>
  <si>
    <t>Шлейф Apple Watch Sport Series 4, 44mm, датчика гравитации</t>
  </si>
  <si>
    <t>Запчасти для телефонов</t>
  </si>
  <si>
    <t>Аккумуляторы для мобильных телефонов</t>
  </si>
  <si>
    <t>Аккумулятор Apple iPhone 11 Pro Max, Li-ion, 3,79 V, 3969 mAh, original IC, без логотипа</t>
  </si>
  <si>
    <t>Аккумулятор Apple iPhone 11 Pro Max, Li-ion, 3,79 V, 3969 mAh, без контроллера, Original PRC</t>
  </si>
  <si>
    <t>Аккумулятор Apple iPhone 11 Pro Max, Li-ion, 3,79 V, 4580 mAh, без контроллера, увеличенная емкость</t>
  </si>
  <si>
    <t>Аккумулятор Apple iPhone 11 Pro, Li-ion, 3,83 V, 3046 mAh, без контроллера, Original PRC</t>
  </si>
  <si>
    <t>Аккумулятор Apple iPhone 11 Pro, Li-ion, 3,83 V, 3480 mAh, без контроллера, увеличенная емкость</t>
  </si>
  <si>
    <t>Аккумулятор Apple iPhone 11 Pro, Original</t>
  </si>
  <si>
    <t>Аккумулятор Apple iPhone 11, Li-ion, 3,83 V, 3110 mAh, original IC, без логотипа</t>
  </si>
  <si>
    <t>Аккумулятор Apple iPhone 11, Li-ion, 3,83 V, 3110 mAh, без контроллера, Original PRC</t>
  </si>
  <si>
    <t>Аккумулятор Apple iPhone 11, Li-ion, 3,83 V, 3550 mAh, без контроллера, увеличенная емкость</t>
  </si>
  <si>
    <t>Аккумулятор Apple iPhone 12 Mini, Li-ion, 3,85 V, 2227 mAh, без контроллера, Original PRC</t>
  </si>
  <si>
    <t>Аккумулятор Apple iPhone 12 Pro Max, Li-ion, 3,83 V, 3687 mAh, без контроллера, Original PRC</t>
  </si>
  <si>
    <t>Аккумулятор Apple iPhone 12 Pro Max, Li-ion, 3,83 V, 4420 mAh, без контроллера, увеличенная емкость</t>
  </si>
  <si>
    <t>Аккумулятор Apple iPhone 12, iPhone 12 Pro, Li-ion, 3,83 V, 2815 mAh, без контроллера, Original PRC</t>
  </si>
  <si>
    <t>Аккумулятор Apple iPhone 12, iPhone 12 Pro, Li-ion, 3,83 V, 3320 mAh, без контроллера, увеличенная емкость</t>
  </si>
  <si>
    <t>Аккумулятор Apple iPhone 13 Mini, Li-ion, 3,85 V, 2427 mAh, без контроллера, Original PRC</t>
  </si>
  <si>
    <t>Аккумулятор Apple iPhone 13 Pro Max, Li-ion, 3,85 V, 4352 mAh, без контроллера, Original PRC</t>
  </si>
  <si>
    <t>Аккумулятор Apple iPhone 13 Pro, Li-ion, 3,84 V, 3095 mAh, без контроллера, Original PRC</t>
  </si>
  <si>
    <t>Аккумулятор Apple iPhone 13, Li-ion, 3,84 V, 3227 mAh, без контроллера, Original PRC</t>
  </si>
  <si>
    <t>Аккумулятор Apple iPhone 14 Plus, Li-ion, 3,85 V, 4325 mAh, без контроллера, Original PRC</t>
  </si>
  <si>
    <t>Аккумулятор Apple iPhone 14 Pro Max, Li-ion, 3,85 V, 4323 mAh, без контроллера, Original PRC</t>
  </si>
  <si>
    <t>Аккумулятор Apple iPhone 14 Pro, Li-ion, 3,87 V, 3200 mAh, без контроллера, Original PRC</t>
  </si>
  <si>
    <t>Аккумулятор Apple iPhone 14, Li-ion, 3,83 V, 3279 mAh, без контроллера, Original PRC</t>
  </si>
  <si>
    <t>Аккумулятор Apple iPhone 5, Original</t>
  </si>
  <si>
    <t>Аккумулятор Apple iPhone 5S, Li-Polymer, 3.8 V, 1560 mAh, original IC, без логотипа</t>
  </si>
  <si>
    <t>Аккумулятор Apple iPhone 5SE, Li-ion, 3.82 V, 1624 mAh, original IC, без логотипа</t>
  </si>
  <si>
    <t>Аккумулятор Apple iPhone 6 Plus, 2915 mAh, Sunshine</t>
  </si>
  <si>
    <t>Аккумулятор Apple iPhone 6 Plus, Original</t>
  </si>
  <si>
    <t>Аккумулятор Apple iPhone 6, 1810 mAh, Sunshine</t>
  </si>
  <si>
    <t>Аккумулятор Apple iPhone 6, 3.82 V, 1810 mAh, original IC, без логотипа</t>
  </si>
  <si>
    <t>Аккумулятор Apple iPhone 6S Plus, 2750 mAh, Sunshine</t>
  </si>
  <si>
    <t>Аккумулятор Apple iPhone 6S Plus, Li-ion, 3.82 V, 2750 mAh, original IC, без логотипа</t>
  </si>
  <si>
    <t>Аккумулятор Apple iPhone 6S, 1715 mAh, Sunshine</t>
  </si>
  <si>
    <t>Аккумулятор Apple iPhone 6S, 3.82 V, 1715 mAh, original IC, без логотипа</t>
  </si>
  <si>
    <t>Аккумулятор Apple iPhone 6S, High Quality</t>
  </si>
  <si>
    <t>Аккумулятор Apple iPhone 7 Plus, 2900 mAh, Sunshine</t>
  </si>
  <si>
    <t>Аккумулятор Apple iPhone 7 Plus, 3.82 V, 2900 mAh, original IC, без логотипа</t>
  </si>
  <si>
    <t>Аккумулятор Apple iPhone 7, 3.80 V, 1960 mAh, original IC, без логотипа</t>
  </si>
  <si>
    <t>Аккумулятор Apple iPhone 8 Plus, 2675 mAh, Sunshine</t>
  </si>
  <si>
    <t>Аккумулятор Apple iPhone 8 Plus, 3.82 V, 2691 mAh, original IC, без логотипа</t>
  </si>
  <si>
    <t>Аккумулятор Apple iPhone 8, 1821 mAh, Sunshine</t>
  </si>
  <si>
    <t>Аккумулятор Apple iPhone 8, Original</t>
  </si>
  <si>
    <t>Аккумулятор Apple iPhone SE 2020, Li-ion, 3.82 V, 1821 mAh, original IC, без логотипа</t>
  </si>
  <si>
    <t>Аккумулятор Apple iPhone SE 3 2022, Li-ion, 3.88 V, 2018 mAh, original IC, без логотипа</t>
  </si>
  <si>
    <t>Аккумулятор Apple iPhone X, 2716  mAh, Sunshine</t>
  </si>
  <si>
    <t>Аккумулятор Apple iPhone X, 2716 mAh, Original PRC</t>
  </si>
  <si>
    <t>Аккумулятор Apple iPhone X, 3300 mAh, увеличенная емкость</t>
  </si>
  <si>
    <t>Аккумулятор Apple iPhone XR, Li-ion, 3.79 V, 2942 mAh, original IC, без логотипа</t>
  </si>
  <si>
    <t>Аккумулятор Apple iPhone XS Max, Li-ion, 3,8 V, 3174 mAh, без контроллера, Original PRC</t>
  </si>
  <si>
    <t>Аккумулятор Apple iPhone XS Max, Li-ion, 3.8 V, 3174 mAh, original IC, без логотипа</t>
  </si>
  <si>
    <t>Аккумулятор Apple iPhone XS Max, Sunshine</t>
  </si>
  <si>
    <t>Аккумулятор Apple iPhone XS, Li-ion, 3,81 V, 2658 mAh, без контроллера, Original PRC</t>
  </si>
  <si>
    <t>Аккумулятор Apple iPhone XS, Li-ion, 3.81 V, 2658 mAh, original IC, без логотипа</t>
  </si>
  <si>
    <t>Аккумулятор Apple iPhone XS, Sunshine</t>
  </si>
  <si>
    <t>Скотч фиксации аккумулятора Apple iPhone 6 Plus, 6S Plus</t>
  </si>
  <si>
    <t>Скотч фиксации аккумулятора Apple iPhone 6, 6S</t>
  </si>
  <si>
    <t>Blackview</t>
  </si>
  <si>
    <t>Аккумулятор Blackview A100, Li426587HTT, (4680 mAh), Original</t>
  </si>
  <si>
    <t>Аккумулятор Blackview A55, Li446586PHTT, (4080 mAh), Original</t>
  </si>
  <si>
    <t>Аккумулятор Blackview A60, 405988P, (4080 mAh), Original</t>
  </si>
  <si>
    <t>Аккумулятор Blackview A90, Li426483PUJLY, (4280 mAh), Original</t>
  </si>
  <si>
    <t>Аккумулятор Blackview BV4900, Li616077HTT, (5580 mAh), Original</t>
  </si>
  <si>
    <t>Аккумулятор Blackview BV5900, (5580 mAh), Original</t>
  </si>
  <si>
    <t>Аккумулятор Blackview BV6800, 726280P, (6850 mAh), Original</t>
  </si>
  <si>
    <t>Doogee</t>
  </si>
  <si>
    <t>Аккумулятор Doogee BAT2019114180, (4180 mah), Original</t>
  </si>
  <si>
    <t>Аккумулятор Doogee N20, BAT1919084350, (4350 mAh), Original</t>
  </si>
  <si>
    <t>Аккумулятор Doogee S35 Pro, BAT20N1154350, (4350 mAh), Original</t>
  </si>
  <si>
    <t>Аккумулятор Doogee S58 Pro, BAT20M125180, (5180 mAh), Original</t>
  </si>
  <si>
    <t>Аккумулятор Doogee S59 Pro, BAT20M1710050, (10050 mAh), Original</t>
  </si>
  <si>
    <t>Аккумулятор Doogee S68 Pro, BAT19M116300, (6300 mAh), Original</t>
  </si>
  <si>
    <t>Аккумулятор Doogee S86, S86 Pro, BAT20ZN1308500, (8500 mAh), Original</t>
  </si>
  <si>
    <t>Аккумулятор Doogee S88 Pro, S88 Plus, BAT20M1310000, (10000 mAh), Original</t>
  </si>
  <si>
    <t>Аккумулятор Doogee S89, S89 Pro, BAT22M2012000, (12000 mAh), Original</t>
  </si>
  <si>
    <t>Аккумулятор Doogee S95 Pro, BAT19M105150, (5150 mAh), Original</t>
  </si>
  <si>
    <t>Аккумулятор Doogee S96 Pro, BAT20ZN1296350, (6350 mAh), Original</t>
  </si>
  <si>
    <t>Аккумулятор Doogee S97 Pro, BAT21ZN1318500, (8500 mAh), Original</t>
  </si>
  <si>
    <t>Аккумулятор Doogee S98, S98 Pro, BAT21ZN1356000, (6000 mAh), Original</t>
  </si>
  <si>
    <t>Аккумулятор Doogee S99, (6000 mAh), Original</t>
  </si>
  <si>
    <t>Аккумулятор Doogee V10 5G, V11 5G, BAT21M188500, (8500 mAh), Original</t>
  </si>
  <si>
    <t>Аккумулятор Doogee V20, BAT21ZN1336000, (6000 mAh), Original</t>
  </si>
  <si>
    <t>Аккумулятор Doogee X95, BAT1919104350, (4350 mAh), Original</t>
  </si>
  <si>
    <t>Аккумулятор Doogee X97 Pro, X98 Pro, BAT2219A4200, (4200 mAh), Original</t>
  </si>
  <si>
    <t>Аккумулятор Google Pixel 2 XL, BL-T35, (3520 mAh), Original PRC</t>
  </si>
  <si>
    <t>Аккумулятор Google Pixel 3 XL, G013C-B, (3450 mAh), Original PRC</t>
  </si>
  <si>
    <t>Аккумулятор Google Pixel 3, G013A-B, (2915 mAh)</t>
  </si>
  <si>
    <t>Аккумулятор Google Pixel 3A XL, G020A-B, (3700 mAh), Original PRC</t>
  </si>
  <si>
    <t>Аккумулятор Google Pixel 3A, G020E-B, (3000 mAh)</t>
  </si>
  <si>
    <t>Аккумулятор Google Pixel 4 XL, G020J-B, (3700 mAh), Original PRC</t>
  </si>
  <si>
    <t>Аккумулятор Google Pixel 4, G020I-B, (2800 mAh), Original PRC</t>
  </si>
  <si>
    <t>Аккумулятор Google Pixel 5, GTB1F, (4080 mAh), Original PRC</t>
  </si>
  <si>
    <t>Аккумулятор Google Pixel 5A, G27FU, (4680 mAh), Original PRC</t>
  </si>
  <si>
    <t>Аккумулятор Google Pixel 6 Pro, G63QN, (5003 mAh), Original PRC</t>
  </si>
  <si>
    <t>Аккумулятор Google Pixel 6, GMSB3, (4614 mAh), Original PRC</t>
  </si>
  <si>
    <t>Аккумулятор Google Pixel, B2PW4100, (2770 mAh)</t>
  </si>
  <si>
    <t>Аккумулятор Honor 20, Honor 8X,  HB386590ECW, (3200 mAh), High Quality</t>
  </si>
  <si>
    <t>Аккумулятор Honor 20, Honor 8X, HB386590ECW, (3750 mAh), Original PRC</t>
  </si>
  <si>
    <t>Аккумулятор Huawei Ascend P7, HB3543B4EBW, (2530 mAh)</t>
  </si>
  <si>
    <t>Аккумулятор Huawei Honor 6A, Honor 8A, Nova, Nova Lite 2017, P9 Lite mini, Y5 2017, Y6 Pro 2017, Y6 2019, HB405979ECW, (2700 mAh), High Quality</t>
  </si>
  <si>
    <t>Аккумулятор Huawei Honor 6A, Honor 8A, Nova, Nova Lite 2017, P9 Lite mini, Y5 2017, Y6 Pro 2017, Y6 2019, HB405979ECW, (2920 mAh), Original PRC</t>
  </si>
  <si>
    <t>Аккумулятор Huawei Honor 7X, Mate 10 Lite, P Smart Plus, P30 Lite, HB356687ECW, (3340mAh), High Quality</t>
  </si>
  <si>
    <t>Аккумулятор Huawei Honor 7X, Mate 10 Lite, P Smart Plus, P30 Lite, HB356687ECW, (3340mAh), Original PRC</t>
  </si>
  <si>
    <t>Аккумулятор Huawei P Smart 2019, Honor 10 Lite, HB396286ECW, (2700 mAh), High Quality</t>
  </si>
  <si>
    <t>Аккумулятор Huawei P Smart 2019, Honor 10 Lite, HB396286ECW, (3400mAh), Original PRC</t>
  </si>
  <si>
    <t>Аккумулятор Huawei P Smart 2021, Huawei Y7a; Honor 10X Lite, HB526488EEW, (5000 mAh), Original PRC</t>
  </si>
  <si>
    <t>Аккумулятор Huawei P Smart Z, Honor 9X, Y9 Prime 2019, HB446486ECW, (3900mAh), Original PRC</t>
  </si>
  <si>
    <t>Аккумулятор Huawei P10 Lite, P20 Lite, P Smart, Honor 9 Lite, Honor 7A Pro, Y6 2018, P8 Lite, HB366481ECW, (2900mAh), High Quality</t>
  </si>
  <si>
    <t>Аккумулятор Huawei P10 Lite, P20 Lite, P Smart, Honor 9 Lite, Honor 7A Pro, Y6 2018, Y6 Prime, P8 Lite, HB366481ECW, (2900mAh), Original PRC</t>
  </si>
  <si>
    <t>Аккумулятор Huawei P10, HB386280ECW, (3200 mAh), High Quality</t>
  </si>
  <si>
    <t>Аккумулятор Huawei P30 Pro, HB486486ECW, (4200mAh), Original PRC</t>
  </si>
  <si>
    <t>Аккумулятор Huawei P30, HB436380ECW, (3650 mAh), Original PRC</t>
  </si>
  <si>
    <t>Аккумулятор Huawei P40 Lite, Mate 30, HB486586ECW, (4200mAh), Original PRC</t>
  </si>
  <si>
    <t>Аккумулятор Huawei P40 Pro, HB536378EEW, (4200mAh), Original PRC</t>
  </si>
  <si>
    <t>Аккумулятор Huawei P40, HB525777EEW, (3800 mAh), Original PRC</t>
  </si>
  <si>
    <t>Аккумулятор Huawei Y6P 2020, Honor 9A, HB526489EEW, (5000mAh), Original PRC</t>
  </si>
  <si>
    <t>Аккумулятор Huawei Y7 2017, Y7 Prime 2017,  HB406689ECW, (4000 mAh), High Quality</t>
  </si>
  <si>
    <t>Аккумулятор Huawei Y7 2017, Y7 Prime 2017,  HB406689ECW, (4000 mAh), Original PRC</t>
  </si>
  <si>
    <t>Аккумулятор Lenovo A516, A706, A760, A630e, A820e (BL209)</t>
  </si>
  <si>
    <t>Аккумулятор Lenovo S850, S850t, BL220, (2150mAh)</t>
  </si>
  <si>
    <t>Аккумулятор LG Optimus G2 F320, F320L, F320S, F320K, F300, F260, BL-54SG</t>
  </si>
  <si>
    <t>Аккумулятор Meizu C9, C9 Pro, BA818, 3100 mAh, без логотипа, Original PRC</t>
  </si>
  <si>
    <t>Аккумулятор Meizu M3 M688Q, M3 Mini, BT68</t>
  </si>
  <si>
    <t>Аккумулятор Meizu M5 M681h, BA611</t>
  </si>
  <si>
    <t>Аккумулятор Meizu M5c M710, BT710, (3060 mAh)</t>
  </si>
  <si>
    <t>Аккумулятор Meizu M8 Note, Note 8, BA822, 3500 mAh, без логотипа, Original PRC</t>
  </si>
  <si>
    <t>Аккумулятор Meizu M9 Note, Note 9, BA923, 3900 mAh, без логотипа, Original PRC</t>
  </si>
  <si>
    <t>Аккумулятор Motorola G10 (XT2127), G10 Power, MH60, 6000 mAh, Original PRC</t>
  </si>
  <si>
    <t>Аккумулятор Motorola G22 (XT2231), E32s, NH50, 5000 mAh, Original PRC</t>
  </si>
  <si>
    <t>Аккумулятор Motorola G60 (XT2135-2, XT2135), G40 Fusion, G9 Power (XT2091), MC50, 6000 mAh, Original PRC</t>
  </si>
  <si>
    <t>Аккумулятор Motorola G7 Play (XT1952), JE40, 3000 mAh, Original PRC</t>
  </si>
  <si>
    <t>Аккумулятор Motorola G7 Power (XT1955), G9 Play (XT2083), JK50, 5000 mAh, Original PRC</t>
  </si>
  <si>
    <t>Аккумулятор Motorola G8 (XT2045), G8 Play (XT2015), One Macro, G Fast, KG40, 4000 mAh, Original PRC</t>
  </si>
  <si>
    <t>Аккумулятор Motorola G8 Plus (XT2019), KD40, 4000 mAh, Original PRC</t>
  </si>
  <si>
    <t>Аккумулятор Motorola G8 Power (XT2041-1, XT2041-3), G Power, KZ50, 5000 mAh, Original PRC</t>
  </si>
  <si>
    <t>Аккумулятор Motorola One Action (XT2013-2), One Vision (XT1970), KR40, 3500 mAh, Original PRC</t>
  </si>
  <si>
    <t>Аккумулятор Motorola One Zoom (XT2010), One Pro, KP50, 4000 mAh, Original PRC</t>
  </si>
  <si>
    <t>Аккумулятор Motorola XT1021, XT1022, XT1025, Moto E, EL40</t>
  </si>
  <si>
    <t>Аккумулятор Motorola XT1032 Moto G, ED30</t>
  </si>
  <si>
    <t>Аккумулятор Motorola XT1080 , EU20</t>
  </si>
  <si>
    <t>Аккумулятор Motorola XT1505 Moto E2, XT1511 Moto E2, XT1526 Moto E2, XT1527 Moto E2, XT1528 Moto E2, FT40</t>
  </si>
  <si>
    <t>Аккумулятор Motorola XT1540, XT1541, XT1544, XT1548, XT1550, FC40</t>
  </si>
  <si>
    <t>Аккумулятор Motorola XT1562 Moto X Play, XT1563 X Play, FL40, (3425mAh)</t>
  </si>
  <si>
    <t>Аккумулятор Motorola XT1572, FX30, XT1575, XT1570, Moto X Style, Moto X Pure Edition, FX30</t>
  </si>
  <si>
    <t>Аккумулятор Motorola XT1580 Moto X Force, XT1585 Droid Turbo 2, FB55, (3550 mAh), High Quality</t>
  </si>
  <si>
    <t>Аккумулятор Motorola XT1580 Moto X Force, XT1585 Droid Turbo 2, FB55, (3550 mAh), Original</t>
  </si>
  <si>
    <t>Аккумулятор Motorola XT1600 Moto G4 Play, XT1601 Moto G4 Play, XT1603 Moto G4 Play, XT1607 Moto G4 Play, XT1609 Moto G4 Play, GK40 (2800mAh)</t>
  </si>
  <si>
    <t>Аккумулятор Motorola XT1640 Moto G4 Plus, XT1641 Moto G4 Plus, XT1642 Moto G4 Plus, XT1643 Moto G4 Plus, GA40, (3000mAh), High Quality</t>
  </si>
  <si>
    <t>Аккумулятор Motorola XT1640 Moto G4 Plus, XT1641 Moto G4 Plus, XT1642 Moto G4 Plus, XT1643 Moto G4 Plus, GA40, (3000mAh), Original PRC</t>
  </si>
  <si>
    <t>Аккумулятор Motorola XT1650 Moto Z, GV30, (2380 mAh), High Quality</t>
  </si>
  <si>
    <t>Аккумулятор Motorola XT1650 Moto Z, GV30, (2380 mAh), Original PRC</t>
  </si>
  <si>
    <t>Аккумулятор Motorola XT1685 Moto G5 Plus, HG40, (3000 mAh)</t>
  </si>
  <si>
    <t>Аккумулятор Motorola XT1789 Moto Z2 Force, HD40, (2730 mAh), Original PRC</t>
  </si>
  <si>
    <t>Аккумулятор Motorola XT1926 Moto G6 Plus, JT40, 3200 mAh, Original PRC</t>
  </si>
  <si>
    <t>Аккумулятор Motorola XT1929 Moto Z3 Play, JS40, 2800 mAh, Original PRC</t>
  </si>
  <si>
    <t>Аккумулятор Motorola XT1962, XT1965, Moto G7, JG30, (3000 mAh), Original PRC</t>
  </si>
  <si>
    <t>Аккумулятор Nokia 2.3 (TA-1211, TA-1214, TA-1206, TA-1209), 3.2 Dual Sim (TA-1156, TA-1164), WT240, (4000 mAh), Original PRC</t>
  </si>
  <si>
    <t>Аккумулятор Nokia G10 (TA-1334, TA-1351), G20 (TA-1336, TA-1334), WT340, (5000 mAh), Original PRC</t>
  </si>
  <si>
    <t>Аккумулятор OnePlus 5, OnePlus 5T, BLP637, (3210 mAh), Original PRC</t>
  </si>
  <si>
    <t>Аккумулятор OnePlus 6, BLP657, (3210 mAh), Original PRC</t>
  </si>
  <si>
    <t>Аккумулятор OnePlus 6T, OnePlus 7, BLP685, (3700 mAh), Original PRC</t>
  </si>
  <si>
    <t>Аккумулятор OnePlus 7T, BLP743, (3725 mAh), Original PRC</t>
  </si>
  <si>
    <t>Аккумулятор OnePlus 8 (IN2013, IN2017, IN2010, IN2019), BLP761, (4230 mAh), Original PRC</t>
  </si>
  <si>
    <t>Аккумулятор Oppo A17, A17k, BLP915, (5000 mAh), Original PRC</t>
  </si>
  <si>
    <t>Аккумулятор Oppo A36, BLP879, (5000 mAh), Original PRC</t>
  </si>
  <si>
    <t>Аккумулятор Oppo A5 2020, A9 2020, BLP727, (5000 mAh), Original PRC</t>
  </si>
  <si>
    <t>Аккумулятор Oppo A52, A72, A92, BLP781, (5000 mAh), Original PRC</t>
  </si>
  <si>
    <t>Аккумулятор Oppo A74 (4G), BLP851, (5000 mAh), Original PRC</t>
  </si>
  <si>
    <t>Аккумулятор Oppo A76, A96, BLP885, (5000 mAh), Original PRC</t>
  </si>
  <si>
    <t>Аккумулятор Oppo Realme 5, Realme 5S, Realme C3, BLP729, (5000 mAh), Original PRC</t>
  </si>
  <si>
    <t>Аккумулятор Oppo Realme 6, Realme 6 Pro, Realme 6s, BLP757, (4300 mAh), Original PRC</t>
  </si>
  <si>
    <t>Аккумулятор Oppo Realme 7i, Realme C11, Realme C17, BLP803, (5000 mAh), Original PRC</t>
  </si>
  <si>
    <t>Аккумулятор Oppo Realme 8 Pro, BLP837, (4500 mAh), Original PRC</t>
  </si>
  <si>
    <t>Аккумулятор Oppo Realme 8, BLP841, (5000 mAh), Original PRC</t>
  </si>
  <si>
    <t>Аккумулятор Oppo Realme 8i, Realme C30, Realme C30, Realme V20, Realme V30, BLP877, (5000 mAh), Original PRC</t>
  </si>
  <si>
    <t>Аккумулятор Oppo Realme C12, Realme C15, Realme C25, BLP793, (6000 mAh), Original PRC</t>
  </si>
  <si>
    <t>Аккумулятор Samsung A013 Galaxy A01 Core, M013 Galaxy M01 Core, EB-BA013ABY, (3000mAh), Original PRC</t>
  </si>
  <si>
    <t>Аккумулятор Samsung A015 Galaxy A01, QL1695, (3000mAh), Original PRC</t>
  </si>
  <si>
    <t>Аккумулятор Samsung A022 Galaxy A02, A125F Galaxy A12, A217 Galaxy A21s, M127 Galaxy M12, EB-BA217ABY, (5000 mAh), Original PRC</t>
  </si>
  <si>
    <t>Аккумулятор Samsung A025 Galaxy A02s, A037 Galaxy A03s, HQ-50S, (5000 mAh), Original PRC</t>
  </si>
  <si>
    <t>Аккумулятор Samsung A105 Galaxy A10 2019, A750 Galaxy A7 2018, M105 Galaxy M10, EB-BA750ABU, (3300mAh), High Quality</t>
  </si>
  <si>
    <t>Аккумулятор Samsung A105 Galaxy A10 2019, A750 Galaxy A7 2018, M105 Galaxy M10, EB-BA750ABU, (3300mAh), Original PRC</t>
  </si>
  <si>
    <t>Аккумулятор Samsung A107 Galaxy A10s, A207 Galaxy A20s, SCUD-WT-N6, (3100 mAh), High Quality</t>
  </si>
  <si>
    <t>Аккумулятор Samsung A107 Galaxy A10s, A207 Galaxy A20s, SCUD-WT-N6, (4000 mAh), Original PRC</t>
  </si>
  <si>
    <t>Аккумулятор Samsung A115 Galaxy A11, HQ-70N, (4000mAh), Original PRC</t>
  </si>
  <si>
    <t>Аккумулятор Samsung A202 Galaxy A20e, EB-BA202ABU, (3000mAh)</t>
  </si>
  <si>
    <t>Аккумулятор Samsung A205 A20, A305 A30, A307 A30S, A505 Galaxy A50, EB-BA505ABU, (4000mAh), High Quality</t>
  </si>
  <si>
    <t>Аккумулятор Samsung A205 A20, A305 A30, A307 A30S, A505 Galaxy A50, EB-BA505ABU, (4000mAh), Original PRC</t>
  </si>
  <si>
    <t>Аккумулятор Samsung A226 Galaxy A22 5G, SCUD-WT-W1, (5000mAh), Original PRC</t>
  </si>
  <si>
    <t>Аккумулятор Samsung A235 Galaxy A23, A736 Galaxy A73 5G, M236B Galaxy M23, M336B Galaxy M33, M526 Galaxy M52 5G, EB-BM526ABY, (5000mAh), Original PRC</t>
  </si>
  <si>
    <t>Аккумулятор Samsung A315 Galaxy A31, EB-BA315ABY, (5000 mAh), Original PRC</t>
  </si>
  <si>
    <t>Аккумулятор Samsung A325 Galaxy A32 5G, A426 Galaxy A42 5G, A725 Galaxy A72, M325 Galaxy M32, EB-BA426ABY, (5000mAh), Original PRC</t>
  </si>
  <si>
    <t>Аккумулятор Samsung A336 Galaxy A33, A536 Galaxy A53 EB-BA336ABY, (5000mAh), Original PRC</t>
  </si>
  <si>
    <t>Аккумулятор Samsung A500 Galaxy A5, BA500ABE, (2300mAh), High Quality</t>
  </si>
  <si>
    <t>Аккумулятор Samsung A500 Galaxy A5, BA500ABE, (2300mAh), Original PRC</t>
  </si>
  <si>
    <t>Аккумулятор Samsung A515 Galaxy A51, EB-BA515ABY, (4000 mAh), Original PRC</t>
  </si>
  <si>
    <t>Аккумулятор Samsung A525 Galaxy A52, A526 Galaxy A52 5G, G780 Galaxy S20 FE, EB-BG781ABY, (4500mAh), Original PRC</t>
  </si>
  <si>
    <t>Аккумулятор Samsung A605 Galaxy A6 Plus, J810 Galaxy J8, EB-BJ805ABE, (3500 mAh), Original PRC</t>
  </si>
  <si>
    <t>Аккумулятор Samsung A606 Galaxy A60, EB-BA606ABU, (3500mAh)</t>
  </si>
  <si>
    <t>Аккумулятор Samsung A700 Galaxy A7, EB-BA700ABE (2600mAh)</t>
  </si>
  <si>
    <t>Аккумулятор Samsung A715 Galaxy A71, EB-BA715ABY, (4500 mAh), Original PRC</t>
  </si>
  <si>
    <t>Аккумулятор Samsung A800 Galaxy A8, EB-BA800ABE, (3050 mAh)</t>
  </si>
  <si>
    <t>Аккумулятор Samsung F900 Galaxy Z Fold, EB-BF900ABU, (2190 mAh), Original PRC</t>
  </si>
  <si>
    <t>Аккумулятор Samsung F900 Galaxy Z Fold, EB-BF901ABA, (2085 mAh), Original PRC</t>
  </si>
  <si>
    <t>Аккумулятор Samsung F916 Galaxy Z Fold 2, EB-BF916ABY, (2155 mAh), Original PRC</t>
  </si>
  <si>
    <t>Аккумулятор Samsung F916 Galaxy Z Fold 2, EB-BF917ABY, (2345 mAh), Original PRC</t>
  </si>
  <si>
    <t>Аккумулятор Samsung F926 Galaxy Z Fold 3, EB-BF926ABY, (2120 mAh), Original PRC</t>
  </si>
  <si>
    <t>Аккумулятор Samsung F926 Galaxy Z Fold 3, EB-BF927ABY, (2280 mAh), Original PRC</t>
  </si>
  <si>
    <t>Аккумулятор Samsung G570 Galaxy J5 Prime, EB-BG570ABE, (2400 mAh)</t>
  </si>
  <si>
    <t>Аккумулятор Samsung G610 Galaxy J7 Prime, J415 Galaxy J4 Plus 2018, EB-BG610ABE, (3300 mAh), High Quality</t>
  </si>
  <si>
    <t>Аккумулятор Samsung G928 Galaxy S6 Edge Plus, EB-BG928ABE, 3000 mAh</t>
  </si>
  <si>
    <t>Аккумулятор Samsung G935 Galaxy S7 Edge, EB-BG935ABE, (3600 mAh), Original PRC</t>
  </si>
  <si>
    <t>Аккумулятор Samsung G950 Galaxy S8, EB-BG950ABE, (3000 mAh), Original PRC</t>
  </si>
  <si>
    <t>Аккумулятор Samsung G955 Galaxy S8 Plus, EB-BG955ABE, (3500 mAh), Original PRC</t>
  </si>
  <si>
    <t>Аккумулятор Samsung G960 Galaxy S9, EB-BG960ABE, (3000 mAh), Original PRC</t>
  </si>
  <si>
    <t>Аккумулятор Samsung G965 Galaxy S9 Plus, EB-BG965ABE, (3500 mAh), Original PRC</t>
  </si>
  <si>
    <t>Аккумулятор Samsung G973 Galaxy S10, EB-BG973ABU, (3400 mAh), Original PRC</t>
  </si>
  <si>
    <t>Аккумулятор Samsung G975 Galaxy S10 Plus, EB-BG975ABU, (4100 mAh), Original PRC</t>
  </si>
  <si>
    <t>Аккумулятор Samsung G980 Galaxy S20, EB-BG980ABY, (4000 mAh), Original PRC</t>
  </si>
  <si>
    <t>Аккумулятор Samsung G985 Galaxy S20 Plus, EB-BG985ABY, (4500 mAh), Original PRC</t>
  </si>
  <si>
    <t>Аккумулятор Samsung G988 Galaxy S20 Ultra, EB-BG988ABY, (5000 mAh), Original PRC</t>
  </si>
  <si>
    <t>Аккумулятор Samsung G991 Galaxy S21, EB-BG991ABY, (4000 mAh), Original PRC</t>
  </si>
  <si>
    <t>Аккумулятор Samsung G996 Galaxy S21 Plus, EB-BG996ABY, (4800 mAh), Original PRC</t>
  </si>
  <si>
    <t>Аккумулятор Samsung G998 Galaxy S21 Ultra, EB-BG998ABY, (5000 mAh), Original PRC</t>
  </si>
  <si>
    <t>Аккумулятор Samsung J330 Galaxy J3 2017, EB-BJ330ABE, (2400 mAh), Original PRC</t>
  </si>
  <si>
    <t>Аккумулятор Samsung J400 Galaxy J4, J700 Galaxy J7, EB-BJ700BBC, (3000 mAh), High Quality</t>
  </si>
  <si>
    <t>Аккумулятор Samsung J530 Galaxy J5 2017, EB-BJ530ABE, (3000 mAh), High Quality</t>
  </si>
  <si>
    <t>Аккумулятор Samsung J710 Galaxy J7 2016, EB-BJ710CBC, (3300 mAh), High Quality</t>
  </si>
  <si>
    <t>Аккумулятор Samsung J730 Galaxy J7 2017, EB-BJ730ABE, (3600 mAh), Original PRC</t>
  </si>
  <si>
    <t>Аккумулятор Samsung M205 Galaxy M20, M305 Galaxy M30, EB-BG580ABU, (5000 mAh)</t>
  </si>
  <si>
    <t>Аккумулятор Samsung N960 Galaxy Note 9, EB-BN965ABU, (4000 mAh), Original PRC</t>
  </si>
  <si>
    <t>Аккумулятор Samsung N975 Galaxy Note 10 Plus, EB-BN972ABUL, (4300 mAh), Original PRC</t>
  </si>
  <si>
    <t>Аккумулятор Samsung S901 Galaxy S22, EB-BS901ABY, (3700mAh), Original PRC</t>
  </si>
  <si>
    <t>Аккумулятор Samsung S906 Galaxy S22 Plus, EB-BS906ABY, (4500mAh), Original PRC</t>
  </si>
  <si>
    <t>Аккумулятор Samsung S908 Galaxy S22 Ultra, EB-BS908ABY, (5000mAh), Original PRC</t>
  </si>
  <si>
    <t>Аккумулятор Sony Xperia SP C5302 M35h</t>
  </si>
  <si>
    <t>Аккумулятор Sony Xperia Z C6602 L36h</t>
  </si>
  <si>
    <t>Аккумулятор Sony Xperia Z1 C6902 L39h</t>
  </si>
  <si>
    <t>Аккумулятор Tecno Pop 4 Pro (BC3), Pop 4 (BC2), Spark 6 Go (KE5), Spark 5 Pro (KD7), Camon 15 (CD7), BL-49FT, (5000 mAh), Original PRC</t>
  </si>
  <si>
    <t>Аккумулятор Tecno Pova 2 (LE7n), BL-68AT, (7000 mAh), Original PRC</t>
  </si>
  <si>
    <t>Аккумулятор Tecno Spark 10 Pro (Ki7), BL-49ST, (5000 mAh), Original PRC</t>
  </si>
  <si>
    <t>Аккумулятор Tecno Spark 4 (KC2/KC8), Camon 12 (CC7), BL-39LT, (4000 mAh), Original PRC</t>
  </si>
  <si>
    <t>Аккумулятор Tecno Spark 6, Camon 16, Camon 16 SE, Camon 16 Pro, BL-49HT, (5000 mAh), Original PRC</t>
  </si>
  <si>
    <t>Аккумулятор Tecno Spark 7, BL-58CT, (6000 mAh), Original PRC</t>
  </si>
  <si>
    <t>Аккумулятор Vivo V20 SE, B-06, (4100 mAh), Original PRC</t>
  </si>
  <si>
    <t>Аккумулятор Vivo Y01, Y15S, B-S7, (5000 mAh), Original PRC</t>
  </si>
  <si>
    <t>Аккумулятор Vivo Y02, Y02s, Y16, Y35 5G, B-W1, (5000 mAh), Original PRC</t>
  </si>
  <si>
    <t>Аккумулятор Vivo Y12, Y15, Y17, B-G7, (5000 mAh), Original PRC</t>
  </si>
  <si>
    <t>Аккумулятор Vivo Y12s, Y20, Y20s, B-05, (5000 mAh), Original PRC</t>
  </si>
  <si>
    <t>Аккумулятор Vivo Y21, Y21S, Y33s, B-S1, (5000 mAh), Original PRC</t>
  </si>
  <si>
    <t>Аккумулятор Xiaomi 11T Pro, BM58, (5000 mAh), Original PRC</t>
  </si>
  <si>
    <t>Аккумулятор Xiaomi 11T, BM59, (5000 mAh), Original PRC</t>
  </si>
  <si>
    <t>Аккумулятор Xiaomi 12 Pro, BP45, (4600 mAh), Original PRC</t>
  </si>
  <si>
    <t>Аккумулятор Xiaomi 12, 12X, BP46, (4500 mAh), Original PRC</t>
  </si>
  <si>
    <t>Аккумулятор Xiaomi 12T, 12T Pro; Poco X5 5G; Redmi Note 12, BN5J, (5000 mAh), с поддержкой Fast Charger, Original PRC</t>
  </si>
  <si>
    <t>Аккумулятор Xiaomi Black Shark 1, BS01FA, (4000 mAh), Original PRC</t>
  </si>
  <si>
    <t>Аккумулятор Xiaomi Black Shark 2, BS03FA, (4000 mAh), Original PRC</t>
  </si>
  <si>
    <t>Аккумулятор Xiaomi Black Shark 3 Pro, BS05FA, (2500 mAh), Original PRC</t>
  </si>
  <si>
    <t>Аккумулятор Xiaomi Black Shark 3, BS06FA, (2360 mAh), Original PRC</t>
  </si>
  <si>
    <t>Аккумулятор Xiaomi Mi 10 Lite, BM4R, (4100 mAh), Original PRC</t>
  </si>
  <si>
    <t>Аккумулятор Xiaomi Mi 10, BM4N, (4780 mAh), Original PRC</t>
  </si>
  <si>
    <t>Аккумулятор Xiaomi Mi 10T, Mi 10T Pro, BM53, (5000 mAh), Original PRC</t>
  </si>
  <si>
    <t>Аккумулятор Xiaomi Mi 11, BM4X, (4600 mAh), Original PRC</t>
  </si>
  <si>
    <t>Аккумулятор Xiaomi Mi 11i, Poco F3, Redmi K40, BM4Y, (4520 mAh), Original PRC</t>
  </si>
  <si>
    <t>Аккумулятор Xiaomi Mi 8 Lite, BM3J, (3350mAh), High Quality</t>
  </si>
  <si>
    <t>Аккумулятор Xiaomi Mi 8 SE, BM3D, (3120 mAh)</t>
  </si>
  <si>
    <t>Аккумулятор Xiaomi Mi 8, BM3E, (3300 mAh), High Quality</t>
  </si>
  <si>
    <t>Аккумулятор Xiaomi Mi 8, BM3E, (3300 mAh), Original PRC</t>
  </si>
  <si>
    <t>Аккумулятор Xiaomi Mi 9 SE, BM3M, (3070 mAh), Original PRC</t>
  </si>
  <si>
    <t>Аккумулятор Xiaomi Mi 9, BM3L, (3300 mAh), High Quality</t>
  </si>
  <si>
    <t>Аккумулятор Xiaomi Mi 9, BM3L, (3300 mAh), Original PRC</t>
  </si>
  <si>
    <t>Аккумулятор Xiaomi Mi 9T, Redmi K20, BP41, (4000 mAh), Original PRC</t>
  </si>
  <si>
    <t>Аккумулятор Xiaomi Mi A1, Redmi Note 5A, Redmi Note 5A Prime, Redmi S2, BN31, (3080mAh), High Quality</t>
  </si>
  <si>
    <t>Аккумулятор Xiaomi Mi A1, Redmi Note 5A, Redmi Note 5A Prime, Redmi S2, BN31, (3080mAh), Original PRC</t>
  </si>
  <si>
    <t>Аккумулятор Xiaomi Mi A2 Lite, Redmi 6 Pro, BN47, (3900 mAh), Original PRC</t>
  </si>
  <si>
    <t>Аккумулятор Xiaomi Mi A2, BN36, (2800 mAh), High Quality</t>
  </si>
  <si>
    <t>Аккумулятор Xiaomi Mi A2, BN36, (3010 mAh), Original PRC</t>
  </si>
  <si>
    <t>Аккумулятор Xiaomi Mi A3, Mi 9 Lite, BM4F, (3940 mAh), Original PRC</t>
  </si>
  <si>
    <t>Аккумулятор Xiaomi Mi Max, BM49, (4760 mAh), Original PRC</t>
  </si>
  <si>
    <t>Аккумулятор Xiaomi Mi Mix 2, Mi Mix Evo, BM3B, (3400mAh), Original PRC</t>
  </si>
  <si>
    <t>Аккумулятор Xiaomi Mi Mix 3, BM3K, (3200 mAh), Original PRC</t>
  </si>
  <si>
    <t>Аккумулятор Xiaomi Mi Note 10, Mi Note 10 Lite, Mi Note 10 Pro, BM52, (5260 mAh), Original PRC</t>
  </si>
  <si>
    <t>Аккумулятор Xiaomi Mi Play, BN39, (2900 mAh)</t>
  </si>
  <si>
    <t>Аккумулятор Xiaomi Mi3 BM31 (3050 mAh)</t>
  </si>
  <si>
    <t>Аккумулятор Xiaomi Poco X3 Pro, Poco X3 GT, Poco X3 NFC, BN57, (5160 mAh), Original PRC</t>
  </si>
  <si>
    <t>Аккумулятор Xiaomi Pocophone F1, BM4E, (3200 mAh), High Quality</t>
  </si>
  <si>
    <t>Аккумулятор Xiaomi Pocophone F1, BM4E, (3900 mAh), Original PRC</t>
  </si>
  <si>
    <t>Аккумулятор Xiaomi Redmi 10c, BN5G, (5000 mAh), Original PRC</t>
  </si>
  <si>
    <t>Аккумулятор Xiaomi Redmi 12C; Poco C55, BN5K, (5000 mAh), Original PRC</t>
  </si>
  <si>
    <t>Аккумулятор Xiaomi Redmi 5 Plus, BN44, (4000mAh), High Quality</t>
  </si>
  <si>
    <t>Аккумулятор Xiaomi Redmi 6, Redmi 6A, BN37, (2900 mAh), Original PRC</t>
  </si>
  <si>
    <t>Аккумулятор Xiaomi Redmi 7A, BN49, (4000 mAh), Original PRC</t>
  </si>
  <si>
    <t>Аккумулятор Xiaomi Redmi 8, Redmi 8a, BN51, (4900 mAh), High Quality</t>
  </si>
  <si>
    <t>Аккумулятор Xiaomi Redmi 8, Redmi 8a, BN51, (4900 mAh), Original PRC</t>
  </si>
  <si>
    <t>Аккумулятор Xiaomi Redmi 9A, Redmi 9C, Poco M2 Pro, BN56, (5000 mAh), Original PRC</t>
  </si>
  <si>
    <t>Аккумулятор Xiaomi Redmi Note 10, Redmi Note 10s, BN59, (4600 mAh), Original PRC</t>
  </si>
  <si>
    <t>Аккумулятор Xiaomi Redmi Note 11 5G; Poco M4 Pro 5G, BN5C, (5000 mAh), с поддержкой Fast Charger, Original PRC</t>
  </si>
  <si>
    <t>Аккумулятор Xiaomi Redmi Note 11, Redmi Note 11S; Poco M4 Pro, BN5D, (5000 mAh), с поддержкой Fast Charger, Original PRC</t>
  </si>
  <si>
    <t>Аккумулятор Xiaomi Redmi Note 11E, Poco M4, Poco M5, BN5H, (5000 mAh), Original PRC</t>
  </si>
  <si>
    <t>Аккумулятор Xiaomi Redmi Note 12 Pro 5G, Redmi Note 12T, Poco X5 Pro, BP4K, (5000 mAh), Original PRC</t>
  </si>
  <si>
    <t>Аккумулятор Xiaomi Redmi Note 5, BN45, (4000 mAh), High Quality</t>
  </si>
  <si>
    <t>Аккумулятор Xiaomi Redmi Note 6 Pro, BN48, (4000 mAh), High Quality</t>
  </si>
  <si>
    <t>Аккумулятор Xiaomi Redmi Note 6 Pro, BN48, (4000 mAh), Original PRC</t>
  </si>
  <si>
    <t>Аккумулятор Xiaomi Redmi Note 7, BN4A, (4000 mAh), High Quality</t>
  </si>
  <si>
    <t>Аккумулятор Xiaomi Redmi Note 9S, BN55, (4920 mAh), Original PRC</t>
  </si>
  <si>
    <t>ZTE</t>
  </si>
  <si>
    <t>Аккумулятор ZTE Blade 20 Smart V1050, V2050, LI3949T44P8H906450, 5000 mAh, Original PRC</t>
  </si>
  <si>
    <t>Аккумулятор ZTE Blade A5 2020, Blade A7 2019, LI3931T44P8h806139, 3200 mAh, Original PRC</t>
  </si>
  <si>
    <t>Аккумулятор ZTE Blade A7 2020, Blade A7s 2020,  Li3839T43P8H826348, 4000 mAh, Original PRC</t>
  </si>
  <si>
    <t>Динамики для телефонов</t>
  </si>
  <si>
    <t>Бузер Apple iPhone 5</t>
  </si>
  <si>
    <t>Динамик Apple iPhone 11 Pro Max, Original</t>
  </si>
  <si>
    <t>Динамик Apple iPhone 11 Pro, Original</t>
  </si>
  <si>
    <t>Динамик Apple iPhone 11, Original</t>
  </si>
  <si>
    <t>Динамик Apple iPhone 12 Pro Max, Original</t>
  </si>
  <si>
    <t>Динамик Apple iPhone 12, iPhone 12 Pro, Original</t>
  </si>
  <si>
    <t>Динамик Apple iPhone 5, Original</t>
  </si>
  <si>
    <t>Динамик Apple iPhone 5s, Original</t>
  </si>
  <si>
    <t>Динамик Apple iPhone 6 Plus, Original</t>
  </si>
  <si>
    <t>Динамик Apple iPhone 6, Original</t>
  </si>
  <si>
    <t>Динамик Apple iPhone 6s Plus, Original</t>
  </si>
  <si>
    <t>Динамик Apple iPhone 6s, Original</t>
  </si>
  <si>
    <t>Динамик Apple iPhone 8 Plus, Original</t>
  </si>
  <si>
    <t>Динамик Apple iPhone 8, Original</t>
  </si>
  <si>
    <t>Динамик Apple iPhone X, Original</t>
  </si>
  <si>
    <t>Динамик Apple iPhone XS Max, Original</t>
  </si>
  <si>
    <t>Динамик Apple iPhone XS, Original</t>
  </si>
  <si>
    <t>Динамик Lenovo A5000, A6000, A7000</t>
  </si>
  <si>
    <t>Бузер Nokia 720, 820 Lumia, Original</t>
  </si>
  <si>
    <t>Динамик Nokia 225, 620, 925, 1520 Lumia, Sony ST26, Original</t>
  </si>
  <si>
    <t>Динамик Nokia 3100, 2600, 3230, 3250, 6260, 6610, 7610, Original</t>
  </si>
  <si>
    <t>Дисплей Samsung A736 Galaxy A73 5G, GH82-28686B, с тачскрином, рамкой, Service Pack Original, White</t>
  </si>
  <si>
    <t>Дисплеи для мобильных телефонов</t>
  </si>
  <si>
    <t>Дисплей Apple iPhone 11 Pro Max, с тачскрином, OLED (GX)</t>
  </si>
  <si>
    <t>Дисплей Apple iPhone 11 Pro Max, с тачскрином, Original (Восстановленый)</t>
  </si>
  <si>
    <t>Дисплей Apple iPhone 11 Pro Max, с тачскрином, Original PRC</t>
  </si>
  <si>
    <t>Дисплей Apple iPhone 11 Pro, с тачскрином, OLED</t>
  </si>
  <si>
    <t>Дисплей Apple iPhone 11 Pro, с тачскрином, OLED GX</t>
  </si>
  <si>
    <t>Дисплей Apple iPhone 11 Pro, с тачскрином, Original</t>
  </si>
  <si>
    <t>Дисплей Apple iPhone 11 Pro, с тачскрином, Original (Восстановленый)</t>
  </si>
  <si>
    <t>Дисплей Apple iPhone 11, с тачскрином, GX</t>
  </si>
  <si>
    <t>Дисплей Apple iPhone 11, с тачскрином, High Quality</t>
  </si>
  <si>
    <t>Дисплей Apple iPhone 11, с тачскрином, Original (Восстановленый)</t>
  </si>
  <si>
    <t>Дисплей Apple iPhone 11, с тачскрином, Original PRC</t>
  </si>
  <si>
    <t>Дисплей Apple iPhone 12 Mini, с тачскрином, Original</t>
  </si>
  <si>
    <t>Дисплей Apple iPhone 12 Pro Max, с тачскрином, GX OLED</t>
  </si>
  <si>
    <t>Дисплей Apple iPhone 12 Pro Max, с тачскрином, OLED</t>
  </si>
  <si>
    <t>Дисплей Apple iPhone 12 Pro Max, с тачскрином, Original</t>
  </si>
  <si>
    <t>Дисплей Apple iPhone 12, iPhone 12 Pro, с тачскрином, GX OLED</t>
  </si>
  <si>
    <t>Дисплей Apple iPhone 12, iPhone 12 Pro, с тачскрином, OLED</t>
  </si>
  <si>
    <t>Дисплей Apple iPhone 12, iPhone 12 Pro, с тачскрином, Original</t>
  </si>
  <si>
    <t>Дисплей Apple iPhone 13 Pro Max, с тачскрином, OLED</t>
  </si>
  <si>
    <t>Дисплей Apple iPhone 13 Pro Max, с тачскрином, Original</t>
  </si>
  <si>
    <t>Дисплей Apple iPhone 13 Pro, с тачскрином, OLED</t>
  </si>
  <si>
    <t>Дисплей Apple iPhone 13 Pro, с тачскрином, Original</t>
  </si>
  <si>
    <t>Дисплей Apple iPhone 13, с тачскрином, OLED</t>
  </si>
  <si>
    <t>Дисплей Apple iPhone 13, с тачскрином, Original (Восстановленый)</t>
  </si>
  <si>
    <t>Дисплей Apple iPhone 13, с тачскрином, Original PRC</t>
  </si>
  <si>
    <t>Дисплей Apple iPhone 14 Plus, с тачскрином, Original (Восстановленый)</t>
  </si>
  <si>
    <t>Дисплей Apple iPhone 14 Pro Max, с тачскрином, Original PRC</t>
  </si>
  <si>
    <t>Дисплей Apple iPhone 14 Pro, с тачскрином, Original (Восстановленый)</t>
  </si>
  <si>
    <t>Дисплей Apple iPhone 14, с тачскрином, Original (Восстановленый)</t>
  </si>
  <si>
    <t>Дисплей Apple iPhone 14, с тачскрином, Original PRC</t>
  </si>
  <si>
    <t>Дисплей Apple iPhone 4G с тачскрином White Original</t>
  </si>
  <si>
    <t>Дисплей Apple iPhone 4G, с тачскрином, Black</t>
  </si>
  <si>
    <t>Дисплей Apple iPhone 4G, с тачскрином, White</t>
  </si>
  <si>
    <t>Дисплей Apple iPhone 4S с тачскрином Black</t>
  </si>
  <si>
    <t>Дисплей Apple iPhone 4S с тачскрином White</t>
  </si>
  <si>
    <t>Дисплей Apple iPhone 5, с тачскрином, High Quality, Black</t>
  </si>
  <si>
    <t>Дисплей Apple iPhone 5, с тачскрином, High Quality, White</t>
  </si>
  <si>
    <t>Дисплей Apple iPhone 5C, с тачскрином, High Quality, Black</t>
  </si>
  <si>
    <t>Дисплей Apple iPhone 5S, iPhone 5SE, с тачскрином, High Quality, Black</t>
  </si>
  <si>
    <t>Дисплей Apple iPhone 6 Plus, с тачскрином, High Quality, IPS Black</t>
  </si>
  <si>
    <t>Дисплей Apple iPhone 6 Plus, с тачскрином, High Quality, IPS White</t>
  </si>
  <si>
    <t>Дисплей Apple iPhone 6 Plus, с тачскрином, Original (Восстановленый), Black</t>
  </si>
  <si>
    <t>Дисплей Apple iPhone 6 Plus, с тачскрином, Original (Восстановленый), White</t>
  </si>
  <si>
    <t>Дисплей Apple iPhone 6 Plus, с тачскрином, Original PRC, Black</t>
  </si>
  <si>
    <t>Дисплей Apple iPhone 6 Plus, с тачскрином, Original PRC, White</t>
  </si>
  <si>
    <t>Дисплей Apple iPhone 6, с тачскрином, High Quality, IPS Black</t>
  </si>
  <si>
    <t>Дисплей Apple iPhone 6, с тачскрином, High Quality, IPS White</t>
  </si>
  <si>
    <t>Дисплей Apple iPhone 6, с тачскрином, Original (Восстановленый), Black</t>
  </si>
  <si>
    <t>Дисплей Apple iPhone 6, с тачскрином, Original (Восстановленый), White</t>
  </si>
  <si>
    <t>Дисплей Apple iPhone 6, с тачскрином, Original PRC, Black</t>
  </si>
  <si>
    <t>Дисплей Apple iPhone 6, с тачскрином, Original PRC, White</t>
  </si>
  <si>
    <t>Дисплей Apple iPhone 6S Plus, с тачскрином, High Quality, IPS Black</t>
  </si>
  <si>
    <t>Дисплей Apple iPhone 6S Plus, с тачскрином, High Quality, IPS White</t>
  </si>
  <si>
    <t>Дисплей Apple iPhone 6S Plus, с тачскрином, Original (Восстановленый), Black</t>
  </si>
  <si>
    <t>Дисплей Apple iPhone 6S Plus, с тачскрином, Original (Восстановленый), White</t>
  </si>
  <si>
    <t>Дисплей Apple iPhone 6S Plus, с тачскрином, Original PRC, Black</t>
  </si>
  <si>
    <t>Дисплей Apple iPhone 6S Plus, с тачскрином, Original PRC, White</t>
  </si>
  <si>
    <t>Дисплей Apple iPhone 6S, с тачскрином, High Quality, Black</t>
  </si>
  <si>
    <t>Дисплей Apple iPhone 6S, с тачскрином, High Quality, White</t>
  </si>
  <si>
    <t>Дисплей Apple iPhone 6S, с тачскрином, Original (Восстановленый), Black</t>
  </si>
  <si>
    <t>Дисплей Apple iPhone 6S, с тачскрином, Original (Восстановленый), White</t>
  </si>
  <si>
    <t>Дисплей Apple iPhone 6S, с тачскрином, Original PRC, Black</t>
  </si>
  <si>
    <t>Дисплей Apple iPhone 6S, с тачскрином, Original PRC, White</t>
  </si>
  <si>
    <t>Дисплей Apple iPhone 7 Plus, с тачскрином, High Quality, (LG: DTP, C3F), Black</t>
  </si>
  <si>
    <t>Дисплей Apple iPhone 7 Plus, с тачскрином, High Quality, (LG: DTP, C3F), White</t>
  </si>
  <si>
    <t>Дисплей Apple iPhone 7 Plus, с тачскрином, High Quality, (TOSHIBA / SHARP) Black</t>
  </si>
  <si>
    <t>Дисплей Apple iPhone 7 Plus, с тачскрином, High Quality, (TOSHIBA / SHARP) White</t>
  </si>
  <si>
    <t>Дисплей Apple iPhone 7 Plus, с тачскрином, Original (Восстановленый), (LG: DTP, C3F) Black</t>
  </si>
  <si>
    <t>Дисплей Apple iPhone 7 Plus, с тачскрином, Original (Восстановленый), (LG: DTP, C3F) White</t>
  </si>
  <si>
    <t>Дисплей Apple iPhone 7 Plus, с тачскрином, Original (Восстановленый), (TOSHIBA / SHARP) Black</t>
  </si>
  <si>
    <t>Дисплей Apple iPhone 7 Plus, с тачскрином, Original (Восстановленый), (TOSHIBA / SHARP) White</t>
  </si>
  <si>
    <t>Дисплей Apple iPhone 7 Plus, с тачскрином, Original PRC, (LG: DTP, C3F), Black</t>
  </si>
  <si>
    <t>Дисплей Apple iPhone 7 Plus, с тачскрином, Original PRC, (LG: DTP, C3F), White</t>
  </si>
  <si>
    <t>Дисплей Apple iPhone 7 Plus, с тачскрином, Original PRC, (TOSHIBA / SHARP) Black</t>
  </si>
  <si>
    <t>Дисплей Apple iPhone 7 Plus, с тачскрином, Original PRC, (TOSHIBA / SHARP) White</t>
  </si>
  <si>
    <t>Дисплей Apple iPhone 7, с тачскрином, High Quality, Black</t>
  </si>
  <si>
    <t>Дисплей Apple iPhone 7, с тачскрином, High Quality, White</t>
  </si>
  <si>
    <t>Дисплей Apple iPhone 7, с тачскрином, Original (Восстановленый), Black</t>
  </si>
  <si>
    <t>Дисплей Apple iPhone 7, с тачскрином, Original (Восстановленый), White</t>
  </si>
  <si>
    <t>Дисплей Apple iPhone 7, с тачскрином, Original PRC, Black</t>
  </si>
  <si>
    <t>Дисплей Apple iPhone 7, с тачскрином, Original PRC, White</t>
  </si>
  <si>
    <t>Дисплей Apple iPhone 8 Plus, с тачскрином, High Quality, Black</t>
  </si>
  <si>
    <t>Дисплей Apple iPhone 8 Plus, с тачскрином, High Quality, White</t>
  </si>
  <si>
    <t>Дисплей Apple iPhone 8 Plus, с тачскрином, Original (Восстановленый), Black</t>
  </si>
  <si>
    <t>Дисплей Apple iPhone 8 Plus, с тачскрином, Original (Восстановленый), White</t>
  </si>
  <si>
    <t>Дисплей Apple iPhone 8 Plus, с тачскрином, Original PRC, Black</t>
  </si>
  <si>
    <t>Дисплей Apple iPhone 8 Plus, с тачскрином, Original PRC, White</t>
  </si>
  <si>
    <t>Дисплей Apple iPhone 8, iPhone SE 2020, с тачскрином, High Quality, Black</t>
  </si>
  <si>
    <t>Дисплей Apple iPhone 8, iPhone SE 2020, с тачскрином, High Quality, White</t>
  </si>
  <si>
    <t>Дисплей Apple iPhone 8, iPhone SE 2020, с тачскрином, Original (Восстановленый), Black</t>
  </si>
  <si>
    <t>Дисплей Apple iPhone 8, iPhone SE 2020, с тачскрином, Original (Восстановленый), White</t>
  </si>
  <si>
    <t>Дисплей Apple iPhone 8, iPhone SE 2020, с тачскрином, Original PRC, Black</t>
  </si>
  <si>
    <t>Дисплей Apple iPhone 8, iPhone SE 2020, с тачскрином, Original PRC, White</t>
  </si>
  <si>
    <t>Дисплей Apple iPhone X, с тачскрином, GX (Hard OLED)</t>
  </si>
  <si>
    <t>Дисплей Apple iPhone X, с тачскрином, GX (Incell)</t>
  </si>
  <si>
    <t>Дисплей Apple iPhone X, с тачскрином, GX (Soft OLED)</t>
  </si>
  <si>
    <t>Дисплей Apple iPhone X, с тачскрином, High Quality, Incell</t>
  </si>
  <si>
    <t>Дисплей Apple iPhone X, с тачскрином, Original (Восстановленый)</t>
  </si>
  <si>
    <t>Дисплей Apple iPhone X, с тачскрином, Original PRC</t>
  </si>
  <si>
    <t>Дисплей Apple iPhone XR, с тачскрином, High Quality, Black</t>
  </si>
  <si>
    <t>Дисплей Apple iPhone XR, с тачскрином, Original (Восстановленый)</t>
  </si>
  <si>
    <t>Дисплей Apple iPhone XR, с тачскрином, Original PRC, Black</t>
  </si>
  <si>
    <t>Дисплей Apple iPhone XS Max, с тачскрином, GX OLED</t>
  </si>
  <si>
    <t>Дисплей Apple iPhone XS Max, с тачскрином, Incell</t>
  </si>
  <si>
    <t>Дисплей Apple iPhone XS Max, с тачскрином, Original (Восстановленый)</t>
  </si>
  <si>
    <t>Дисплей Apple iPhone XS Max, с тачскрином, Original PRC</t>
  </si>
  <si>
    <t>Дисплей Apple iPhone XS, с тачскрином, GX OLED</t>
  </si>
  <si>
    <t>Дисплей Apple iPhone XS, с тачскрином, Incell</t>
  </si>
  <si>
    <t>Дисплей Apple iPhone XS, с тачскрином, OLED Tianma</t>
  </si>
  <si>
    <t>Дисплей Apple iPhone XS, с тачскрином, Original (Восстановленый)</t>
  </si>
  <si>
    <t>Дисплей Apple iPhone XS, с тачскрином, Original PRC</t>
  </si>
  <si>
    <t>Дисплей Asus ROG Phone 2 ZS660KL, с тачскрином, Original PRC, Black</t>
  </si>
  <si>
    <t>Дисплей Asus ROG Phone 5 ZS673KS, с тачскрином, Original, Black</t>
  </si>
  <si>
    <t>Дисплей Asus ROG Phone 5S ZS676KS, ROG Phone 5s Pro, с тачскрином, Original, Black</t>
  </si>
  <si>
    <t>Дисплей Asus ROG Phone 6, AI2201, с тачскрином, Original</t>
  </si>
  <si>
    <t>Дисплей Asus Zenfone 2 Laser ZE550KL (Z00LD), с тачскрином, Black</t>
  </si>
  <si>
    <t>Дисплей Asus ZenFone 4 Max Pro ZC554KL (X00iD), с тачскрином, High Quality, Black</t>
  </si>
  <si>
    <t>Дисплей Asus Zenfone 4.5 A450CG, с тачскрином</t>
  </si>
  <si>
    <t>Дисплей Asus Zenfone 5 ZE620KL, ZS620KL, X00QD с тачскрином, Black</t>
  </si>
  <si>
    <t>Дисплей Asus Zenfone 6 ZS630KL, с тачскрином, Black</t>
  </si>
  <si>
    <t>Дисплей Asus ZenFone 6, (A600CG), (A601CG), с тачскрином, Black</t>
  </si>
  <si>
    <t>Дисплей Asus ZenFone 7 ZS670KS, ZenFone 7 Pro ZS671KS, с тачскрином, Original PRC, Black</t>
  </si>
  <si>
    <t>Дисплей Asus ZenFone 8 Flip ZS672KS, с тачскрином, Original, Black</t>
  </si>
  <si>
    <t>Дисплей Asus ZenFone 8 ZS590KS, с тачскрином, Original, Black</t>
  </si>
  <si>
    <t>Дисплей Asus ZenFone Live L1 ZA550KL, G552KL, с тачскрином, High Quality, Black</t>
  </si>
  <si>
    <t>Дисплей Asus Zenfone Live ZB501KL (X00FD), с тачскрином, High Quality, Black</t>
  </si>
  <si>
    <t>Дисплей Asus ZenFone Max M2 ZB633KL, с тачскрином, Original PRC, Black</t>
  </si>
  <si>
    <t>Дисплей Asus ZenFone Max Plus M1 ZB570TL, с тачскрином, Original PRC, Black</t>
  </si>
  <si>
    <t>Дисплей Asus ZenFone Max Plus M1 ZB570TL, с тачскрином, с рамкой, Original PRC, Black</t>
  </si>
  <si>
    <t>Дисплей Asus Zenfone Max Pro M2 ZB631KL, с тачскрином, Black</t>
  </si>
  <si>
    <t>Дисплей Asus ZenFone Max Pro ZB601KL, ZenFone Max Pro M1 ZB602KL (X00TD), с тачскрином, Original PRC, Black</t>
  </si>
  <si>
    <t>Дисплей Blackview A100, с тачскрином, Original, Black</t>
  </si>
  <si>
    <t>Дисплей Blackview A55, A55 Pro, с тачскрином, Original, Black</t>
  </si>
  <si>
    <t>Дисплей Blackview A60, A60 Pro, с тачскрином, Original, Black</t>
  </si>
  <si>
    <t>Дисплей Blackview A70, с тачскрином, Original, Black</t>
  </si>
  <si>
    <t>Дисплей Blackview A80, с тачскрином, Original, Black</t>
  </si>
  <si>
    <t>Дисплей Blackview A85, с тачскрином, Original, Black</t>
  </si>
  <si>
    <t>Дисплей Blackview A90, с тачскрином, Original, Black</t>
  </si>
  <si>
    <t>Дисплей Blackview A95, с тачскрином, Original, Black</t>
  </si>
  <si>
    <t>Дисплей Blackview BV5000, с тачскрином, Black</t>
  </si>
  <si>
    <t>Дисплей Blackview BV5500, BV5500 Pro, с тачскрином, Original PRC, Black</t>
  </si>
  <si>
    <t>Дисплей Blackview BV5800, с тачскрином, Original, Black</t>
  </si>
  <si>
    <t>Дисплей Blackview BV6100, с тачскрином, с рамкою, Original PRC, Black</t>
  </si>
  <si>
    <t>Дисплей Blackview BV6300, BV6300 Pro, с тачскрином, Original, Black</t>
  </si>
  <si>
    <t>Дисплей Blackview BV6800, BV6800 Pro, с тачскрином, Original, Black</t>
  </si>
  <si>
    <t>Дисплей Blackview BV7000, BV7000 Pro, с тачскрином, с рамкою Original, Black</t>
  </si>
  <si>
    <t>Дисплей Blackview BV7100, с тачскрином, Original PRC, Black</t>
  </si>
  <si>
    <t>Дисплей Blackview BV8000, с тачскрином, Black</t>
  </si>
  <si>
    <t>Дисплей Blackview BV8800, BL8800, BL8800 Pro, с тачскрином, Original, Black</t>
  </si>
  <si>
    <t>Дисплей Blackview BV9100, с тачскрином, Original, Black</t>
  </si>
  <si>
    <t>Дисплей Blackview BV9200, с тачскрином, Original, Black</t>
  </si>
  <si>
    <t>Дисплей Blackview BV9500 , с тачскрином, Original PRC, Black</t>
  </si>
  <si>
    <t>Дисплей Blackview BV9800, BV9800 Pro, с тачскрином, Original, Black</t>
  </si>
  <si>
    <t>Дисплей Blackview P2, с тачскрином, Gray</t>
  </si>
  <si>
    <t>Cubot</t>
  </si>
  <si>
    <t>Дисплей Cubot King Kong 5 Pro, с тачскрином, Original PRC, Black</t>
  </si>
  <si>
    <t>Дисплей Cubot King Kong 7, с тачскрином, Original PRC, Black</t>
  </si>
  <si>
    <t>Дисплей Cubot Max 2, с тачскрином, Original PRC, Black</t>
  </si>
  <si>
    <t>Дисплей Doogee N20, Y9 Plus, с тачскрином, Original, Black</t>
  </si>
  <si>
    <t>Дисплей Doogee S58 Pro, с тачскрином, Original, Black</t>
  </si>
  <si>
    <t>Дисплей Doogee S95 Pro, с тачскрином, Original, Black</t>
  </si>
  <si>
    <t>Дисплей Doogee S96, S96 Pro, S96 GT, с тачскрином, Original, Black</t>
  </si>
  <si>
    <t>Дисплей Doogee S97, S97 Pro, с тачскрином, Original, Black</t>
  </si>
  <si>
    <t>Дисплей Doogee S98, S98 Pro, с тачскрином, Original, Black</t>
  </si>
  <si>
    <t>Дисплей Doogee X95, с тачскрином, Original PRC, Black</t>
  </si>
  <si>
    <t>Дисплей Doogee X96, X96 Pro, с тачскрином, Original, Black</t>
  </si>
  <si>
    <t>Дисплей Google Pixel 3A, с тачскрином, OLED, Black</t>
  </si>
  <si>
    <t>Дисплей Google Pixel 4 XL, с тачскрином, Original, Black</t>
  </si>
  <si>
    <t>Дисплей Google Pixel 4A 5G, с тачскрином, Original, Black</t>
  </si>
  <si>
    <t>Дисплей Google Pixel 5A, с тачскрином, Original, Black</t>
  </si>
  <si>
    <t>Дисплей Google Pixel 6 Pro, с тачскрином, с рамкою, OLED</t>
  </si>
  <si>
    <t>Дисплей Google Pixel 6, с тачскрином, Original, Black</t>
  </si>
  <si>
    <t>Дисплей Google Pixel 6A, с тачскрином, Original, Black</t>
  </si>
  <si>
    <t>Дисплей Google Pixel 7 Pro, с тачскрином, Service Original, (Samsung)</t>
  </si>
  <si>
    <t>Дисплей Google Pixel 7 Pro, с тачскрином, с рамкою, OLED</t>
  </si>
  <si>
    <t>Дисплей Google Pixel 7, с тачскрином, Original, Black</t>
  </si>
  <si>
    <t>Дисплей Huawei Honor 10 Lite (HRY-LX1), Honor 10i (HRY-LX1T), с тачскрином, High Quality, Black</t>
  </si>
  <si>
    <t>Дисплей Huawei Honor 10 Lite (HRY-LX1), Honor 10i (HRY-LX1T), с тачскрином, Original PRC, Black</t>
  </si>
  <si>
    <t>Дисплей Huawei Honor 10 Lite (HRY-LX1), Honor 10i (HRY-LX1T), с тачскрином, с рамкой, Original PRC, Black</t>
  </si>
  <si>
    <t>Дисплей Huawei Honor 20 (YAL-L21), Honor 20 Pro, Nova 5T, с тачскрином, High Quality, Black</t>
  </si>
  <si>
    <t>Дисплей Huawei Honor 7A Pro, AUM-L29, с тачскрином, Black</t>
  </si>
  <si>
    <t>Дисплей Huawei Honor 7X (BND-L21, L22, AL10, L31) с тачскрином, Black</t>
  </si>
  <si>
    <t>Дисплей Huawei Honor 7X (BND-L21, L22, AL10, L31) с тачскрином, Blue</t>
  </si>
  <si>
    <t>Дисплей Huawei Honor 7X (BND-L21, L22, AL10, L31) с тачскрином, Gold</t>
  </si>
  <si>
    <t>Дисплей Huawei Honor 7X (BND-L21, L22, AL10, L31) с тачскрином, White</t>
  </si>
  <si>
    <t>Дисплей Huawei Honor 8X (JSN-L21, JSN-AL00), View 10 Lite, с тачскрином, Original PRC, Black</t>
  </si>
  <si>
    <t>Дисплей Huawei Honor 9 Lite  (LLD-L31, L11, TL10, AL10, AL00), Honor 9 Youth, с тачскрином, High Quality, Black</t>
  </si>
  <si>
    <t>Дисплей Huawei Honor 9 Lite  (LLD-L31, L11, TL10, AL10, AL00), Honor 9 Youth, с тачскрином, High Quality, Gold</t>
  </si>
  <si>
    <t>Дисплей Huawei Honor 9 Lite  (LLD-L31, L11, TL10, AL10, AL00), Honor 9 Youth, с тачскрином, High Quality, White</t>
  </si>
  <si>
    <t>Дисплей Huawei Mate 10 Lite (RNE-L01, RNE-L21), Honor 9i 2017, Nova 2i, с тачскрином, High Quality, Black</t>
  </si>
  <si>
    <t>Дисплей Huawei Mate 10 Lite (RNE-L01, RNE-L21), Honor 9i 2017, Nova 2i, с тачскрином, High Quality, White</t>
  </si>
  <si>
    <t>Дисплей Huawei Mate 20 Lite (SNE-LX1, SNE-LX2, SNE-LX3), Original PRC, Black</t>
  </si>
  <si>
    <t>Дисплей Huawei Mate 20 Pro (LYA-L29, LYA-L09, LYA-L29, LYA-L0C), с тачскрином, Black</t>
  </si>
  <si>
    <t>Дисплей Huawei Mate 30 Lite, Nova 5T Pro, Nova 5i Pro (SPN-AL00, SPN-TL00, SPL-AL00, SPL-TL00), с тачскрином, Black</t>
  </si>
  <si>
    <t>Дисплей Huawei Nova 2 Plus 2017 (BAC-L21), с тачскрином, Black</t>
  </si>
  <si>
    <t>Дисплей Huawei Nova 2s (HWI-AL00, HWI-TL00), с тачскрином, Black</t>
  </si>
  <si>
    <t>Дисплей Huawei Nova 8i (NEN-LX1, NEN-L22), Honor 50 Lite, Honor X20 (NTN-L22), с тачскрином, Original PRC</t>
  </si>
  <si>
    <t>Дисплей Huawei Nova 9, Honor 50, с тачскрином, Original</t>
  </si>
  <si>
    <t>Дисплей Huawei Nova Y70, Nova Y70 Plus, с тачскрином, Original PRC, Black</t>
  </si>
  <si>
    <t>Дисплей Huawei P Smart (FIG-LX1, FIG-L21, FIG-L31, FIG-LA1), Enjoy 7s, с тачскрином, High Quality, Gold</t>
  </si>
  <si>
    <t>Дисплей Huawei P Smart 2019 (POT-LX3, POT-LX1, POT-AL00), с тачскрином, Original PRC, Black</t>
  </si>
  <si>
    <t>Дисплей Huawei P Smart 2019 (POT-LX3, POT-LX1, POT-AL00), с тачскрином, с рамкой, High Quality, Black</t>
  </si>
  <si>
    <t>Дисплей Huawei P Smart 2021 (PPA-LX2), Y7A, Honor 10X Lite, с тачскрином, Original PRC, Black</t>
  </si>
  <si>
    <t>Дисплей Huawei P Smart S 2020, Y8P (AQM-LX1), Honor Play 4t Pro, Enjoy 10s, с тачскрином, Original, Black</t>
  </si>
  <si>
    <t>Дисплей Huawei P Smart S 2020, Y8P (AQM-LX1), Honor Play 4t Pro, Enjoy 10s, с тачскрином, TFT, Black</t>
  </si>
  <si>
    <t>Дисплей Huawei P Smart Z, P Smart Pro, Y9 Prime 2019, Y9S, Honor 9X (STK-LX1, STK-L21, STK-L22), с тачскрином, Original PRC, Black</t>
  </si>
  <si>
    <t>Дисплей Huawei P Smart Z, Y9 Prime 2019, Y9S, Honor 9X (STK-LX1, STK-L21, STK-L22),  с тачскрином, с рамкой, Original PRC, Black</t>
  </si>
  <si>
    <t>Дисплей Huawei P20 Lite, Nova 3e (ANE-LX1, ANE-L21), с тачскрином, High Quality, Black</t>
  </si>
  <si>
    <t>Дисплей Huawei P20 Lite, Nova 3e (ANE-LX1, ANE-L21), с тачскрином, Original PRC, White</t>
  </si>
  <si>
    <t>Дисплей Huawei P20 Pro (CLT-L29), с тачскрином, Original PRC, Black</t>
  </si>
  <si>
    <t>Дисплей Huawei P30 (ELE-L29, ELE-L09, ELE-L04, ELE-AL00), с тачскрином, OLED, Black</t>
  </si>
  <si>
    <t>Дисплей Huawei P30 Lite, Nova 4e (MAR-L21, LX2, LX1M), с тачскрином, Original PRC, Black</t>
  </si>
  <si>
    <t>Дисплей Huawei P30 Pro (VOG-L09, VOG-L29), с тачскрином, OLED, Black</t>
  </si>
  <si>
    <t>Дисплей Huawei P40 Lite (JNY-LX1), Nova 5i (GLK-LX1), Nova 7i (JNY-LX2), Nova 6 SE, с тачскрином, High Quality, Black</t>
  </si>
  <si>
    <t>Дисплей Huawei P40 Lite (JNY-LX1), Nova 5i (GLK-LX1), Nova 7i (JNY-LX2), Nova 6 SE, с тачскрином, Original, Black</t>
  </si>
  <si>
    <t>Дисплей Huawei P40 Lite E (ART-L28, ART-L29), Y7p 2020, Honor 9C, с тачскрином, Original PRC, Black</t>
  </si>
  <si>
    <t>Дисплей Huawei Y5 2018 (DRA-L21), Y5 Prime 2018 (DRA-L22), Honor 7A (DUA-L22), Honor 7S, Honor 7 Play, с тачскрином, High Quality, Black</t>
  </si>
  <si>
    <t>Дисплей Huawei Y5 2018 (DRA-L21), Y5 Prime 2018 (DRA-L22), Honor 7A (DUA-L22), Honor 7S, Honor 7 Play, с тачскрином, High Quality, Gold</t>
  </si>
  <si>
    <t>Дисплей Huawei Y5 2018 (DRA-L21), Y5 Prime 2018 (DRA-L22), Honor 7A (DUA-L22), Honor 7S, Honor 7 Play, с тачскрином, High Quality, White</t>
  </si>
  <si>
    <t>Дисплей Huawei Y5 2019, Y5 Prime 2019, Honor 8s, (AMN-LX1, LX2, LX3, LX9, KSE-LX9, KSA-LX9), с тачскрином, Original PRC, Black</t>
  </si>
  <si>
    <t>Дисплей Huawei Y5P 2020 (DRA-LX9), Honor 9S (DUA-LX9), с тачскрином, Original PRC, Black</t>
  </si>
  <si>
    <t>Дисплей Huawei Y6 2018 (ATU-L21), Y6 Prime 2018 (ATU-L31), Honor 7A Pro (AUM-L29), Honor 7C (AUM-L41), с тачскрином, Original PRC, Black</t>
  </si>
  <si>
    <t>Дисплей Huawei Y6 2018 (ATU-L21), Y6 Prime 2018 (ATU-L31), Honor 7A Pro (AUM-L29), Honor 7C (AUM-L41), с тачскрином, Original PRC, Gold</t>
  </si>
  <si>
    <t>Дисплей Huawei Y6 2019, Y6 Prime 2019, Y6S, Honor 8A, Y6 Pro 2019, 8A Pro (MRD-LX1, JAT-LX), с тачскрином, Original PRC, Black</t>
  </si>
  <si>
    <t>Дисплей Huawei Y6 Pro (TIT-U02, TIT-AL00), Honor 4C Pro (TIT-L01), Honor Play 5X, Enjoy 5, с тачскрином, High Quality, White</t>
  </si>
  <si>
    <t>Дисплей Huawei Y6P 2020, Honor 9A (MED-L29, LX9, LX9N, L29N, MOA-LX9, LX9N), с тачскрином, Original PRC, Black</t>
  </si>
  <si>
    <t>Дисплей Huawei Y7 2017 (TRT-LX1, TRT-L21), Y7 Prime 2017, Nova Lite Plus, Enjoy 7 Plus, с тачскрином, High Quality, White</t>
  </si>
  <si>
    <t>Дисплей Huawei Y7 2018, Y7 Prime 2018 (LDN-LX1), Honor 7C Pro (LND-L29), Nova 2 Lite, Enjoy 8, с тачскрином, High Quality, Black</t>
  </si>
  <si>
    <t>Дисплей Huawei Y7 2018, Y7 Prime 2018 (LDN-LX1), Honor 7C Pro (LND-L29), Nova 2 Lite, Enjoy 8, с тачскрином, High Quality, White</t>
  </si>
  <si>
    <t>Дисплей Huawei Y7 2019 (DUB-LX3, DUB-L23, DUB-LX1), Y7 Prime 2019, Y7 Pro 2019, с тачскрином, Original PRC, Black</t>
  </si>
  <si>
    <t>Дисплей Huawei Y9 2018 (FLA-LX1, FLA-LX3), Enjoy 8 Plus, с тачскрином, Black</t>
  </si>
  <si>
    <t>Дисплей Huawei Y9 2018 (FLA-LX1, FLA-LX3), Enjoy 8 Plus, с тачскрином, Gold</t>
  </si>
  <si>
    <t>Дисплей Huawei Y9 2018 (FLA-LX1, FLA-LX3), Enjoy 8 Plus, с тачскрином, White</t>
  </si>
  <si>
    <t>Дисплей Huawei Y9 2019 (JKM-L23, JKM-LX3), Enjoy 9 Plus, с тачскрином, Black</t>
  </si>
  <si>
    <t>Infinix</t>
  </si>
  <si>
    <t>Дисплей Infinix HOT 10 Lite, с тачскрином, Original PRC, Black</t>
  </si>
  <si>
    <t>Дисплей Infinix Hot 10s (X689B, X689, X689D), Hot 10T (X689C), Hot 10s NFC, с тачскрином, Original PRC, Black</t>
  </si>
  <si>
    <t>Дисплей Infinix Hot 11S ( X6812, X6812B), Hot 11S NFC; Tecno Camon 18 (CH6, CH6n), Camon 18 Plus (CH7) с тачскрином, Original PRC, Black</t>
  </si>
  <si>
    <t>Дисплей Infinix HOT 12 PLAY (X6816), с тачскрином, Original PRC, Black</t>
  </si>
  <si>
    <t>Дисплей Infinix HOT 12 Pro (X668C), с тачскрином, Original PRC, Black</t>
  </si>
  <si>
    <t>Дисплей Infinix HOT 20 4G (X6826B), с тачскрином, Original PRC, Black</t>
  </si>
  <si>
    <t>Дисплей Infinix HOT 20 5G (X666), с тачскрином, Original PRC, Black</t>
  </si>
  <si>
    <t>Дисплей Infinix HOT 30 PLAY (X6835), с тачскрином, Original PRC, Black</t>
  </si>
  <si>
    <t>Дисплей Infinix HOT 9 Play (X680, X680B, X680C), с тачскрином, Original PRC, Black</t>
  </si>
  <si>
    <t>Дисплей Infinix Note 10 (X693), Note 10 Pro (X695, X695D), Note 10 Pro NFC (X695C), Note 11 Pro (X697), Note 11s (X698) с тачскрином, Original PRC</t>
  </si>
  <si>
    <t>Дисплей Infinix Note 11, Note 12, Note 12 Pro, с тачскрином, Original PRC, Black</t>
  </si>
  <si>
    <t>Дисплей Infinix Smart 6 (X6511), с тачскрином, Original PRC, Black</t>
  </si>
  <si>
    <t>Дисплей Infinix Zero 8 (X687), Zero 8i (X687B); Tecno Camon 16 Premier (CD6j), с тачскрином, Original PRC, Black</t>
  </si>
  <si>
    <t>Дисплей Infinix Zero X, Zero X Pro (X6810, X6811, X6811B), с тачскрином, OLED, Black</t>
  </si>
  <si>
    <t>Дисплей LG F100 Wing 5G (большой дисплей), с тачскрином, Original PRC</t>
  </si>
  <si>
    <t>Дисплей LG G820 G8 ThinQ, с тачскрином, Original PRC, Black</t>
  </si>
  <si>
    <t>Дисплей LG G850 G8x ThinQ, с тачскрином, Original PRC, Black</t>
  </si>
  <si>
    <t>Дисплей LG G900 Velvet 5G, с тачскрином, Original PRC, Black</t>
  </si>
  <si>
    <t>Дисплей LG H502F Magna Y90, с тачскрином, Black</t>
  </si>
  <si>
    <t>Дисплей LG K20 2019, с тачскрином, Original PRC, Black</t>
  </si>
  <si>
    <t>Дисплей LG K30 2019, с тачскрином, Original PRC, Black</t>
  </si>
  <si>
    <t>Дисплей LG Q610 Q7 Plus, с тачскрином, Original PRC, Black</t>
  </si>
  <si>
    <t>Дисплей LG Q710 Q Stylus+, с тачскрином, Black</t>
  </si>
  <si>
    <t>Дисплей LG V30 H930DS, с тачскрином, с рамкою, Original, Silver</t>
  </si>
  <si>
    <t>Дисплей LG V405 V40 ThinQ, V409N, V500 V50 ThinQ, с тачскрином, Original PRC, Black</t>
  </si>
  <si>
    <t>Дисплей LG V600AM V60 ThinQ, с тачскрином, Original, Black</t>
  </si>
  <si>
    <t>Дисплей Meizu M3, M3 mini M688H, с тачскрином, Black</t>
  </si>
  <si>
    <t>Дисплей Meizu M3, M3 mini M688H, с тачскрином, White</t>
  </si>
  <si>
    <t>Дисплей Meizu M6s M712H, с тачскрином, Black</t>
  </si>
  <si>
    <t>Дисплей Meizu M8 Note, Note 8 M822H, M822Q, с тачскрином, High Quality, Black</t>
  </si>
  <si>
    <t>Дисплей Meizu M8, M8 Lite, V8, V8 Pro M813H, с тачскрином, High Quality, Black</t>
  </si>
  <si>
    <t>Дисплей Meizu Pro 7 M792, с тачскрином, Original PRC, Black</t>
  </si>
  <si>
    <t>Дисплей Motorola Droid Mini XT1030, с тачскрином</t>
  </si>
  <si>
    <t>Дисплей Motorola E13 (XT2345), с тачскрином, Original PRC, Black</t>
  </si>
  <si>
    <t>Дисплей Motorola E20 (XT2155), с тачскрином, Original PRC, Black</t>
  </si>
  <si>
    <t>Дисплей Motorola E20 (XT2155), с тачскрином, с рамкою, Original PRC, Black</t>
  </si>
  <si>
    <t>Дисплей Motorola E30 (XT2159), E40 (XT2158-6), с тачскрином, Original PRC, Black</t>
  </si>
  <si>
    <t>Дисплей Motorola E6S (XT2053), E6i, с тачскрином, Original PRC, Black</t>
  </si>
  <si>
    <t>Дисплей Motorola E7 (XT2095), E7 Power (XT2097), E7i Power, с тачскрином, Original PRC, Black</t>
  </si>
  <si>
    <t>Дисплей Motorola E7 (XT2095), с тачскрином, с рамкой, Original PRC, Black</t>
  </si>
  <si>
    <t>Дисплей Motorola E7 Plus (XT2081), G9 Play (XT2083), с тачскрином, Original PRC, Black</t>
  </si>
  <si>
    <t>Дисплей Motorola E7 Plus (XT2081), G9 Play (XT2083), с тачскрином, с рамкою, Original PRC, Black</t>
  </si>
  <si>
    <t>Дисплей Motorola E7 Power (XT2097), E7i Power, с тачскрином, с рамкой, Original PRC, Black</t>
  </si>
  <si>
    <t>Дисплей Motorola Edge 20 Lite (XT2139-1), с тачскрином, Original PRC, Black</t>
  </si>
  <si>
    <t>Дисплей Motorola Edge 20, Edge 20 Pro, с тачскрином, Original PRC, Black</t>
  </si>
  <si>
    <t>Дисплей Motorola Edge 30 Neo, с тачскрином, Original PRC, Black</t>
  </si>
  <si>
    <t>Дисплей Motorola Edge 40, Edge 40 Neo, с тачскрином, Original PRC, Black</t>
  </si>
  <si>
    <t>Дисплей Motorola G10 (XT2127), G10 Power, G30, Lenovo K13 Pro, с тачскрином, Original PRC, Black</t>
  </si>
  <si>
    <t>Дисплей Motorola G10 (XT2127), G10 Power, G30, Lenovo K13 Pro, с тачскрином, с рамкою, Original PRC, Black</t>
  </si>
  <si>
    <t>Дисплей Motorola G13 (XT2331), G23 (XT2333), с тачскрином, Original PRC, Black</t>
  </si>
  <si>
    <t>Дисплей Motorola G22 (XT2231), с тачскрином, Original PRC, Black</t>
  </si>
  <si>
    <t>Дисплей Motorola G22 (XT2231), с тачскрином, с рамкой, Original PRC, Black</t>
  </si>
  <si>
    <t>Дисплей Motorola G31 (XT2173-3), G41 (XT2167-2), G71, с тачскрином, OLED, Black</t>
  </si>
  <si>
    <t>Дисплей Motorola G32, с тачскрином, Original PRC, Black</t>
  </si>
  <si>
    <t>Дисплей Motorola G60 (XT2135-2, XT2135), G40 Fusion, с тачскрином, High Quality, Black</t>
  </si>
  <si>
    <t>Дисплей Motorola G60 (XT2135-2, XT2135), G40 Fusion, с тачскрином, Original PRC, Black</t>
  </si>
  <si>
    <t>Дисплей Motorola G72, с тачскрином, Original PRC, Black</t>
  </si>
  <si>
    <t>Дисплей Motorola G8 (XT2045), с тачскрином, Original PRC, Black</t>
  </si>
  <si>
    <t>Дисплей Motorola G8 Play (XT2015), с тачскрином, Original PRC, Black</t>
  </si>
  <si>
    <t>Дисплей Motorola G8 Plus (XT2019), с тачскрином, Original PRC, Black</t>
  </si>
  <si>
    <t>Дисплей Motorola G8 Power (XT2041-1, XT2041-3), с тачскрином, Original PRC, Black</t>
  </si>
  <si>
    <t>Дисплей Motorola G84, с тачскрином, Original PRC, Black</t>
  </si>
  <si>
    <t>Дисплей Motorola G9 Power (XT2091-3, XT2091-4), с тачскрином, Original PRC, Black</t>
  </si>
  <si>
    <t>Дисплей Motorola G9 Power (XT2091-3, XT2091-4), с тачскрином, с рамкою, Original PRC, Black</t>
  </si>
  <si>
    <t>Дисплей Motorola Moto E4 XT1760, XT1762, XT1766, с тачскрином, White</t>
  </si>
  <si>
    <t>Дисплей Motorola Moto G200, с тачскрином, Original PRC, Black</t>
  </si>
  <si>
    <t>Дисплей Motorola Moto X XT1052, XT1058, XT1060 с рамкой и тачскрином, White</t>
  </si>
  <si>
    <t>Дисплей Motorola Moto X XT1052, XT1058, XT1060, с тачскрином, с рамкой, Black</t>
  </si>
  <si>
    <t>Дисплей Motorola One Action (XT2013-2), One Vision (XT1970), с тачскрином, Original PRC, Black</t>
  </si>
  <si>
    <t>Дисплей Motorola One Power XT1942, с тачскрином, Original PRC Black</t>
  </si>
  <si>
    <t>Дисплей Motorola One Zoom (XT2010), с тачскрином, Original PRC, Black</t>
  </si>
  <si>
    <t>Дисплей Motorola XT1021 Moto E, XT1022 Moto E, XT1025 Moto E, с тачскрином, с рамкой, Black</t>
  </si>
  <si>
    <t>Дисплей Motorola XT1062 Moto G2, XT1063 Moto G2, XT1064 Moto G2, XT1068 Moto G2 с рамкой и тачскрином, Black</t>
  </si>
  <si>
    <t>Дисплей Motorola XT1100 Nexus 6 Google, с тачскрином, рамкой, Original, Black</t>
  </si>
  <si>
    <t>Дисплей Motorola XT1254 Droid Turbo, XT1255 с тачскрином, рамкой, Black</t>
  </si>
  <si>
    <t>Дисплей Motorola XT1505 Moto E2, XT1511 Moto E2, XT1526 Moto E2, XT1527 Moto E2, XT1528 Moto E2, с тачскрином, Black</t>
  </si>
  <si>
    <t>Дисплей Motorola XT1505 Moto E2, XT1511 Moto E2, XT1526 Moto E2, XT1527 Moto E2, XT1528 Moto E2, с тачскрином, White</t>
  </si>
  <si>
    <t>Дисплей Motorola XT1600, XT1601, XT1602, XT1603, XT1607, XT1609 Moto G4 Play, с тачскрином, Original, Black</t>
  </si>
  <si>
    <t>Дисплей Motorola XT1620, XT1621, XT1622, XT1624, XT1625, XT1626 Moto G4, с тачскрином, Original, Black</t>
  </si>
  <si>
    <t>Дисплей Motorola XT1635-02 Moto Z Play, с тачскрином, OLED, Black</t>
  </si>
  <si>
    <t>Дисплей Motorola XT1641 Moto G4 Plus, XT1642 Moto G4 Plus, XT1644 Moto G4 Plus с тачскрином, Black</t>
  </si>
  <si>
    <t>Дисплей Motorola XT1641 Moto G4 Plus, XT1642 Moto G4 Plus, XT1644 Moto G4 Plus с тачскрином, White</t>
  </si>
  <si>
    <t>Дисплей Motorola XT1650 Moto Z, с тачскрином, Black</t>
  </si>
  <si>
    <t>Дисплей Motorola XT1670, XT1672, XT1675, XT1676 Moto G5, с тачскрином, High Quality, Black</t>
  </si>
  <si>
    <t>Дисплей Motorola XT1684, XT1685, XT1687 Moto G5 Plus, с тачскрином, Original PRC, Black</t>
  </si>
  <si>
    <t>Дисплей Motorola XT1700 Moto E3, с тачскрином, Black</t>
  </si>
  <si>
    <t>Дисплей Motorola XT1710 Moto Z2 Play, с тачскрином, OLED, Black</t>
  </si>
  <si>
    <t>Дисплей Motorola XT1723 Moto C Plus, с тачскрином, Black</t>
  </si>
  <si>
    <t>Дисплей Motorola XT1750 Moto C, с тачскрином, Black</t>
  </si>
  <si>
    <t>Дисплей Motorola XT1770, XT1771, XT1775 Moto E4 Plus, с тачскрином, Black</t>
  </si>
  <si>
    <t>Дисплей Motorola XT1789 Moto Z2 Force, с тачскрином, Black</t>
  </si>
  <si>
    <t>Дисплей Motorola XT1792, XT1793, XT1794 Moto G5s, с тачскрином, Original PRC, Black</t>
  </si>
  <si>
    <t>Дисплей Motorola XT1900 Moto X4, с тачскрином, Black</t>
  </si>
  <si>
    <t>Дисплей Motorola XT1900 Moto X4, с тачскрином, Blue</t>
  </si>
  <si>
    <t>Дисплей Motorola XT1922 Moto G6 Play, с тачскрином, Black</t>
  </si>
  <si>
    <t>Дисплей Motorola XT1924 Moto E5 Plus, с тачскрином, High Quality, Black</t>
  </si>
  <si>
    <t>Дисплей Motorola XT1925 Moto G6, с тачскрином, Original PRC, Black</t>
  </si>
  <si>
    <t>Дисплей Motorola XT1941-4 Moto One, XT1941-2 Moto P30 Play, с тачскрином, Original PRC, Black</t>
  </si>
  <si>
    <t>Дисплей Motorola XT1944 Moto E5, с тачскрином, Black</t>
  </si>
  <si>
    <t>Дисплей Motorola XT1962 Moto G7, XT1965 Moto G7 Plus, с тачскрином, Black</t>
  </si>
  <si>
    <t>Дисплей Motorola XT1980-4 Moto Z4, с тачскрином, Original PRC, Black</t>
  </si>
  <si>
    <t>Дисплей Motorola XT2027, One Hyper, с тачскрином, Original PRC, Black</t>
  </si>
  <si>
    <t>Дисплей Motorola XT2043 Moto G Pro, XT2043-4 Moto G Stylus, с тачскрином, Original PRC, Black</t>
  </si>
  <si>
    <t>Дисплей Motorola XT2055 Moto G8 Power Lite, с тачскрином, Original PRC, Black</t>
  </si>
  <si>
    <t>Дисплей Motorola XT2067, One Fusion Plus, с тачскрином, Original PRC, Black</t>
  </si>
  <si>
    <t>Дисплей Motorola XT2087 Moto G9 Plus, с тачскрином, Original PRC, Black</t>
  </si>
  <si>
    <t>Дисплей Motorola XT2125-4, XT2125 Moto G100, с тачскрином, Original PRC, Black</t>
  </si>
  <si>
    <t>Дисплей Motorola XT2128 Moto G20, с тачскрином, Original PRC, Black</t>
  </si>
  <si>
    <t>Дисплей Nokia 1 Dual Sim TA-1047, с тачскрином, Black</t>
  </si>
  <si>
    <t>Дисплей Nokia 1.3 TA-1205, TA-1207, TA-1216, с тачскрином, Original PRC, Black</t>
  </si>
  <si>
    <t>Дисплей Nokia 1.4 TA-1322, TA-1323, TA-1329, с тачскрином, Original PRC, Black</t>
  </si>
  <si>
    <t>Дисплей Nokia 2.1 TA-1080, TA-1084, TA-1086, TA-1092, TA-1093, с тачскрином, Black</t>
  </si>
  <si>
    <t>Дисплей Nokia 2.3 TA-1211, TA-1214, TA-1206, TA-1209, с тачскрином, Original PRC, Black</t>
  </si>
  <si>
    <t>Дисплей Nokia 2.4 (TA-1277, TA-1275, TA-1274, TA-1270), с тачскрином, Original PRC, Black</t>
  </si>
  <si>
    <t>Дисплей Nokia 3.1 Plus TA-1104, TA-1113, TA-1117, TA-1118, TA-1124, TA-1125, с тачскрином, Original PRC, Black</t>
  </si>
  <si>
    <t>Дисплей Nokia 3.2 Dual Sim TA-1156, TA-1164, с тачскрином, High Quality, Black</t>
  </si>
  <si>
    <t>Дисплей Nokia 3.2 Dual Sim TA-1156, TA-1164, с тачскрином, Original PRC, Black</t>
  </si>
  <si>
    <t>Дисплей Nokia 3.4 TA-1283, 5.4, с тачскрином, Original PRC, Black</t>
  </si>
  <si>
    <t>Дисплей Nokia 4.2 Dual Sim TA-1184, TA-1133, TA-1149, TA-1150, TA-1157, с тачскрином, Original PRC, Black</t>
  </si>
  <si>
    <t>Дисплей Nokia 5.1 TA-1061, TA-1075, с тачскрином, Black</t>
  </si>
  <si>
    <t>Дисплей Nokia 6.1 Plus TA-1103, X6, с тачскрином, Black</t>
  </si>
  <si>
    <t>Дисплей Nokia 6.1 TA-1043, TA-1050, с тачскрином, Black</t>
  </si>
  <si>
    <t>Дисплей Nokia 6.2 (TA-1187, TA-1198, TA-1200), Nokia 7.2 (TA-1178, TA-1181, TA-1193), с тачскрином, High Quality, Black</t>
  </si>
  <si>
    <t>Дисплей Nokia 7 Dual Sim TA-1041, с тачскрином, Black</t>
  </si>
  <si>
    <t>Дисплей Nokia 7.1 TA-1100, TA-1085, TA-1095, TA-1096, TA-1097, с тачскрином, Original PRC, Black</t>
  </si>
  <si>
    <t>Дисплей Nokia 700 Lumia c тачскрином, White</t>
  </si>
  <si>
    <t>Дисплей Nokia 8 TA-1004, TA-1012, с тачскрином, Black</t>
  </si>
  <si>
    <t>Дисплей Nokia 8.1 Dual Sim TA-1119, X7, с тачскрином, Black</t>
  </si>
  <si>
    <t>Дисплей Nokia C1 Plus, с тачскрином, High Quality, Black</t>
  </si>
  <si>
    <t>Дисплей Nokia C10 (TA-1342), C20 (TA-1348, TA-1356), C20 Dual Sim (TA-1339,TA-1352), C21 (TA-1356, TA-1352), с тачскрином, High Quality, Black</t>
  </si>
  <si>
    <t>Дисплей Nokia C21 Plus (TA-1424), с тачскрином, High Quality, Black</t>
  </si>
  <si>
    <t>Дисплей Nokia C3-00, E5-00, X2-01, Asha 200, Asha 201, Asha 302</t>
  </si>
  <si>
    <t>Дисплей Nokia C30 (TA-1357, TA-1377, TA-1369, TA-1360, TA-1359), с тачскрином, High Quality, Black</t>
  </si>
  <si>
    <t>Дисплей Nokia G10 (TA-1334, TA-1351), G20 (TA-1336, TA-1334), с тачскрином, Original PRC, Black</t>
  </si>
  <si>
    <t>Дисплей Nokia G10 (TA-1334, TA-1351), G20 (TA-1336, TA-1334), с тачскрином, с рамкой, Original PRC, Black</t>
  </si>
  <si>
    <t>Дисплей Nokia G11, G21, (TA-1401, TA-1405, TA-1404, TA-1412, TA-1418), с тачскрином, High Quality, Black</t>
  </si>
  <si>
    <t>Дисплей Nokia G50 (TA-1358, TA-1390, TA-1370, TA-1367, TA-1361), с тачскрином, High Quality, Black</t>
  </si>
  <si>
    <t>Дисплей Nokia X2 Dual Sim RM-1013, c тачскрином, Original PRC</t>
  </si>
  <si>
    <t>Дисплей Nokia X2 Dual Sim RM-1013, c тачскрином, рамкой, Original</t>
  </si>
  <si>
    <t>Дисплей OnePlus 10 Pro (NE2210, NE2211, NE2213, NE2215), с тачскрином, Original, Black</t>
  </si>
  <si>
    <t>Дисплей OnePlus 3 (A3003), OnePlus 3T (A3010), с тачскрином, OLED, Black</t>
  </si>
  <si>
    <t>Дисплей OnePlus 6, с тачскрином, OLED, Black</t>
  </si>
  <si>
    <t>Дисплей OnePlus 6, с тачскрином, Original PRC, Black</t>
  </si>
  <si>
    <t>Дисплей OnePlus 6T, с тачскрином, OLED, Black</t>
  </si>
  <si>
    <t>Дисплей OnePlus 7, с тачскрином, OLED, Black</t>
  </si>
  <si>
    <t>Дисплей OnePlus 7T, с тачскрином, OLED, Black</t>
  </si>
  <si>
    <t>Дисплей OnePlus 7T, с тачскрином, Original, Black</t>
  </si>
  <si>
    <t>Дисплей OnePlus 8 Pro, с тачскрином, Original, Black</t>
  </si>
  <si>
    <t>Дисплей OnePlus 8, с тачскрином, Original, Black</t>
  </si>
  <si>
    <t>Дисплей OnePlus 8, с тачскрином, с рамкой, Original, Blue</t>
  </si>
  <si>
    <t>Дисплей OnePlus 8, с тачскрином, с рамкой, Original, Silver</t>
  </si>
  <si>
    <t>Дисплей OnePlus 8, с тачскрином, с рамкой, Original, Б/У Black</t>
  </si>
  <si>
    <t>Дисплей OnePlus 8T (KB2000, KB2001, KB2003, KB2005), с тачскрином, Original, Black</t>
  </si>
  <si>
    <t>Дисплей OnePlus 9 (LE2110, LE2111, LE2113, LE2115, LE2117), с тачскрином, Original, Black</t>
  </si>
  <si>
    <t>Дисплей OnePlus 9 (LE2110, LE2111, LE2113, LE2115, LE2117), с тачскрином, с рамкой, Original, Arctic Sky</t>
  </si>
  <si>
    <t>Дисплей OnePlus 9 (LE2110, LE2111, LE2113, LE2115, LE2117), с тачскрином, с рамкой, Original, Black</t>
  </si>
  <si>
    <t>Дисплей OnePlus 9 (LE2110, LE2111, LE2113, LE2115, LE2117), с тачскрином, с рамкой, Original, Winter Mist</t>
  </si>
  <si>
    <t>Дисплей OnePlus 9 Pro (LE2121, LE2125, LE2123, LE2120, LE2127), Oppo Find X3, X3 Pro, с тачскрином, Original, Black</t>
  </si>
  <si>
    <t>Дисплей OnePlus 9 Pro (LE2121, LE2125, LE2123, LE2120, LE2127), с тачскрином, с рамкой, Original, Black</t>
  </si>
  <si>
    <t>Дисплей OnePlus 9 Pro (LE2121, LE2125, LE2123, LE2120, LE2127), с тачскрином, с рамкой, Original, Pine Green</t>
  </si>
  <si>
    <t>Дисплей OnePlus 9R (LE2100, LE2101), с тачскрином, Original, Black</t>
  </si>
  <si>
    <t>Дисплей OnePlus Nord 2 (DN2103, DN2101), Nord CE (EB2101, EB2103); Oppo Reno 5, Reno 6, K9; Realme Q3, с тачскрином, OLED, Black</t>
  </si>
  <si>
    <t>Дисплей OnePlus Nord 2 (DN2103, DN2101), Nord CE (EB2101, EB2103); Oppo Reno 5, Reno 6, K9; Realme Q3, с тачскрином, Original, Black</t>
  </si>
  <si>
    <t>Дисплей OnePlus Nord CE (EB2101, EB2103); Oppo Reno 5, Reno 6, Reno 7, K9; Realme Q3, с тачскрином, с рамкой, Original, Black</t>
  </si>
  <si>
    <t>Дисплей OnePlus Nord, с тачскрином, Original, Black</t>
  </si>
  <si>
    <t>Дисплей OnePlus One (A0001), с тачскрином, Black</t>
  </si>
  <si>
    <t>Дисплей Oppo A15 2020, A15s, Realme C11, Realme C12, Realme C15, p/n: FPC-HTF065H093-A0, с тачскрином, Original PRC, Black</t>
  </si>
  <si>
    <t>Дисплей Oppo A16, A16s, A54s, A56 5G, FPC-HTF065H113-A0, с тачскрином, Original PRC, Black</t>
  </si>
  <si>
    <t>Дисплей Oppo A17, A57e, A77 4G; OnePlus Nord N20 SE, с тачскрином, Original PRC, Black</t>
  </si>
  <si>
    <t>Дисплей Oppo A17, A57e, A77 4G; OnePlus Nord N20 SE, с тачскрином, Service Pack, Black</t>
  </si>
  <si>
    <t>Дисплей Oppo A32 2020, A33 2020, Oppo A53, Oppo A53s; Realme 7i, Realme C17; OnePlus Nord N100, с тачскрином, Original PRC, Black</t>
  </si>
  <si>
    <t>Дисплей Oppo A32 2020, A33 2020, Oppo A53, Oppo A53s; Realme 7i, Realme C17; OnePlus Nord N100, с тачскрином, с рамкой, Original PRC, Black</t>
  </si>
  <si>
    <t>Дисплей Oppo A36, A76, с тачскрином, Original PRC, Black</t>
  </si>
  <si>
    <t>Дисплей Oppo A3s, A5 2018, с тачскрином, Original PRC, Black</t>
  </si>
  <si>
    <t>Дисплей Oppo A52, A72, A92, с тачскрином, High Quality, Black</t>
  </si>
  <si>
    <t>Дисплей Oppo A54 4G, A55 4G; OnePlus Nord N100, с тачскрином, Original PRC, Black</t>
  </si>
  <si>
    <t>Дисплей Oppo A54 4G, A55 4G; OnePlus Nord N100, с тачскрином, Service Pack Original</t>
  </si>
  <si>
    <t>Дисплей Oppo A54 5G, A72 4G, A74 5G, A93 5G; OnePlus Nord N200 5G, с тачскрином, Original PRC, Black</t>
  </si>
  <si>
    <t>Дисплей Oppo A54 5G, A72 4G, A74 5G, A93 5G; OnePlus Nord N200 5G, с тачскрином, с рамкой, Original PRC, Black</t>
  </si>
  <si>
    <t>Дисплей Oppo A55, с тачскрином, Original PRC</t>
  </si>
  <si>
    <t>Дисплей Oppo A57s, с тачскрином, Original PRC, Black</t>
  </si>
  <si>
    <t>Дисплей Oppo A57s, с тачскрином, Service Pack Original</t>
  </si>
  <si>
    <t>Дисплей Oppo A58, с тачскрином, Original PRC</t>
  </si>
  <si>
    <t>Дисплей Oppo A74 (4G), A94, Reno 5 Lite, Realme 7 Pro, Realme 8, Realme 8 Pro, Realme V,  с тачскрином, INCELL</t>
  </si>
  <si>
    <t>Дисплей Oppo A74 4G, A95 4G, A96 5G, Reno 8 Lite 5G, Realme 8; OnePlus Nord N20 5G, с тачскрином, (rev 1.1 / 05), Original</t>
  </si>
  <si>
    <t>Дисплей Oppo A74 4G, A95 4G, A96 5G, Reno 8 Lite 5G, Realme 8; OnePlus Nord N20 5G, с тачскрином, (rev. 1.1 / 05), OLED</t>
  </si>
  <si>
    <t>Дисплей Oppo A94 4G, A94 5G, A95 5G, Reno 4 SE 5G, Reno 5 Lite, Realme 7 Pro, Realme 8 Pro,  с тачскрином, (rev. 1.1 / 04), OLED</t>
  </si>
  <si>
    <t>Дисплей Oppo A98 5G, с тачскрином, Original PRC, Black</t>
  </si>
  <si>
    <t>Дисплей Oppo Realme 6 Pro, с тачскрином, Original PRC, Black</t>
  </si>
  <si>
    <t>Дисплей Oppo Realme 6, с тачскрином, Original PRC, Black</t>
  </si>
  <si>
    <t>Дисплей Oppo Realme C2, с тачскрином, Original PRC, Black</t>
  </si>
  <si>
    <t>Дисплей Oppo Realme C30, Realme C31, с тачскрином, Original PRC, Black</t>
  </si>
  <si>
    <t>Дисплей Oppo Realme X2, Realme XT, с тачскрином, OLED, Black</t>
  </si>
  <si>
    <t>Дисплей Realme 8 5G, с тачскрином, Original PRC, Black</t>
  </si>
  <si>
    <t>Дисплей Realme 8i, с тачскрином, Original PRC, Black</t>
  </si>
  <si>
    <t>Дисплей Realme C11 2021, Realme C20, Realme C20A, Realme C21, с тачскрином, High Quality, Black</t>
  </si>
  <si>
    <t>Дисплей Realme C11 2021, Realme C20, Realme C20A, Realme C21, с тачскрином, Original PRC, Black</t>
  </si>
  <si>
    <t>Дисплей Realme C21Y, Realme C25Y, с тачскрином, High Quality, Black</t>
  </si>
  <si>
    <t>Дисплей Realme C21Y, Realme C25Y, с тачскрином, Original PRC, Black</t>
  </si>
  <si>
    <t>Дисплей Realme C35, с тачскрином, High Quality, Black</t>
  </si>
  <si>
    <t>Дисплей Realme C35, с тачскрином, Original, Black</t>
  </si>
  <si>
    <t>Дисплей Samsung A013 Galaxy A01 Core, M013 Galaxy M01 Core, с тачскрином, Original PRC, Black</t>
  </si>
  <si>
    <t>Дисплей Samsung A015 Galaxy A01, с тачскрином, узкий коннектор, Original PRC, Black</t>
  </si>
  <si>
    <t>Дисплей Samsung A015 Galaxy A01, с тачскрином, широкий коннектор, Original PRC, Black</t>
  </si>
  <si>
    <t>Дисплей Samsung A022 Galaxy A02, (rev. A022F v01), с тачскрином, с рамкой, Original PRC</t>
  </si>
  <si>
    <t>Дисплей Samsung A022 Galaxy A02, A125 Galaxy A12, A326 Galaxy A32 5G, M127 Galaxy M12, M022 Galaxy M02, (rev. A022F v01), с тачскрином, Original PRC</t>
  </si>
  <si>
    <t>Дисплей Samsung A022 Galaxy A02, A125 Galaxy A12, A326 Galaxy A32 5G, M127 Galaxy M12, M022 Galaxy M02, (rev. A125F v0.1), с тачскрином, Original PRC</t>
  </si>
  <si>
    <t>Дисплей Samsung A022 Galaxy A02, A125 Galaxy A12, A326 Galaxy A32 5G, M127 Galaxy M12, M022 Galaxy M02, (rev. M127F v0.1), с тачскрином, Original PRC</t>
  </si>
  <si>
    <t>Дисплей Samsung A022 Galaxy A02, A125 Galaxy A12, A326 Galaxy A32 5G, M127 Galaxy M12, M022 Galaxy M02, с тачскрином, High Quality</t>
  </si>
  <si>
    <t>Дисплей Samsung A022 Galaxy A02, GH81-25250A, с тачскрином, Service Pack Original</t>
  </si>
  <si>
    <t>Дисплей Samsung A022 Galaxy A02, GH82-25250A, с тачскрином, с рамкой, Service Pack Original</t>
  </si>
  <si>
    <t>Дисплей Samsung A025 Galaxy A02s, A035 Galaxy A03, A037 Galaxy A03s, (160.5mm), с тачскрином, Original PRC, Black</t>
  </si>
  <si>
    <t>Дисплей Samsung A025 Galaxy A02s, A035 Galaxy A03, A037 Galaxy A03s, (высота - 160.5 мм), с тачскрином, High Quality, Black</t>
  </si>
  <si>
    <t>Дисплей Samsung A025 Galaxy A02s, GH81-18456A (высота 160,5 мм), с тачскрином, с рамкой, Service Pack Original</t>
  </si>
  <si>
    <t>Дисплей Samsung A025 Galaxy A02s, GH81-18456A (высота 163 мм), с тачскрином, с рамкой, Service Pack Original</t>
  </si>
  <si>
    <t>Дисплей Samsung A025 Galaxy A02s, GH81-18456A, (160.5 mm), с тачскрином, Service Pack Original</t>
  </si>
  <si>
    <t>Дисплей Samsung A025 Galaxy A02s, с тачскрином, с рамкой, Original PRC, Black</t>
  </si>
  <si>
    <t>Дисплей Samsung A032 Galaxy A03 Core, GH81-21711A, с тачскрином, Service Pack Original</t>
  </si>
  <si>
    <t>Дисплей Samsung A032 Galaxy A03 Core, GH81-21711A, с тачскрином, с рамкой, Service Pack Original</t>
  </si>
  <si>
    <t>Дисплей Samsung A032 Galaxy A03 Core, с тачскрином, Original PRC</t>
  </si>
  <si>
    <t>Дисплей Samsung A032 Galaxy A03, с тачскрином, Original PRC, Black</t>
  </si>
  <si>
    <t>Дисплей Samsung A035 Galaxy A03 , GH81-21625A, с тачскрином, Service Pack Original</t>
  </si>
  <si>
    <t>Дисплей Samsung A037 Galaxy A03s, (160 mm), GH81-21232A, с тачскрином, Service Pack Original</t>
  </si>
  <si>
    <t>Дисплей Samsung A037 Galaxy A03s, (160.5mm), с тачскрином, Original PRC</t>
  </si>
  <si>
    <t>Дисплей Samsung A037 Galaxy A03s, GH81-21233A, с тачскрином, с рамкой, Service Pack Original</t>
  </si>
  <si>
    <t>Дисплей Samsung A042 Galaxy A04e, GH81-23088A, с тачскрином, Service Pack Original, Black</t>
  </si>
  <si>
    <t>Дисплей Samsung A042 Galaxy A04e, с тачскрином, Original PRC, Black</t>
  </si>
  <si>
    <t>Дисплей Samsung A042 Galaxy A04e, с тачскрином, с рамкой, Original PRC, Black</t>
  </si>
  <si>
    <t>Дисплей Samsung A045 Galaxy A04, GH81-22731A, с тачскрином, Service Pack Original, Black</t>
  </si>
  <si>
    <t>Дисплей Samsung A045 Galaxy A04, с тачскрином, Original PRC, Black</t>
  </si>
  <si>
    <t>Дисплей Samsung A047 Galaxy A04S, GH82-29805A, с тачскрином, Service Pack Original, Black</t>
  </si>
  <si>
    <t>Дисплей Samsung A047 Galaxy A04s, с тачскрином, Original PRC, Black</t>
  </si>
  <si>
    <t>Дисплей Samsung A057 Galaxy A05s, с тачскрином, Original PRC</t>
  </si>
  <si>
    <t>Дисплей Samsung A105 Galaxy A10, GH82-18685A, с тачскрином, с рамкой, Service Pack Original</t>
  </si>
  <si>
    <t>Дисплей Samsung A105 Galaxy A10, GH82-19367A, с тачскрином, Service Pack Original, Black</t>
  </si>
  <si>
    <t>Дисплей Samsung A105 Galaxy A10, с тачскрином, High Quality, Black</t>
  </si>
  <si>
    <t>Дисплей Samsung A105 Galaxy A10, с тачскрином, Original PRC, Black</t>
  </si>
  <si>
    <t>Дисплей Samsung A105 Galaxy A10, с тачскрином, рамкой, Original PRC, Black</t>
  </si>
  <si>
    <t>Дисплей Samsung A107 Galaxy A10s, GH81-17482A, с тачскрином, Service Pack Original</t>
  </si>
  <si>
    <t>Дисплей Samsung A107 Galaxy A10s, с тачскрином, Original PRC, Black</t>
  </si>
  <si>
    <t>Дисплей Samsung A107 Galaxy A10s, с тачскрином, рамкой, Original PRC, Black</t>
  </si>
  <si>
    <t>Дисплей Samsung A115 Galaxy A11 2019, M115 Galaxy M11, GH81-18760A, с тачскрином, Service Pack Original, Black</t>
  </si>
  <si>
    <t>Дисплей Samsung A115 Galaxy A11 2019, M115 Galaxy M11, GH81-18760A, с тачскрином, с рамкой, Service Pack Original, Black</t>
  </si>
  <si>
    <t>Дисплей Samsung A115 Galaxy A11, M115 Galaxy M11, с тачскрином, Original PRC, Black</t>
  </si>
  <si>
    <t>Дисплей Samsung A125 Galaxy A12 (rev. A125F v0.1), GH82-24491A, с тачскрином, с рамкой, Service Pack Original, Black</t>
  </si>
  <si>
    <t>Дисплей Samsung A125 Galaxy A12 (rev. A125F v0.1), с тачскрином, с рамкой, Original PRC</t>
  </si>
  <si>
    <t>Дисплей Samsung A127 Galaxy A12, GH82-26485A, с тачскрином, Service Pack Original, Black</t>
  </si>
  <si>
    <t>Дисплей Samsung A135 Galaxy A13, A235 Galaxy A23, M236 Galaxy M23, M336 Galaxy M33, (SM-M336B_REV0.5), с тачскрином, Original PRC</t>
  </si>
  <si>
    <t>Дисплей Samsung A135 Galaxy A13, A235 Galaxy A23, M236 Galaxy M23, M336 Galaxy M33, (SM-M336B_REV0.5), с тачскрином, Service Pack Original</t>
  </si>
  <si>
    <t>Дисплей Samsung A135 Galaxy A13, M135 Galaxy M13, GH82-28653A, Rev. A13 LTE, с тачскрином, Service Pack Original</t>
  </si>
  <si>
    <t>Дисплей Samsung A135, A137 Galaxy A13, M135 Galaxy M13, (SM-A135F, A13LTE)  с тачскрином, Original PRC</t>
  </si>
  <si>
    <t>Дисплей Samsung A145 Galaxy A14, GH97-29124A, с тачскрином, Service Pack Original</t>
  </si>
  <si>
    <t>Дисплей Samsung A146B Galaxy A14, Ver. SM-A146B, GH97-29123A, с тачскрином, Service Pack Original</t>
  </si>
  <si>
    <t>Дисплей Samsung A146P Galaxy A14 5G, GH82-23640A, с тачскрином, Service Pack Original</t>
  </si>
  <si>
    <t>Дисплей Samsung A155 Galaxy A15, с тачскрином, Original PRC</t>
  </si>
  <si>
    <t>Дисплей Samsung A205 Galaxy A20 2019, с тачскрином, INCELL, Black</t>
  </si>
  <si>
    <t>Дисплей Samsung A205 Galaxy A20 2019, с тачскрином, OLED, Black</t>
  </si>
  <si>
    <t>Дисплей Samsung A205 Galaxy A20 2019, с тачскрином, рамкой, OLED, Black</t>
  </si>
  <si>
    <t>Дисплей Samsung A207 Galaxy A20s 2019, GH81-17774A, с тачскрином, Service Pack Original</t>
  </si>
  <si>
    <t>Дисплей Samsung A207 Galaxy A20s 2019, GH81-17774A, с тачскрином, с рамкой, Service Pack Original</t>
  </si>
  <si>
    <t>Дисплей Samsung A207 Galaxy A20s, с тачскрином, Original PRC, Black</t>
  </si>
  <si>
    <t>Дисплей Samsung A215 Galaxy A21, GH82-22836A, с тачскрином, рамкой, Service Pack Original</t>
  </si>
  <si>
    <t>Дисплей Samsung A215 Galaxy A21, GH82-22988B с тачскрином, Service Pack Original</t>
  </si>
  <si>
    <t>Дисплей Samsung A215 Galaxy A21, с тачскрином, Original PRC</t>
  </si>
  <si>
    <t>Дисплей Samsung A217 Galaxy A21s, GH82-22905A, с тачскрином, с рамкой, Service Pack Original</t>
  </si>
  <si>
    <t>Дисплей Samsung A217 Galaxy A21s, GH82-22988A, с тачскрином, Service Pack Original</t>
  </si>
  <si>
    <t>Дисплей Samsung A217 Galaxy A21s, с тачскрином, High Quality, Black</t>
  </si>
  <si>
    <t>Дисплей Samsung A217 Galaxy A21s, с тачскрином, Original PRC, Black</t>
  </si>
  <si>
    <t>Дисплей Samsung A225 Galaxy A22, GH82-25944A, с тачскрином, с рамкой, Service Pack Original</t>
  </si>
  <si>
    <t>Дисплей Samsung A225 Galaxy A22, с тачскрином, INCELL</t>
  </si>
  <si>
    <t>Дисплей Samsung A225 Galaxy A22, с тачскрином, с рамкой, OLED</t>
  </si>
  <si>
    <t>Дисплей Samsung A226 Galaxy A22 5G, GH81-21711A, с тачскрином, Service Pack Original</t>
  </si>
  <si>
    <t>Дисплей Samsung A226 Galaxy A22 5G, с тачскрином, Original PRC</t>
  </si>
  <si>
    <t>Дисплей Samsung A235 Galaxy A23 4G, GH82-28563A, с тачскрином, Service Pack Original</t>
  </si>
  <si>
    <t>Дисплей Samsung A235 Galaxy A23, с тачскрином, Original PRC, Black</t>
  </si>
  <si>
    <t>Дисплей Samsung A245 Galaxy A24, с тачскрином, рамкой, Original PRC, Black</t>
  </si>
  <si>
    <t>Дисплей Samsung A256 Galaxy A25 5G, с тачскрином, Original PRC</t>
  </si>
  <si>
    <t>Дисплей Samsung A305 Galaxy A30 2019, GH82-19202A, с тачскрином, рамкой, Service Pack Original, Black</t>
  </si>
  <si>
    <t>Дисплей Samsung A305 Galaxy A30 2019, с тачскрином, OLED, Black</t>
  </si>
  <si>
    <t>Дисплей Samsung A305 Galaxy A30 2019, с тачскрином, Original PRC, Black</t>
  </si>
  <si>
    <t>Дисплей Samsung A305 Galaxy A30 2019, с тачскрином, рамкой, OLED, Black</t>
  </si>
  <si>
    <t>Дисплей Samsung A305 Galaxy A30, A505 Galaxy A50, с тачскрином, INCELL, Black</t>
  </si>
  <si>
    <t>Дисплей Samsung A307 Galaxy A30s 2019, GH82-21190A, с тачскрином, рамкой, Service Pack Original, Black</t>
  </si>
  <si>
    <t>Дисплей Samsung A307 Galaxy A30s, с тачскрином, INCELL, Black</t>
  </si>
  <si>
    <t>Дисплей Samsung A307 Galaxy A30s, с тачскрином, OLED, Black</t>
  </si>
  <si>
    <t>Дисплей Samsung A307 Galaxy A30S, с тачскрином, рамкой, OLED, Black</t>
  </si>
  <si>
    <t>Дисплей Samsung A315 Galaxy A31, с тачскрином, с рамкой, OLED (Small LCD), Black</t>
  </si>
  <si>
    <t>Дисплей Samsung A315 Galaxy A31, с тачскрином, с рамкой, OLED, Black</t>
  </si>
  <si>
    <t>Дисплей Samsung A320 Galaxy A3 (2017) (Super AMOLED) с тачскрином Pink</t>
  </si>
  <si>
    <t>Дисплей Samsung A325 Galaxy A32, GH82-25566A, с тачскрином, рамкой, Service Pack Original, Black</t>
  </si>
  <si>
    <t>Дисплей Samsung A325 Galaxy A32, с тачскрином, INCELL, Black</t>
  </si>
  <si>
    <t>Дисплей Samsung A325 Galaxy A32, с тачскрином, Original PRC, Black</t>
  </si>
  <si>
    <t>Дисплей Samsung A325 Galaxy A32, с тачскрином, рамкой, OLED, Black</t>
  </si>
  <si>
    <t>Дисплей Samsung A325 Galaxy A32, с тачскрином, рамкой, Original PRC, Black</t>
  </si>
  <si>
    <t>Дисплей Samsung A326 Galaxy A32 5G, (SM-A326B), с тачскрином, Original PRC, Black</t>
  </si>
  <si>
    <t>Дисплей Samsung A326 Galaxy A32 5G, GH82-25453A, с тачскрином, Service Pack Original, Black</t>
  </si>
  <si>
    <t>Дисплей Samsung A336 Galaxy A33, с тачскрином, с рамкой, OLED, Black</t>
  </si>
  <si>
    <t>Дисплей Samsung A346 Galaxy A34 5G, с тачскрином, Original PRC, Black</t>
  </si>
  <si>
    <t>Дисплей Samsung A356 Galaxy A35 5G, с тачскрином, Original PRC</t>
  </si>
  <si>
    <t>Дисплей Samsung A405 Galaxy A40 2019, GH82-19672A, с тачскрином, рамкой, Service Pack Original, Black</t>
  </si>
  <si>
    <t>Дисплей Samsung A405 Galaxy A40 2019, с тачскрином, INCELL, Black</t>
  </si>
  <si>
    <t>Дисплей Samsung A405 Galaxy A40 2019, с тачскрином, Original PRC, Black</t>
  </si>
  <si>
    <t>Дисплей Samsung A415 Galaxy A41, GH82-22860A, с тачскрином, рамкой, Service Pack Original, Black</t>
  </si>
  <si>
    <t>Дисплей Samsung A426 Galaxy A42 5G, с тачскрином, OLED, Black</t>
  </si>
  <si>
    <t>Дисплей Samsung A426 Galaxy A42 5G, с тачскрином, с рамкой, OLED, Black</t>
  </si>
  <si>
    <t>Дисплей Samsung A500 Galaxy A5, с тачскрином, TFT (с регулируемой подсветкой), Black</t>
  </si>
  <si>
    <t>Дисплей Samsung A505 Galaxy A50 2019, GH82-19204A, с тачскрином, рамкой, Service Pack Original, Black</t>
  </si>
  <si>
    <t>Дисплей Samsung A505 Galaxy A50 2019, с тачскрином, OLED, Black</t>
  </si>
  <si>
    <t>Дисплей Samsung A505 Galaxy A50 2019, с тачскрином, рамкой, OLED, Black</t>
  </si>
  <si>
    <t>Дисплей Samsung A510 Galaxy A5 2016, GH97-18250B, с тачскрином, Service Pack Original, Black</t>
  </si>
  <si>
    <t>Дисплей Samsung A510 Galaxy A5 2016, GH97-18250B, с тачскрином,Service Pack Original, White</t>
  </si>
  <si>
    <t>Дисплей Samsung A510 Galaxy A5 2016, с тачскрином, OLED, Black</t>
  </si>
  <si>
    <t>Дисплей Samsung A515 Galaxy A51, GH82-21669A, с тачскрином, с рамкой, Service Pack Original, Black</t>
  </si>
  <si>
    <t>Дисплей Samsung A515 Galaxy A51, M317 Galaxy M31s, с тачскрином, OLED (Small LCD), Black</t>
  </si>
  <si>
    <t>Дисплей Samsung A515 Galaxy A51, M317 Galaxy M31s, с тачскрином, OLED, Black</t>
  </si>
  <si>
    <t>Дисплей Samsung A515 Galaxy A51, с тачскрином, с рамкой, OLED (Small LCD), Black</t>
  </si>
  <si>
    <t>Дисплей Samsung A515 Galaxy A51, с тачскрином, с рамкой, OLED, Black</t>
  </si>
  <si>
    <t>Дисплей Samsung A520 Galaxy A5 2017, GH97-19733A, с тачскрином, Original, Black</t>
  </si>
  <si>
    <t>Дисплей Samsung A525 Galaxy A52, A526 Galaxy A52 5G, GH82-25230B, с тачскрином, Service Pack Original, Blue</t>
  </si>
  <si>
    <t>Дисплей Samsung A525 Galaxy A52, A526 Galaxy A52 5G, с тачскрином, INCELL, Black</t>
  </si>
  <si>
    <t>Дисплей Samsung A525 Galaxy A52, A526 Galaxy A52 5G, с тачскрином, с рамкой, OLED, Black</t>
  </si>
  <si>
    <t>Дисплей Samsung A525 Galaxy A52, GH82-25524A, с тачскрином, с рамкой, Service Pack Original, Black</t>
  </si>
  <si>
    <t>Дисплей Samsung A525 Galaxy A52, GH82-25524B, с тачскрином, с рамкой, Service Pack Original, Blue</t>
  </si>
  <si>
    <t>Дисплей Samsung A525 Galaxy A52, GH82-25524C, с тачскрином, с рамкой, Service Pack Original, Violet</t>
  </si>
  <si>
    <t>Дисплей Samsung A525 Galaxy A52, GH82-25524D, с тачскрином, с рамкой, Service Pack Original, White</t>
  </si>
  <si>
    <t>Дисплей Samsung A530 Galaxy A8 2018, GH97-21529A, с тачскрином, Service Pack Original, Black</t>
  </si>
  <si>
    <t>Дисплей Samsung A530 Galaxy A8 2018, с тачскрином, OLED, Black</t>
  </si>
  <si>
    <t>Дисплей Samsung A536 Galaxy A53 5G, GH82-28024C, с тачскрином, с рамкой, Service Pack Original, Blue</t>
  </si>
  <si>
    <t>Дисплей Samsung A536 Galaxy A53 5G, с тачскрином, OLED, Black</t>
  </si>
  <si>
    <t>Дисплей Samsung A536 Galaxy A53 5G, с тачскрином, с рамкой, OLED, Black</t>
  </si>
  <si>
    <t>Дисплей Samsung A536 Galaxy A53 5G, с тачскрином, с рамкой, OLED, Blue</t>
  </si>
  <si>
    <t>Дисплей Samsung A536 Galaxy A53 5G, с тачскрином, с рамкой, OLED, Coral</t>
  </si>
  <si>
    <t>Дисплей Samsung A536 Galaxy A53 5G, с тачскрином, с рамкой, OLED, White</t>
  </si>
  <si>
    <t>Дисплей Samsung A546 Galaxy A54 5G, с тачскрином, Original PRC, Black</t>
  </si>
  <si>
    <t>Дисплей Samsung A600 Galaxy A6, GH97-21897A, с тачскрином, Service Pack Original, Black</t>
  </si>
  <si>
    <t>Дисплей Samsung A600 Galaxy A6, Super AMOLED, с тачскрином, Black</t>
  </si>
  <si>
    <t>Дисплей Samsung A605 Galaxy A6 Plus 2018, с тачскрином, INCELL, Black</t>
  </si>
  <si>
    <t>Дисплей Samsung A605 Galaxy A6 Plus 2018, с тачскрином, OLED, Black</t>
  </si>
  <si>
    <t>Дисплей Samsung A605 Galaxy A6 Plus, GH97-21878A (SERVICE PACK ORIGINAL)  с тачскрином Black</t>
  </si>
  <si>
    <t>Дисплей Samsung A606 Galaxy A60 2019, M405 Galaxy M40 2019, GH82-20072A, с тачскрином, Service Pack Original, Black</t>
  </si>
  <si>
    <t>Дисплей Samsung A606 Galaxy A60 2019, M405 Galaxy M40 2019, с тачскрином, Original PRC, Black</t>
  </si>
  <si>
    <t>Дисплей Samsung A705 Galaxy A70 2019, GH82-19747A, с тачскрином, с рамкой, Service Pack Original, Black</t>
  </si>
  <si>
    <t>Дисплей Samsung A705 Galaxy A70 2019, с тачскрином, INCELL, Black</t>
  </si>
  <si>
    <t>Дисплей Samsung A705 Galaxy A70 2019, с тачскрином, OLED (Small LCD), Black</t>
  </si>
  <si>
    <t>Дисплей Samsung A715 Galaxy A71, GH82-22152A, с тачскрином, рамкой, Service Pack Original, Black</t>
  </si>
  <si>
    <t>Дисплей Samsung A715 Galaxy A71, с тачскрином, OLED (Small LCD), Black</t>
  </si>
  <si>
    <t>Дисплей Samsung A715 Galaxy A71, с тачскрином, рамкой, OLED (BIG LCD), Black</t>
  </si>
  <si>
    <t>Дисплей Samsung A720 Galaxy A7 2017, GH97-19723A, с тачскрином, Original, Black</t>
  </si>
  <si>
    <t>Дисплей Samsung A720 Galaxy A7 2017, GH97-19723B, с тачскрином, Original, Gold</t>
  </si>
  <si>
    <t>Дисплей Samsung A720 Galaxy A7 2017, с тачскрином, OLED, Blue</t>
  </si>
  <si>
    <t>Дисплей Samsung A720 Galaxy A7 2017, с тачскрином, OLED, Gold</t>
  </si>
  <si>
    <t>Дисплей Samsung A725 Galaxy A72, GH82-25460A, с тачскрином, рамкой, Service Pack Original, Black</t>
  </si>
  <si>
    <t>Дисплей Samsung A725 Galaxy A72, GH82-25460D, с тачскрином, рамкой, Service Pack Original, White</t>
  </si>
  <si>
    <t>Дисплей Samsung A725 Galaxy A72, с тачскрином, рамкой, OLED, Black</t>
  </si>
  <si>
    <t>Дисплей Samsung A730 Galaxy A8 Plus 2018, с тачскрином, INCELL, Black</t>
  </si>
  <si>
    <t>Дисплей Samsung A736 Galaxy A73 5G, GH82-28686A, с тачскрином, рамкой, Service Pack Original, Gray</t>
  </si>
  <si>
    <t>Дисплей Samsung A736 Galaxy A73 5G, GH82-28884A, Service Pack Original</t>
  </si>
  <si>
    <t>Дисплей Samsung A736 Galaxy A73 5G, с тачскрином, рамкой, OLED (BIG LCD), Black</t>
  </si>
  <si>
    <t>Дисплей Samsung A750 Galaxy A7 2018, с тачскрином, OLED, Black</t>
  </si>
  <si>
    <t>Дисплей Samsung A800F Galaxy A8, OLED, с тачскрином, Black</t>
  </si>
  <si>
    <t>Дисплей Samsung A805 Galaxy A80, GH97-20348A, с тачскрином, рамкой, Service Pack Original, Black</t>
  </si>
  <si>
    <t>Дисплей Samsung A920 Galaxy A9 2018, GH97-18322A, с тачскрином, рамкой, Original, Black</t>
  </si>
  <si>
    <t>Дисплей Samsung G570 Galaxy J5 Prime (SERVICE PACK) с тачскрином White</t>
  </si>
  <si>
    <t>Дисплей Samsung G570 Galaxy J5 Prime, с тачскрином, Original PRC, Black</t>
  </si>
  <si>
    <t>Дисплей Samsung G570 Galaxy J5 Prime, с тачскрином, Original PRC, Gold</t>
  </si>
  <si>
    <t>Дисплей Samsung G570 Galaxy J5 Prime, с тачскрином, Original PRC, White</t>
  </si>
  <si>
    <t>Дисплей Samsung G610 Galaxy J7 Prime, с тачскрином, Original PRC, Black</t>
  </si>
  <si>
    <t>Дисплей Samsung G610 Galaxy J7 Prime, с тачскрином, Original PRC, Gold</t>
  </si>
  <si>
    <t>Дисплей Samsung G610 Galaxy J7 Prime, с тачскрином, Original PRC, White</t>
  </si>
  <si>
    <t>Дисплей Samsung G770 Galaxy S10 Lite, с тачскрином, рамкой, Original, Black</t>
  </si>
  <si>
    <t>Дисплей Samsung G780 Galaxy S20 FE, GH82-24219B, с тачскрином, с рамкой, Service Pack Original, White</t>
  </si>
  <si>
    <t>Дисплей Samsung G780 Galaxy S20 FE, GH82-24219C, с тачскрином, с рамкой, Service Pack Original, Cloud Orange</t>
  </si>
  <si>
    <t>Дисплей Samsung G780 Galaxy S20 FE, GH82-24219C, с тачскрином, с рамкой, Service Pack Original, Lavanda</t>
  </si>
  <si>
    <t>Дисплей Samsung G780 Galaxy S20 FE, GH82-24219D, с тачскрином, с рамкой, Service Pack Original, Green</t>
  </si>
  <si>
    <t>Дисплей Samsung G780 Galaxy S20 FE, GH82-24219E, с тачскрином, с рамкой, Service Pack Original, Red</t>
  </si>
  <si>
    <t>Дисплей Samsung G780 Galaxy S20 FE, с тачскрином, рамкой, Original PRC, Blue</t>
  </si>
  <si>
    <t>Дисплей Samsung G900 Galaxy S5 (Super AMOLED) с тачскрином White</t>
  </si>
  <si>
    <t>Дисплей Samsung G920 Galaxy S6, с тачскрином, INCELL, Gold</t>
  </si>
  <si>
    <t>Дисплей Samsung G925 Galaxy S6 Edge, G925F Galaxy S6 Edge, Super AMOLED, с тачскрином, Blue</t>
  </si>
  <si>
    <t>Дисплей Samsung G925 Galaxy S6 Edge, G925F Galaxy S6 Edge, Super AMOLED, с тачскрином, White</t>
  </si>
  <si>
    <t>Дисплей Samsung G930 Galaxy S7 GH97-18523C (SERVICE PACK ORIGINAL) с тачскрином Gold</t>
  </si>
  <si>
    <t>Дисплей Samsung G950 Galaxy S8 GH97-20457A (SERVICE PACK ORIGINAL) с тачскрином, с рамкой, Black</t>
  </si>
  <si>
    <t>Дисплей Samsung G950 Galaxy S8 GH97-20457A (SERVICE PACK ORIGINAL) с тачскрином, с рамкой, Gold</t>
  </si>
  <si>
    <t>Дисплей Samsung G950 Galaxy S8 GH97-20457A (SERVICE PACK ORIGINAL) с тачскрином, с рамкой, Violet</t>
  </si>
  <si>
    <t>Дисплей Samsung G950 Galaxy S8, с тачскрином, Original PRC, Black</t>
  </si>
  <si>
    <t>Дисплей Samsung G950 Galaxy S8, с тачскрином, с рамкой, Original PRC, Black</t>
  </si>
  <si>
    <t>Дисплей Samsung G955 Galaxy S8 Plus, GH97-20470A, с тачскрином, с рамкой, Service Pack Original, Black</t>
  </si>
  <si>
    <t>Дисплей Samsung G955 Galaxy S8 Plus, с тачскрином, OLED, Black</t>
  </si>
  <si>
    <t>Дисплей Samsung G955 Galaxy S8 Plus, с тачскрином, Original PRC, Black</t>
  </si>
  <si>
    <t>Дисплей Samsung G955 Galaxy S8 Plus, с тачскрином, с рамкой, Original PRC, Black</t>
  </si>
  <si>
    <t>Дисплей Samsung G960 Galaxy S9, GH97-21696A, с тачскрином, с рамкой, Service Pack Original, Black</t>
  </si>
  <si>
    <t>Дисплей Samsung G960 Galaxy S9, GH97-21696E, с тачскрином, с рамкой, Service Pack Original, Gold</t>
  </si>
  <si>
    <t>Дисплей Samsung G960 Galaxy S9, с тачскрином, Original PRC, Black</t>
  </si>
  <si>
    <t>Дисплей Samsung G960 Galaxy S9, с тачскрином, рамкой, Original PRC, Black</t>
  </si>
  <si>
    <t>Дисплей Samsung G960 Galaxy S9, с тачскрином, рамкой, Original PRC, Burgundy Red</t>
  </si>
  <si>
    <t>Дисплей Samsung G960 Galaxy S9, с тачскрином, рамкой, Original PRC, Gold</t>
  </si>
  <si>
    <t>Дисплей Samsung G960 Galaxy S9, с тачскрином, рамкой, Original PRC, Lilac Purple</t>
  </si>
  <si>
    <t>Дисплей Samsung G960 Galaxy S9, с тачскрином, рамкой, Original PRC, Titanium Grey</t>
  </si>
  <si>
    <t>Дисплей Samsung G965 Galaxy S9 Plus, с тачскрином, OLED, Black</t>
  </si>
  <si>
    <t>Дисплей Samsung G965 Galaxy S9 Plus, с тачскрином, Original PRC, Black</t>
  </si>
  <si>
    <t>Дисплей Samsung G965 Galaxy S9 Plus, с тачскрином, рамкой, OLED, Black</t>
  </si>
  <si>
    <t>Дисплей Samsung G965 Galaxy S9 Plus, с тачскрином, рамкой, OLED, Blue</t>
  </si>
  <si>
    <t>Дисплей Samsung G965 Galaxy S9 Plus, с тачскрином, рамкой, OLED, Grey</t>
  </si>
  <si>
    <t>Дисплей Samsung G965 Galaxy S9 Plus, с тачскрином, рамкой, Original PRC, Black</t>
  </si>
  <si>
    <t>Дисплей Samsung G965 Galaxy S9 Plus, с тачскрином, рамкой, Original PRC, Blue</t>
  </si>
  <si>
    <t>Дисплей Samsung G965 Galaxy S9 Plus, с тачскрином, рамкой, Original PRC, Gold</t>
  </si>
  <si>
    <t>Дисплей Samsung G965 Galaxy S9 Plus, с тачскрином, рамкой, Original PRC, Grey</t>
  </si>
  <si>
    <t>Дисплей Samsung G965 Galaxy S9 Plus, с тачскрином, рамкой, Original PRC, Purple</t>
  </si>
  <si>
    <t>Дисплей Samsung G970 Galaxy S10e, с тачскрином, с рамкой, Original PRC, Black</t>
  </si>
  <si>
    <t>Дисплей Samsung G970 Galaxy S10e, с тачскрином, с рамкой, Original PRC, Blue</t>
  </si>
  <si>
    <t>Дисплей Samsung G970 Galaxy S10e, с тачскрином, с рамкой, Original PRC, Grey</t>
  </si>
  <si>
    <t>Дисплей Samsung G973 Galaxy S10, GH82-18850A, с тачскрином, с рамкой, Service Pack Original, Black</t>
  </si>
  <si>
    <t>Дисплей Samsung G973 Galaxy S10, с тачскрином, Original PRC, Black</t>
  </si>
  <si>
    <t>Дисплей Samsung G973 Galaxy S10, с тачскрином, с рамкой, Original PRC, Black</t>
  </si>
  <si>
    <t>Дисплей Samsung G973 Galaxy S10, с тачскрином, с рамкой, Original PRC, Silver</t>
  </si>
  <si>
    <t>Дисплей Samsung G975 Galaxy S10 Plus, GH82-18849A, с тачскрином, с рамкой, Original, Black</t>
  </si>
  <si>
    <t>Дисплей Samsung G975 Galaxy S10 Plus, с тачскрином, Original PRC, Black</t>
  </si>
  <si>
    <t>Дисплей Samsung G975 Galaxy S10 Plus, с тачскрином, с рамкой, Original PRC, Black</t>
  </si>
  <si>
    <t>Дисплей Samsung G980 Galaxy S20 Cosmic Grey, GH82-22131A, с тачскрином, с рамкой, Service Pack Original, Grey</t>
  </si>
  <si>
    <t>Дисплей Samsung G980 Galaxy S20, GH82-22131C, с тачскрином, с рамкой, Service Pack Original, Cloud Pink</t>
  </si>
  <si>
    <t>Дисплей Samsung G980 Galaxy S20, с тачскрином, Original PRC, Black</t>
  </si>
  <si>
    <t>Дисплей Samsung G980 Galaxy S20, с тачскрином, рамкой, OLED, Black</t>
  </si>
  <si>
    <t>Дисплей Samsung G980 Galaxy S20, с тачскрином, рамкой, OLED, Blue</t>
  </si>
  <si>
    <t>Дисплей Samsung G980 Galaxy S20, с тачскрином, рамкой, OLED, Pink</t>
  </si>
  <si>
    <t>Дисплей Samsung G980 Galaxy S20, с тачскрином, рамкой, Original PRC, Black</t>
  </si>
  <si>
    <t>Дисплей Samsung G980, G981 Galaxy S20, GH82-22123D, с тачскрином, с рамкой, Service Pack Original, Cloud Blue</t>
  </si>
  <si>
    <t>Дисплей Samsung G985 Galaxy S20 Plus, GH82-22134A, с тачскрином, с рамкой, Service Pack Original, Black</t>
  </si>
  <si>
    <t>Дисплей Samsung G985 Galaxy S20 Plus, GH82-22134E, с тачскрином, с рамкой, Service Pack Original, Grey</t>
  </si>
  <si>
    <t>Дисплей Samsung G985 Galaxy S20 Plus, с тачскрином, Original PRC, Black</t>
  </si>
  <si>
    <t>Дисплей Samsung G985 Galaxy S20 Plus, с тачскрином, рамкой, OLED, Black</t>
  </si>
  <si>
    <t>Дисплей Samsung G985 Galaxy S20 Plus, с тачскрином, рамкой, OLED, Blue</t>
  </si>
  <si>
    <t>Дисплей Samsung G985 Galaxy S20 Plus, с тачскрином, рамкой, Original PRC, Black</t>
  </si>
  <si>
    <t>Дисплей Samsung G988 Galaxy S20 Ultra, GH82-22271A, с тачскрином, с рамкой, Service Pack Original, Black</t>
  </si>
  <si>
    <t>Дисплей Samsung G988 Galaxy S20 Ultra, GH82-22327B, с тачскрином, с рамкой, Service Pack Original, Grey</t>
  </si>
  <si>
    <t>Дисплей Samsung G988 Galaxy S20 Ultra, с тачскрином, рамкой, OLED, Black</t>
  </si>
  <si>
    <t>Дисплей Samsung G988 Galaxy S20 Ultra, с тачскрином, рамкой, Original, Black</t>
  </si>
  <si>
    <t>Дисплей Samsung G991 Galaxy S21, GH82-24544A, с тачскрином, с рамкой, Service Pack Original, Phantom Grey</t>
  </si>
  <si>
    <t>Дисплей Samsung G991 Galaxy S21, GH82-24716A, с тачскрином, с рамкой, Service Pack Original, Violet</t>
  </si>
  <si>
    <t>Дисплей Samsung G991 Galaxy S21, с тачскрином, рамкой, Original, Phantom Grey</t>
  </si>
  <si>
    <t>Дисплей Samsung G996 Galaxy S21 Plus, GH82-24553B, с тачскрином, с рамкой, Service Pack Original, Phantom Violet</t>
  </si>
  <si>
    <t>Дисплей Samsung G996 Galaxy S21 Plus, GH82-27267C, с тачскрином, с рамкой, Service Pack Original, Silver</t>
  </si>
  <si>
    <t>Дисплей Samsung G996 Galaxy S21 Plus, GH82-27268A, с тачскрином, с рамкой, Service Pack Original, Black</t>
  </si>
  <si>
    <t>Дисплей Samsung G996 Galaxy S21 Plus, с тачскрином, рамкой, Original PRC, Phantom Black</t>
  </si>
  <si>
    <t>Дисплей Samsung G998 Galaxy S21 Ultra, GH82-24925A, с тачскрином, с рамкой, Service Pack Original,Phantom Black</t>
  </si>
  <si>
    <t>Дисплей Samsung G998 Galaxy S21 Ultra, GH82-24925B, с тачскрином, с рамкой, Service Pack Original, Silver</t>
  </si>
  <si>
    <t>Дисплей Samsung G998 Galaxy S21 Ultra, с тачскрином, Original, Phantom Black</t>
  </si>
  <si>
    <t>Дисплей Samsung G998 Galaxy S21 Ultra, с тачскрином, рамкой, Original, Phantom Black</t>
  </si>
  <si>
    <t>Дисплей Samsung I9500 Galaxy S4, Super AMOLED, с тачскрином, Blue</t>
  </si>
  <si>
    <t>Дисплей Samsung I9500 Galaxy S4, Super AMOLED, с тачскрином, White</t>
  </si>
  <si>
    <t>Дисплей Samsung J120 Galaxy J1 2016, с тачскрином, TFT (с регулируемой подсветкой), Gold</t>
  </si>
  <si>
    <t>Дисплей Samsung J200, J200H Galaxy J2 duos, TFT, с тачскрином, White</t>
  </si>
  <si>
    <t>Дисплей Samsung J210 Galaxy J2 duos (2016) (TFT) с тачскрином White</t>
  </si>
  <si>
    <t>Дисплей Samsung J210 Galaxy J2 duos 2016 (TFT) с тачскрином Gold</t>
  </si>
  <si>
    <t>Дисплей Samsung J250 Galaxy J2 2018, с тачскрином, OLED, Black</t>
  </si>
  <si>
    <t>Дисплей Samsung J250 Galaxy J2 2018, с тачскрином, OLED, Blue</t>
  </si>
  <si>
    <t>Дисплей Samsung J250 Galaxy J2 2018, с тачскрином, OLED, Gold</t>
  </si>
  <si>
    <t>Дисплей Samsung J250 Galaxy J2 2018, с тачскрином, TFT (с регулируемой подсветкой), Black</t>
  </si>
  <si>
    <t>Дисплей Samsung J250 Galaxy J2 2018, с тачскрином, TFT (с регулируемой подсветкой), Gold</t>
  </si>
  <si>
    <t>Дисплей Samsung J250 Galaxy J2 2018, с тачскрином, TFT (с регулируемой подсветкой), White</t>
  </si>
  <si>
    <t>Дисплей Samsung J250, Galaxy J2 2018, GH97-21339A (SERVICE PACK ORIGINAL) с тачскрином Black</t>
  </si>
  <si>
    <t>Дисплей Samsung J250, Galaxy J2 2018, GH97-21339B (SERVICE PACK ORIGINAL) с тачскрином Blue</t>
  </si>
  <si>
    <t>Дисплей Samsung J250, Galaxy J2 2018, GH97-21339C (SERVICE PACK ORIGINAL) с тачскрином Pink</t>
  </si>
  <si>
    <t>Дисплей Samsung J250, Galaxy J2 2018, GH97-21339D (SERVICE PACK ORIGINAL) с тачскрином Gold</t>
  </si>
  <si>
    <t>Дисплей Samsung J320 Galaxy J3 2016, с тачскрином, INCELL, Gold</t>
  </si>
  <si>
    <t>Дисплей Samsung J320 Galaxy J3 2016, с тачскрином, OLED, Black</t>
  </si>
  <si>
    <t>Дисплей Samsung J320 Galaxy J3 2016, с тачскрином, TFT (с регулируемой подсветкой), Black</t>
  </si>
  <si>
    <t>Дисплей Samsung J320 Galaxy J3 2016, с тачскрином, TFT (с регулируемой подсветкой), Gold</t>
  </si>
  <si>
    <t>Дисплей Samsung J320 Galaxy J3 2016, с тачскрином, TFT, White</t>
  </si>
  <si>
    <t>Дисплей Samsung J330 Galaxy J3 2017, GH96-10992A, с тачскрином, Service Pack, Black</t>
  </si>
  <si>
    <t>Дисплей Samsung J330 Galaxy J3 2017, GH96-10992A, с тачскрином, Service Pack, Silver</t>
  </si>
  <si>
    <t>Дисплей Samsung J330 Galaxy J3 2017, с тачскрином, Original PRC, Black</t>
  </si>
  <si>
    <t>Дисплей Samsung J330 Galaxy J3 2017, с тачскрином, Original PRC, Blue</t>
  </si>
  <si>
    <t>Дисплей Samsung J330 Galaxy J3 2017, с тачскрином, Original PRC, Gold</t>
  </si>
  <si>
    <t>Дисплей Samsung J400 Galaxy J4 2018, с тачскрином, OLED, Black</t>
  </si>
  <si>
    <t>Дисплей Samsung J400 Galaxy J4 2018, с тачскрином, OLED, Gold</t>
  </si>
  <si>
    <t>Дисплей Samsung J400 Galaxy J4 2018, с тачскрином, OLED, Silver (Lavenda)</t>
  </si>
  <si>
    <t>Дисплей Samsung J400 Galaxy J4 2018, с тачскрином, TFT (с регулируемой подсветкой), Blue</t>
  </si>
  <si>
    <t>Дисплей Samsung J400 Galaxy J4 2018, с тачскрином, TFT (с регулируемой подсветкой), Gold</t>
  </si>
  <si>
    <t>Дисплей Samsung J400, Galaxy J4 2018, GH97-21915A (SERVICE PACK ORIGINAL) с тачскрином Black</t>
  </si>
  <si>
    <t>Дисплей Samsung J400, Galaxy J4 2018, GH97-21915B (SERVICE PACK ORIGINAL) с тачскрином Gold</t>
  </si>
  <si>
    <t>Дисплей Samsung J400, Galaxy J4 2018, GH97-21915C (SERVICE PACK ORIGINAL) с тачскрином Siver (Lavenda)</t>
  </si>
  <si>
    <t>Дисплей Samsung J415 Galaxy J4 Plus 2018, GH97-22582A (SERVICE PACK ORIGINAL) с тачскрином, Black</t>
  </si>
  <si>
    <t>Дисплей Samsung J510 Galaxy J5 2016, с тачскрином, OLED, Gold</t>
  </si>
  <si>
    <t>Дисплей Samsung J510 Galaxy J5 2016, с тачскрином, TFT (с регулируемой подсветкой), Black</t>
  </si>
  <si>
    <t>Дисплей Samsung J510 Galaxy J5 2016, с тачскрином, TFT (с регулируемой подсветкой), Gold</t>
  </si>
  <si>
    <t>Дисплей Samsung J510 Galaxy J5 2016, с тачскрином, TFT, White</t>
  </si>
  <si>
    <t>Дисплей Samsung J610 Galaxy J6 Plus 2018, J415 Galaxy J4 Plus 2018, GH97-22582A, с тачскрином, Original, Black</t>
  </si>
  <si>
    <t>Дисплей Samsung J610 Galaxy J6 Plus 2018, J415 Galaxy J4 Plus 2018, с тачскрином, Original PRC, Black</t>
  </si>
  <si>
    <t>Дисплей Samsung J700 Galaxy J7, с тачскрином, OLED, Gold</t>
  </si>
  <si>
    <t>Дисплей Samsung J700 Galaxy J7, с тачскрином, TFT, White</t>
  </si>
  <si>
    <t>Дисплей Samsung J701 Galaxy J7 Neo, GH97-20904A, с тачскрином, Original, Black</t>
  </si>
  <si>
    <t>Дисплей Samsung J701 Galaxy J7 Neo, GH97-20904A, с тачскрином, Original, Blue</t>
  </si>
  <si>
    <t>Дисплей Samsung J701 Galaxy J7 Neo, GH97-20904A, с тачскрином, Original, Gold</t>
  </si>
  <si>
    <t>Дисплей Samsung J701 Galaxy J7 Neo, с тачскрином, OLED, Gold</t>
  </si>
  <si>
    <t>Дисплей Samsung J701 Galaxy J7 Neo, с тачскрином, OLED, White</t>
  </si>
  <si>
    <t>Дисплей Samsung J710F Galaxy J7, J710H Galaxy J7 2016, TFT (подсветка - original), с тачскрином, White</t>
  </si>
  <si>
    <t>Дисплей Samsung J730 Galaxy J7 2017, TFT (подсветка - original), с тачскрином, Gold</t>
  </si>
  <si>
    <t>Дисплей Samsung J730 Galaxy J7 2017, с тачскрином, INCELL, Blue</t>
  </si>
  <si>
    <t>Дисплей Samsung J730 Galaxy J7 2017, с тачскрином, OLED, Blue</t>
  </si>
  <si>
    <t>Дисплей Samsung J810 Galaxy J8 2018, GH97-22145A, (SERVICE PACK ORIGINAL)  с тачскрином Black</t>
  </si>
  <si>
    <t>Дисплей Samsung J810 Galaxy J8 2018, TFT (подсветка - original), с тачскрином, Gold</t>
  </si>
  <si>
    <t>Дисплей Samsung M025 Galaxy M02s, GH82-20118A (висота 163 мм), с тачскрином, Service Pack Original</t>
  </si>
  <si>
    <t>Дисплей Samsung M115 Galaxy M11 2020, GH81-18736A, с тачскрином, рамкой, Service Pack Original</t>
  </si>
  <si>
    <t>Дисплей Samsung M127 Galaxy M12, (rev. M127F v0.1), с тачскрином, с рамкой, Original PRC</t>
  </si>
  <si>
    <t>Дисплей Samsung M127 Galaxy M12, GH82-25042A, с тачскрином, с рамкой, Service Pack Original, Black</t>
  </si>
  <si>
    <t>Дисплей Samsung M127 Galaxy M12, GH82-55540A, с тачскрином, Service Pack Original, Black</t>
  </si>
  <si>
    <t>Дисплей Samsung M135 Galaxy M13, GH82-29132A, Rev. A13 LTE, с тачскрином, с рамкой, Service Pack Original, Black</t>
  </si>
  <si>
    <t>Дисплей Samsung M146 Galaxy M14 5G, GH97-78919A, (коннектор 48 pins), с тачскрином, Service Pack Original, Black</t>
  </si>
  <si>
    <t>Дисплей Samsung M146 Galaxy M14, GH82-29132A, (коннектор 40 pins), с тачскрином, Service Pack Original, Black</t>
  </si>
  <si>
    <t>Дисплей Samsung M205 Galaxy M20, GH82-18682A, с тачскрином, Service Pack Original, Black</t>
  </si>
  <si>
    <t>Дисплей Samsung M205 Galaxy M20, GH82-18682A, с тачскрином, с рамкой, Service Pack Original, Black</t>
  </si>
  <si>
    <t>Дисплей Samsung M205 Galaxy M20, с тачскрином, Original PRC, Black</t>
  </si>
  <si>
    <t>Дисплей Samsung M215 Galaxy M21, M305 Galaxy M30, M307 Galaxy M30s, M315 Galaxy M31, с тачскрином, INCELL, Black</t>
  </si>
  <si>
    <t>Дисплей Samsung M215 Galaxy M21, M305 Galaxy M30, M307 Galaxy M30s, M315 Galaxy M31, с тачскрином, OLED, Black</t>
  </si>
  <si>
    <t>Дисплей Samsung M225 Galaxy M22, GH82-26866A, с тачскрином, с рамкой, Service Pack Original</t>
  </si>
  <si>
    <t>Дисплей Samsung M225 Galaxy M22, с тачскрином, с рамкой, OLED, Black</t>
  </si>
  <si>
    <t>Дисплей Samsung M236 Galaxy M23, M336 Galaxy M33, GH82-28487A, с тачскрином, с рамкой, Service Pack Original</t>
  </si>
  <si>
    <t>Дисплей Samsung M236 Galaxy M23, SM-M236B, GH82-55543A, (rev. V04) с тачскрином, Service Pack Original</t>
  </si>
  <si>
    <t>Дисплей Samsung M307 Galaxy M30s, GH82-21265A, с тачскрином, с рамкой, Service Pack Original, Black</t>
  </si>
  <si>
    <t>Дисплей Samsung M315 Galaxy M31, GH82-22405A, с тачскрином, рамкой, Service Pack Original, Black</t>
  </si>
  <si>
    <t>Дисплей Samsung M317 Galaxy M31s, GH81-13736A, с тачскрином, рамкой, Service Pack Original, Black</t>
  </si>
  <si>
    <t>Дисплей Samsung M325 Galaxy M32, GH82-26193A, с тачскрином, с рамкой, Service Pack Original, Black</t>
  </si>
  <si>
    <t>Дисплей Samsung M325 Galaxy M32, с тачскрином, с рамкой, OLED, Black</t>
  </si>
  <si>
    <t>Дисплей Samsung M336 Galaxy M33, SM-M336B, GH82-55542A, с тачскрином, Service Pack Original</t>
  </si>
  <si>
    <t>Дисплей Samsung M515 Galaxy M51, GH82-23568A, с тачскрином, с рамкой, Service Pack Original, Black</t>
  </si>
  <si>
    <t>Дисплей Samsung M515 Galaxy M51, с тачскрином, INCELL, Black</t>
  </si>
  <si>
    <t>Дисплей Samsung M515 Galaxy M51, с тачскрином, OLED (Small LCD), Black</t>
  </si>
  <si>
    <t>Дисплей Samsung N7000, I9220 с тачскрином, с рамкой, White</t>
  </si>
  <si>
    <t>Дисплей Samsung N770 Galaxy Note 10 Lite, с тачскрином, рамкой,GH82-22192A, Service Pack Original, Black</t>
  </si>
  <si>
    <t>Дисплей Samsung N770 Galaxy Note 10 Lite, с тачскрином, рамкой,GH82-22192B Service Pack Original, Silver</t>
  </si>
  <si>
    <t>Дисплей Samsung N950 Galaxy Note 8, с тачскрином, рамкой, GH97-21065C, Service Pack Original, Silver</t>
  </si>
  <si>
    <t>Дисплей Samsung N950 Galaxy Note 8, с тачскрином, рамкой, Original PRC, Black</t>
  </si>
  <si>
    <t>Дисплей Samsung N950 Galaxy Note 8, с тачскрином, рамкой, Original PRC, Blue</t>
  </si>
  <si>
    <t>Дисплей Samsung N950 Galaxy Note 8, с тачскрином, рамкой, Original PRC, Gold</t>
  </si>
  <si>
    <t>Дисплей Samsung N950 Galaxy Note 8, с тачскрином, рамкой, Original PRC, Purple</t>
  </si>
  <si>
    <t>Дисплей Samsung N960 Galaxy Note 9, с тачскрином, рамкой, Original PRC, Black</t>
  </si>
  <si>
    <t>Дисплей Samsung N960 Galaxy Note 9, с тачскрином, рамкой, Original PRC, Blue</t>
  </si>
  <si>
    <t>Дисплей Samsung N960 Galaxy Note 9, с тачскрином, рамкой, Original PRC, Copper Gold</t>
  </si>
  <si>
    <t>Дисплей Samsung N960 Galaxy Note 9, с тачскрином, рамкой, Original PRC, Purple</t>
  </si>
  <si>
    <t>Дисплей Samsung N970 Galaxy Note 10, с тачскрином, рамкой, GH82-20818A, Service Pack Original, Aura Black</t>
  </si>
  <si>
    <t>Дисплей Samsung N970 Galaxy Note 10, с тачскрином, рамкой, GH82-20818B, Service Pack Original, Aura White</t>
  </si>
  <si>
    <t>Дисплей Samsung N970 Galaxy Note 10, с тачскрином, рамкой, GH82-20818C, Service Pack Original, Aura Silver</t>
  </si>
  <si>
    <t>Дисплей Samsung N970 Galaxy Note 10, с тачскрином, рамкой, Original PRC, Black</t>
  </si>
  <si>
    <t>Дисплей Samsung N970 Galaxy Note 10, с тачскрином, рамкой, Original PRC, Silver</t>
  </si>
  <si>
    <t>Дисплей Samsung N975 Galaxy Note 10 Plus, с тачскрином, рамкой, Original PRC, Black</t>
  </si>
  <si>
    <t>Дисплей Samsung N975 Galaxy Note 10 Plus, с тачскрином, рамкой, Original PRC, Silver</t>
  </si>
  <si>
    <t>Дисплей Samsung N980 Galaxy Note 20, N981 Galaxy Note 20 5G, с тачскрином, Original</t>
  </si>
  <si>
    <t>Дисплей Samsung N980 Galaxy Note 20, N981 Galaxy Note 20 5G, с тачскрином, рамкой, Original PRC, Grey</t>
  </si>
  <si>
    <t>Дисплей Samsung N980 Galaxy Note 20, с тачскрином, рамкой, GH82-23495A, Service Pack Original, Aura Grey</t>
  </si>
  <si>
    <t>Дисплей Samsung N985 Galaxy Note 20 Ultra, с тачскрином, рамкой, GH82-23622A, Service Pack Original, Aura Black</t>
  </si>
  <si>
    <t>Дисплей Samsung N985 Galaxy Note 20 Ultra, с тачскрином, рамкой, GH82-31461C, Service Pack Original, Aura White</t>
  </si>
  <si>
    <t>Дисплей Samsung N985 Galaxy Note 20 Ultra, с тачскрином, рамкой, Original, Black</t>
  </si>
  <si>
    <t>Дисплей Samsung N985 Galaxy Note 20 Ultra, с тачскрином, рамкой, Original, Bronze</t>
  </si>
  <si>
    <t>Дисплей Samsung S901 Galaxy S22, GH82-27520A, с тачскрином, с рамкой, Service Pack Original, Phantom Black</t>
  </si>
  <si>
    <t>Дисплей Samsung S901 Galaxy S22, GH82-27520D, с тачскрином, с рамкой, Service Pack Original, Pink Gold</t>
  </si>
  <si>
    <t>Дисплей Samsung S908 Galaxy S22 Ultra, GH82-27489A, с тачскрином, с рамкой, Service Pack Original, Phantom Black</t>
  </si>
  <si>
    <t>Дисплей Samsung S908 Galaxy S22 Ultra, GH82-27489B, с тачскрином, с рамкой, Service Pack Original, Burgundy</t>
  </si>
  <si>
    <t>Дисплей Samsung S908 Galaxy S22 Ultra, GH82-27489C, с тачскрином, с рамкой, Service Pack Original, White</t>
  </si>
  <si>
    <t>Дисплей Samsung S911 Galaxy S23, GH82-30480A, с тачскрином, с рамкой, Service Pack Original, Black</t>
  </si>
  <si>
    <t>Дисплей Samsung S911 Galaxy S23, GH82-30480B, с тачскрином, с рамкой, Service Pack Original, Beige</t>
  </si>
  <si>
    <t>Дисплей Samsung S911 Galaxy S23, GH82-30480C, с тачскрином, с рамкой, Service Pack Original, Creen</t>
  </si>
  <si>
    <t>Дисплей Samsung S911 Galaxy S23, GH82-30480D, с тачскрином, с рамкой, Service Pack Original, Light Pink</t>
  </si>
  <si>
    <t>Дисплей Samsung S916 Galaxy S23 Plus, GH82-30480A, с тачскрином, с рамкой, Service Pack Original, Black</t>
  </si>
  <si>
    <t>Дисплей Samsung S916 Galaxy S23 Plus, GH82-30480A, с тачскрином, с рамкой, Service Pack Original, Green</t>
  </si>
  <si>
    <t>Дисплей Samsung S916 Galaxy S23 Plus, GH82-30480A, с тачскрином, с рамкой, Service Pack Original, Pink</t>
  </si>
  <si>
    <t>Sigma</t>
  </si>
  <si>
    <t>Дисплей Sigma PQ24 X-Treme, с тачскрином, Original PRC, Black</t>
  </si>
  <si>
    <t>Дисплей Sigma PQ36 X-Treme, с тачскрином, Original PRC, Black</t>
  </si>
  <si>
    <t>Дисплей Sigma PQ38 X-Treme, с тачскрином, Original PRC, Black</t>
  </si>
  <si>
    <t>Дисплей Sony C6802 XL39h Xperia Z Ultra с тачскрином</t>
  </si>
  <si>
    <t>Дисплей Sony E6533 Xperia Z3+ DS, E6553 Xperia Z3+, Xperia Z4 с тачскрином, Black</t>
  </si>
  <si>
    <t>Дисплей Sony F3111 Xperia XA, F3112 Xperia XA Dual, F3113 Xperia XA, F3115 Xperia XA, F3116 Xperia XA Dual, с тачскрином, Black</t>
  </si>
  <si>
    <t>Дисплей Sony F3212 Xperia XA Ultra Dual, F3215 Xperia XA Ultra Dual, F3216 Xperia XA Ultra Dual, с тачскрином, Grey</t>
  </si>
  <si>
    <t>Дисплей Sony F5121 Xperia X, F5122 Xperia X Dual, F8131 Xperia X Performance, F8132 Xperia X Performance Dual, с тачскрином, Black</t>
  </si>
  <si>
    <t>Дисплей Sony F5121 Xperia X, F5122 Xperia X Dual, F8131 Xperia X Performance, F8132 Xperia X Performance Dual, с тачскрином, White</t>
  </si>
  <si>
    <t>Дисплей Sony F8331, F8332 Xperia XZ, с тачскрином, Original PRC, Black</t>
  </si>
  <si>
    <t>Дисплей Sony G3112 Xperia XA1 Dual, G3116 Xperia XA1, G3121 Xperia XA1, G3125 Xperia XA1, с тачскрином, Black</t>
  </si>
  <si>
    <t>Дисплей Sony G3212 Xperia XA1 Ultra Dual, G3221 Xperia XA1 Ultra, G3223 Xperia XA1 Ultra, G3226 Xperia XA1 Ultra Dual, с тачскрином, Original, Black</t>
  </si>
  <si>
    <t>Дисплей Sony G3311 Xperia L1, G3312 Xperia L1, G3313 Xperia L1, с тачскрином, с рамкою, High Quality, Black</t>
  </si>
  <si>
    <t>Дисплей Sony G3412 Xperia XA1 Plus Dual, с тачскрином, Original PRC, Black</t>
  </si>
  <si>
    <t>Дисплей Sony G8341 Xperia XZ1, G8342 Xperia XZ1 Dual, с тачскрином, Black</t>
  </si>
  <si>
    <t>Дисплей Sony H3113 Xperia XA2, H3123 Xperia XA2, H3133 Xperia XA2, H4113 Xperia XA2, H4133 Xperia XA2, с тачскрином, Black</t>
  </si>
  <si>
    <t>Дисплей Sony H3113 Xperia XA2, H3123 Xperia XA2, H3133 Xperia XA2, H4113 Xperia XA2, H4133 Xperia XA2, с тачскрином, с рамкой, Black</t>
  </si>
  <si>
    <t>Дисплей Sony H8266 Xperia XZ2, с тачскрином, Original, Black</t>
  </si>
  <si>
    <t>Дисплей Sony i3113 Xperia 10, I3123 Xperia 10, L4113 Xperia 10, L4193 Xperia 10, с тачскрином, Original PRC, Black</t>
  </si>
  <si>
    <t>Дисплей Sony i3312 Xperia L3, с тачскрином, Black</t>
  </si>
  <si>
    <t>Дисплей Sony L3213 Xperia 10 Plus, L4213 Xperia 10 Plus, с тачскрином, Black</t>
  </si>
  <si>
    <t>Дисплей Tecno Camon 12 (CC7), Spark 4 (KC8), с тачскрином, Original, Black</t>
  </si>
  <si>
    <t>Дисплей Tecno Camon 12 Air (CC6), с тачскрином, Original, Black</t>
  </si>
  <si>
    <t>Дисплей Tecno Camon 15, Camon 15 Air, Spark 5, Spark 5 Pro (KD7), с тачскрином, Original, Black</t>
  </si>
  <si>
    <t>Дисплей Tecno Camon 17 Pro (CG8), с тачскрином, Original, Black</t>
  </si>
  <si>
    <t>Дисплей Tecno Camon 17P (CG7n), с тачскрином, Original, Black</t>
  </si>
  <si>
    <t>Дисплей Tecno Camon 18 (CH6), Camon 18P (CH7n), Camon 18T, с тачскрином, Original, Black</t>
  </si>
  <si>
    <t>Дисплей Tecno Camon 19 (Ci6N), с тачскрином, Original, Black</t>
  </si>
  <si>
    <t>Дисплей Tecno Pop 4 (BC2), с тачскрином, Original, Black</t>
  </si>
  <si>
    <t>Дисплей Tecno Pova 2 (LE7n), с тачскрином, Original, Black</t>
  </si>
  <si>
    <t>Дисплей Tecno Pova 4 (LG7n), Pova Neo 2 (LG6n), с тачскрином, Original, Black</t>
  </si>
  <si>
    <t>Дисплей Tecno Spark 10 Pro (KL7), с тачскрином, Original, Black</t>
  </si>
  <si>
    <t>Дисплей Tecno Spark 6 (KE7), Camon 16 SE (CE7j), с тачскрином, Original PRC, Black</t>
  </si>
  <si>
    <t>Дисплей Tecno Spark 6 Go (KE5), с тачскрином, High Quality, Black</t>
  </si>
  <si>
    <t>Дисплей Tecno Spark 6 Go (KE5), с тачскрином, Original PRC, Black</t>
  </si>
  <si>
    <t>Дисплей Tecno Spark 7 (KF6n), с тачскрином, High Quality, Black</t>
  </si>
  <si>
    <t>Дисплей Tecno Spark 7 (KF6n), с тачскрином, Original, Black</t>
  </si>
  <si>
    <t>Дисплей Tecno Spark 7 Pro (KF8), Camon 17 (CG6), с тачскрином, Original, Black</t>
  </si>
  <si>
    <t>Дисплей Tecno Spark 8C, (KG5n, KG5k, KG5j), с тачскрином, Original, Black</t>
  </si>
  <si>
    <t>Дисплей Tecno Spark 8P (KG7n), с тачскрином, Original, Black</t>
  </si>
  <si>
    <t>Дисплей Tecno Spark 9 Pro (KH7n), с тачскрином, Original, Black</t>
  </si>
  <si>
    <t>Дисплей Tecno Spark Go 2022 (KG5m), с тачскрином, Original PRC, Black</t>
  </si>
  <si>
    <t>Дисплей Tecno Spark Go 2023 (BF7), Pop 7 (BF6), Spark 10 (Ki5q), с тачскрином, Original, Black</t>
  </si>
  <si>
    <t>Ulefone</t>
  </si>
  <si>
    <t>Дисплей Ulefone Armor 12, с тачскрином, Original, Black</t>
  </si>
  <si>
    <t>Дисплей Ulefone Armor 7, Armor 7E, с тачскрином, Original, Black</t>
  </si>
  <si>
    <t>Umidigi</t>
  </si>
  <si>
    <t>Дисплей Umidigi A11 Pro Max, с тачскрином, Original, Black</t>
  </si>
  <si>
    <t>Дисплей Umidigi A11, A9, Power 5, Power 5S, с тачскрином, Original, Black</t>
  </si>
  <si>
    <t>Дисплей Umidigi A9 Pro, с тачскрином, Original, Black</t>
  </si>
  <si>
    <t>Дисплей Umidigi Bison, с тачскрином, Original, Black</t>
  </si>
  <si>
    <t>Дисплей Umidigi X10G, X10S, с тачскрином, Original, Black</t>
  </si>
  <si>
    <t>Дисплей Vivo V20 SE, V21E (V2061), с тачскрином, OLED, Black</t>
  </si>
  <si>
    <t>Дисплей Vivo V20 SE, V21E (V2061), с тачскрином, TFT, Black</t>
  </si>
  <si>
    <t>Дисплей Vivo V20, с тачскрином, Incell (TFT), Black</t>
  </si>
  <si>
    <t>Дисплей Vivo V20, с тачскрином, OLED, Black</t>
  </si>
  <si>
    <t>Дисплей Vivo V21 (V2050, V2066, V2108), с тачскрином, Incell (TFT), Black</t>
  </si>
  <si>
    <t>Дисплей Vivo V21 (V2050, V2066, V2108), с тачскрином, OLED, Black</t>
  </si>
  <si>
    <t>Дисплей Vivo Y02, с тачскрином, High Quality, Black</t>
  </si>
  <si>
    <t>Дисплей Vivo Y02s, Y16, Y33s, Y55s, Y74s, Y76s, с тачскрином, Original PRC, Black</t>
  </si>
  <si>
    <t>Дисплей Vivo Y11 (2019), Y12 (2019), Y17 (2019), с тачскрином, Original PRC, Black</t>
  </si>
  <si>
    <t>Дисплей Vivo Y15A, Y15C, Y15S, с тачскрином, Original PRC, Black</t>
  </si>
  <si>
    <t>Дисплей Vivo Y19, с тачскрином, Original PRC, Black</t>
  </si>
  <si>
    <t>Дисплей Vivo Y20, Y20i, Y20s, Y01, с тачскрином, Original PRC, Black</t>
  </si>
  <si>
    <t>Дисплей Vivo Y21 (V2111), Y21s (V2110), с тачскрином, Original PRC, Black</t>
  </si>
  <si>
    <t>Дисплей Vivo Y31 (V2036), Y31s (V2054A), с тачскрином, Original PRC, Black</t>
  </si>
  <si>
    <t>Дисплей Vivo Y33s, с тачскрином, High Quality, Black</t>
  </si>
  <si>
    <t>Дисплей Vivo Y53s (V2111A, V2058), с тачскрином, Original PRC, Black</t>
  </si>
  <si>
    <t>Дисплей Vivo Y91, Y91c, Y91i, Y93, Y95, с тачскрином, Original PRC, Black</t>
  </si>
  <si>
    <t>Дисплей Vivo Y97, Z3, Z3i, V11, V11 Pro, V11i, с тачскрином, Original PRC, Black</t>
  </si>
  <si>
    <t>Дисплей Xiaomi 11 Lite, Mi 11 Lite 5G, с тачскрином, OLED, Black</t>
  </si>
  <si>
    <t>Дисплей Xiaomi 11 Lite, Mi 11 Lite 5G, с тачскрином, Original, Black</t>
  </si>
  <si>
    <t>Дисплей Xiaomi 11T, 11T Pro, с тачскрином, Incell TFT</t>
  </si>
  <si>
    <t>Дисплей Xiaomi 11T, 11T Pro, с тачскрином, Original</t>
  </si>
  <si>
    <t>Дисплей Xiaomi 12 (2201123G, 2201123C), 12x (2112123AC, 2112123AG), 12s, с тачскрином, Original</t>
  </si>
  <si>
    <t>Дисплей Xiaomi 12 Lite, с тачскрином, Original</t>
  </si>
  <si>
    <t>Дисплей Xiaomi 12T, 12T Pro, с тачскрином, Original</t>
  </si>
  <si>
    <t>Дисплей Xiaomi 13 (2211133C, 2211133G), с тачскрином, Original</t>
  </si>
  <si>
    <t>Дисплей Xiaomi 13 Lite, с тачскрином, Original</t>
  </si>
  <si>
    <t>Дисплей Xiaomi 13T, 13T Pro, с тачскрином, Original</t>
  </si>
  <si>
    <t>Дисплей Xiaomi Mi 10 Lite, с тачскрином, Original, Black</t>
  </si>
  <si>
    <t>Дисплей Xiaomi Mi 10 Lite, с тачскрином, TFT, Black</t>
  </si>
  <si>
    <t>Дисплей Xiaomi Mi 10, Mi 10 Pro, (версия Huaxing C), с тачскрином, Original PRC</t>
  </si>
  <si>
    <t>Дисплей Xiaomi Mi 10, Mi 10 Pro, (версия Samsung S), с тачскрином, Original PRC</t>
  </si>
  <si>
    <t>Дисплей Xiaomi Mi 10T Lite, Poco X3, Poco X3 Pro, с тачскрином, High Quality, Black</t>
  </si>
  <si>
    <t>Дисплей Xiaomi Mi 10T Lite, Poco X3, Poco X3 Pro, с тачскрином, Original PRC, Black</t>
  </si>
  <si>
    <t>Дисплей Xiaomi Mi 10T Lite, Poco X3, Poco X3 Pro, с тачскрином, Service Pack Original</t>
  </si>
  <si>
    <t>Дисплей Xiaomi Mi 10T, Mi 10T Pro, с тачскрином, Original PRC, Black</t>
  </si>
  <si>
    <t>Дисплей Xiaomi Mi 10T, Mi 10T Pro, с тачскрином, Service Pack Original</t>
  </si>
  <si>
    <t>Дисплей Xiaomi Mi 11 Pro, Mi 11 Ultra, с тачскрином, Original, Black</t>
  </si>
  <si>
    <t>Дисплей Xiaomi Mi 11, с тачскрином, Original, Black</t>
  </si>
  <si>
    <t>Дисплей Xiaomi Mi 11i, Mi 11x, Black Shark 4, Poco F3, Poco F4, Redmi K40, с тачскрином, Incell TFT, Black</t>
  </si>
  <si>
    <t>Дисплей Xiaomi Mi 11i, Mi 11x, Black Shark 4, Poco F3, Poco F4, Redmi K40, с тачскрином, OLED (Big LCD), Black</t>
  </si>
  <si>
    <t>Дисплей Xiaomi Mi 11i, Mi 11x, Black Shark 4, Poco F3, Poco F4, Redmi K40, с тачскрином, OLED (Small LCD), Black</t>
  </si>
  <si>
    <t>Дисплей Xiaomi Mi 11i, Mi 11x, Black Shark 4, Poco F3, Poco F4, Redmi K40, с тачскрином, Original, Black</t>
  </si>
  <si>
    <t>Дисплей Xiaomi Mi 8 Lite, с тачскрином, Original PRC, Black</t>
  </si>
  <si>
    <t>Дисплей Xiaomi Mi 8 Lite, с тачскрином, Original PRC, White</t>
  </si>
  <si>
    <t>Дисплей Xiaomi Mi 8 Pro, с тачскрином, Original PRC, Black</t>
  </si>
  <si>
    <t>Дисплей Xiaomi Mi 8 SE, с тачскрином, OLED (Small LCD), Black</t>
  </si>
  <si>
    <t>Дисплей Xiaomi Mi 8 SE, с тачскрином, Original, Black</t>
  </si>
  <si>
    <t>Дисплей Xiaomi Mi 8, с тачскрином, Incell TFT, Black</t>
  </si>
  <si>
    <t>Дисплей Xiaomi Mi 8, с тачскрином, OLED, Black</t>
  </si>
  <si>
    <t>Дисплей Xiaomi Mi 8, с тачскрином, Original, Black</t>
  </si>
  <si>
    <t>Дисплей Xiaomi Mi 9 Lite, Mi CC9, с тачскрином, Incell TFT, Black</t>
  </si>
  <si>
    <t>Дисплей Xiaomi Mi 9 Lite, Mi CC9, с тачскрином, OLED, Black</t>
  </si>
  <si>
    <t>Дисплей Xiaomi Mi 9 Lite, Mi CC9, с тачскрином, Original, Black</t>
  </si>
  <si>
    <t>Дисплей Xiaomi Mi 9 SE, с тачскрином, OLED, Black</t>
  </si>
  <si>
    <t>Дисплей Xiaomi Mi 9 SE, с тачскрином, Original, Black</t>
  </si>
  <si>
    <t>Дисплей Xiaomi Mi 9, с тачскрином, OLED, Black</t>
  </si>
  <si>
    <t>Дисплей Xiaomi Mi 9, с тачскрином, Original, Black</t>
  </si>
  <si>
    <t>Дисплей Xiaomi Mi 9, с тачскрином, TFT, Black</t>
  </si>
  <si>
    <t>Дисплей Xiaomi Mi 9T, Mi 9T Pro, Redmi K20, Redmi K20 Pro, с тачскрином, Incell TFT, Black</t>
  </si>
  <si>
    <t>Дисплей Xiaomi Mi 9T, Mi 9T Pro, Redmi K20, Redmi K20 Pro, с тачскрином, OLED, Black</t>
  </si>
  <si>
    <t>Дисплей Xiaomi Mi 9T, Mi 9T Pro, Redmi K20, Redmi K20 Pro, с тачскрином, Original PRC, Black</t>
  </si>
  <si>
    <t>Дисплей Xiaomi Mi 9T, Redmi K20, с тачскрином, с рамкой, OLED, Black</t>
  </si>
  <si>
    <t>Дисплей Xiaomi Mi A1, Mi5x, с тачскрином, High Quality, Black</t>
  </si>
  <si>
    <t>Дисплей Xiaomi Mi A1, Mi5x, с тачскрином, High Quality, White</t>
  </si>
  <si>
    <t>Дисплей Xiaomi Mi A2 Lite, Redmi 6 Pro, с тачскрином, Original PRC, Black</t>
  </si>
  <si>
    <t>Дисплей Xiaomi Mi A2 Lite, Redmi 6 Pro, с тачскрином, Original PRC, White</t>
  </si>
  <si>
    <t>Дисплей Xiaomi Mi A2, Redmi 6x, с тачскрином, Original PRC, Black</t>
  </si>
  <si>
    <t>Дисплей Xiaomi Mi A2, Redmi 6x, с тачскрином, Original PRC, White</t>
  </si>
  <si>
    <t>Дисплей Xiaomi Mi A3, с тачскрином, OLED, Black</t>
  </si>
  <si>
    <t>Дисплей Xiaomi Mi Max 2, с тачскрином, Black</t>
  </si>
  <si>
    <t>Дисплей Xiaomi Mi Max 2, с тачскрином, White</t>
  </si>
  <si>
    <t>Дисплей Xiaomi Mi Max 3, с тачскрином, Original PRC, Black</t>
  </si>
  <si>
    <t>Дисплей Xiaomi Mi Max 3, с тачскрином, Original PRC, White</t>
  </si>
  <si>
    <t>Дисплей Xiaomi Mi Max, с тачскрином, Black</t>
  </si>
  <si>
    <t>Дисплей Xiaomi Mi Max, с тачскрином, White</t>
  </si>
  <si>
    <t>Дисплей Xiaomi Mi Mix 2, с тачскрином, Black</t>
  </si>
  <si>
    <t>Дисплей Xiaomi Mi Mix 3, с тачскрином, OLED, Black</t>
  </si>
  <si>
    <t>Дисплей Xiaomi Mi Mix 3, с тачскрином, Original, Black</t>
  </si>
  <si>
    <t>Дисплей Xiaomi Mi Mix, с тачскрином, Black</t>
  </si>
  <si>
    <t>Дисплей Xiaomi Mi Note 10, Mi Note 10 Lite, Mi Note 10 Pro, с тачскрином, Original PRC, Black</t>
  </si>
  <si>
    <t>Дисплей Xiaomi Mi Play, с тачскрином, Original PRC, Black</t>
  </si>
  <si>
    <t>Дисплей Xiaomi Poco F2 Pro, Redmi K30 Pro, Redmi K30 Ultra, с тачскрином, INCELL, Black</t>
  </si>
  <si>
    <t>Дисплей Xiaomi Poco F2 Pro, Redmi K30 Pro, Redmi K30 Ultra, с тачскрином, Original, Black</t>
  </si>
  <si>
    <t>Дисплей Xiaomi Poco F2, Redmi K30, Poco X2 Pro, с тачскрином, Original, Black</t>
  </si>
  <si>
    <t>Дисплей Xiaomi Poco F5 Pro, с тачскрином, Original, Black</t>
  </si>
  <si>
    <t>Дисплей Xiaomi Poco F5, с тачскрином, Original, Black</t>
  </si>
  <si>
    <t>Дисплей Xiaomi Pocophone F1, с тачскрином, Original PRC, Black</t>
  </si>
  <si>
    <t>Дисплей Xiaomi Redmi 10, Redmi 10 2022, Redmi Note 11 4G, с тачскрином, High Quality, Black</t>
  </si>
  <si>
    <t>Дисплей Xiaomi Redmi 10, Redmi 10 2022, Redmi Note 11 4G, с тачскрином, Original PRC, Black</t>
  </si>
  <si>
    <t>Дисплей Xiaomi Redmi 10, Redmi 10 2022, Redmi Note 11 4G, с тачскрином, Service Pack Original</t>
  </si>
  <si>
    <t>Дисплей Xiaomi Redmi 10, с тачскрином, с рамкой, Original PRC, Black</t>
  </si>
  <si>
    <t>Дисплей Xiaomi Redmi 10C, Redmi 10 Power, Poco C40, с тачскрином, Original PRC, Black</t>
  </si>
  <si>
    <t>Дисплей Xiaomi Redmi 10C, Redmi 10 Power, Poco C40, с тачскрином, Service Pack Original</t>
  </si>
  <si>
    <t>Дисплей Xiaomi Redmi 10C, с тачскрином, с рамкой, Original PRC, Black</t>
  </si>
  <si>
    <t>Дисплей Xiaomi Redmi 12, с тачскрином, Original PRC, Black</t>
  </si>
  <si>
    <t>Дисплей Xiaomi Redmi 12, с тачскрином, Service Pack Original</t>
  </si>
  <si>
    <t>Дисплей Xiaomi Redmi 12, с тачскрином, с рамкой, Original PRC, Black</t>
  </si>
  <si>
    <t>Дисплей Xiaomi Redmi 12C, с тачскрином, Original PRC, Black</t>
  </si>
  <si>
    <t>Дисплей Xiaomi Redmi 12C, с тачскрином, Service Pack Original</t>
  </si>
  <si>
    <t>Дисплей Xiaomi Redmi 12C, с тачскрином, с рамкой, Original PRC, Black</t>
  </si>
  <si>
    <t>Дисплей Xiaomi Redmi 13C 4G, Redmi 13C 5G, Poco C65, с тачскрином, Original PRC</t>
  </si>
  <si>
    <t>Дисплей Xiaomi Redmi 5 Plus, с тачскрином, High Quality, Black</t>
  </si>
  <si>
    <t>Дисплей Xiaomi Redmi 5 Plus, с тачскрином, High Quality, White</t>
  </si>
  <si>
    <t>Дисплей Xiaomi Redmi 5 Plus, с тачскрином, Original PRC, White</t>
  </si>
  <si>
    <t>Дисплей Xiaomi Redmi 5, с тачскрином, Original PRC, Black</t>
  </si>
  <si>
    <t>Дисплей Xiaomi Redmi 5a, Redmi Go, с тачскрином, Black</t>
  </si>
  <si>
    <t>Дисплей Xiaomi Redmi 6, Redmi 6A, с тачскрином, High Quality, Black</t>
  </si>
  <si>
    <t>Дисплей Xiaomi Redmi 6, Redmi 6A, с тачскрином, High Quality, White</t>
  </si>
  <si>
    <t>Дисплей Xiaomi Redmi 7, с тачскрином, Original PRC, Black</t>
  </si>
  <si>
    <t>Дисплей Xiaomi Redmi 7A, с тачскрином, High Quality, Black</t>
  </si>
  <si>
    <t>Дисплей Xiaomi Redmi 8, Redmi 8A, с тачскрином, Original PRC, Black</t>
  </si>
  <si>
    <t>Дисплей Xiaomi Redmi 8, Redmi 8A, с тачскрином, Service Pack Original</t>
  </si>
  <si>
    <t>Дисплей Xiaomi Redmi 8, Redmi 8A, с тачскрином, с рамкой, High Quality (без датчика), Black</t>
  </si>
  <si>
    <t>Дисплей Xiaomi Redmi 9, Redmi 9 Prime, Poco M2, с тачскрином, High Quality, Black</t>
  </si>
  <si>
    <t>Дисплей Xiaomi Redmi 9, Redmi 9 Prime, Poco M2, с тачскрином, Original PRC, Black</t>
  </si>
  <si>
    <t>Дисплей Xiaomi Redmi 9, Redmi 9 Prime, Poco M2, с тачскрином, Service Pack Original</t>
  </si>
  <si>
    <t>Дисплей Xiaomi Redmi 9, Redmi 9 Prime, Poco M2, с тачскрином, с рамкой, Original PRC, Black</t>
  </si>
  <si>
    <t>Дисплей Xiaomi Redmi 9A, Redmi 9C, Redmi 10A, Poco C3, с тачскрином, High Quality, Black</t>
  </si>
  <si>
    <t>Дисплей Xiaomi Redmi 9A, Redmi 9C, Redmi 10A, Poco C3, с тачскрином, Original PRC, Black</t>
  </si>
  <si>
    <t>Дисплей Xiaomi Redmi 9A, Redmi 9C, Redmi 10A, Poco C3, с тачскрином, Service Pack Original</t>
  </si>
  <si>
    <t>Дисплей Xiaomi Redmi 9A, Redmi 9C, Redmi 10A, Poco C3, с тачскрином, с рамкой, Original PRC, Black</t>
  </si>
  <si>
    <t>Дисплей Xiaomi Redmi 9T, Redmi 9 Power, Poco M3, с тачскрином, High Quality</t>
  </si>
  <si>
    <t>Дисплей Xiaomi Redmi 9T, Redmi 9 Power, Poco M3, с тачскрином, Original PRC</t>
  </si>
  <si>
    <t>Дисплей Xiaomi Redmi 9T, Redmi 9 Power, Poco M3, с тачскрином, Service Pack Original</t>
  </si>
  <si>
    <t>Дисплей Xiaomi Redmi 9T, Redmi 9 Power, Poco M3, с тачскрином, с рамкой, Original PRC</t>
  </si>
  <si>
    <t>Дисплей Xiaomi Redmi A1, Redmi A1 Plus, Redmi A2; Poco C50, с тачскрином, Original PRC, Black</t>
  </si>
  <si>
    <t>Дисплей Xiaomi Redmi A1, Redmi A1 Plus, с тачскрином, Service Pack Original</t>
  </si>
  <si>
    <t>Дисплей Xiaomi Redmi A1, Redmi A1 Plus, с тачскрином, с рамкой, Original PRC, Black</t>
  </si>
  <si>
    <t>Дисплей Xiaomi Redmi Note 10 5G, Poco M3 Pro, Poco M3 Pro 5G, с тачскрином, Original PRC</t>
  </si>
  <si>
    <t>Дисплей Xiaomi Redmi Note 10 5G, Poco M3 Pro, Poco M3 Pro 5G, с тачскрином, Service Pack Original</t>
  </si>
  <si>
    <t>Дисплей Xiaomi Redmi Note 10 5G, Poco M3 Pro, Poco M3 Pro 5G, с тачскрином, с рамкой, Original PRC</t>
  </si>
  <si>
    <t>Дисплей Xiaomi Redmi Note 10 Pro 4G, с тачскрином, OLED, Black</t>
  </si>
  <si>
    <t>Дисплей Xiaomi Redmi Note 10 Pro 4G, с тачскрином, Original, Black</t>
  </si>
  <si>
    <t>Дисплей Xiaomi Redmi Note 10 Pro 5G, с тачскрином, Original PRC</t>
  </si>
  <si>
    <t>Дисплей Xiaomi Redmi Note 10 Pro, с тачскрином, Incell TFT, Black</t>
  </si>
  <si>
    <t>Дисплей Xiaomi Redmi Note 10 Pro, с тачскрином, с рамкой, OLED, Black</t>
  </si>
  <si>
    <t>Дисплей Xiaomi Redmi Note 10, Redmi Note 10S, с тачскрином, Incell TFT</t>
  </si>
  <si>
    <t>Дисплей Xiaomi Redmi Note 10, Redmi Note 10S, с тачскрином, OLED</t>
  </si>
  <si>
    <t>Дисплей Xiaomi Redmi Note 10, Redmi Note 10S, с тачскрином, Original</t>
  </si>
  <si>
    <t>Дисплей Xiaomi Redmi Note 10, Redmi Note 10s, с тачскрином, с рамкой, OLED, Black</t>
  </si>
  <si>
    <t>Дисплей Xiaomi Redmi Note 11 (Global version), Redmi Note 11s, Poco M4 Pro, с тачскрином, Incell TFT</t>
  </si>
  <si>
    <t>Дисплей Xiaomi Redmi Note 11 (Global version), Redmi Note 11S, Redmi Note 12S, Poco M4 Pro, с тачскрином, OLED</t>
  </si>
  <si>
    <t>Дисплей Xiaomi Redmi Note 11 (Global version), Redmi Note 11S, Redmi Note 12S, Poco M4 Pro, с тачскрином, Original</t>
  </si>
  <si>
    <t>Дисплей Xiaomi Redmi Note 11 4G, с тачскрином, Original PRC</t>
  </si>
  <si>
    <t>Дисплей Xiaomi Redmi Note 11 5G, Redmi Note 11T 5G, Redmi Note 11S 5G, Poco M4 Pro 5G, с тачскрином, Original PRC, Black</t>
  </si>
  <si>
    <t>Дисплей Xiaomi Redmi Note 11 5G, Redmi Note 11T 5G, Redmi Note 11S 5G, Poco M4 Pro 5G, с тачскрином, Service Pack Original</t>
  </si>
  <si>
    <t>Дисплей Xiaomi Redmi Note 11 Pro, Redmi Note 11 Pro 5G, Poco X4 Pro 5G, с тачскрином, OLED</t>
  </si>
  <si>
    <t>Дисплей Xiaomi Redmi Note 11 Pro, Redmi Note 11 Pro 5G, Poco X4 Pro 5G, с тачскрином, Original</t>
  </si>
  <si>
    <t>Дисплей Xiaomi Redmi Note 11, с тачскрином, с рамкой, OLED, Black</t>
  </si>
  <si>
    <t>Дисплей Xiaomi Redmi Note 11E, Redmi 10 5G, Poco M4 5G, Poco M5, с тачскрином, Original PRC</t>
  </si>
  <si>
    <t>Дисплей Xiaomi Redmi Note 11E, Redmi 10 5G, Poco M4 5G, Poco M5, с тачскрином, Service Pack Original</t>
  </si>
  <si>
    <t>Дисплей Xiaomi Redmi Note 11E, Redmi 10 5G, Poco M4 5G, Poco M5, с тачскрином, с рамкой, Original PRC, Black</t>
  </si>
  <si>
    <t>Дисплей Xiaomi Redmi Note 11s, с тачскрином, с рамкой, OLED, Black</t>
  </si>
  <si>
    <t>Дисплей Xiaomi Redmi Note 12 Pro 5G, Redmi Note 12 Pro Plus, Poco X5 Pro 5G, с тачскрином, Original</t>
  </si>
  <si>
    <t>Дисплей Xiaomi Redmi Note 12, Poco X5, с тачскрином, OLED, Black</t>
  </si>
  <si>
    <t>Дисплей Xiaomi Redmi Note 12, Poco X5, с тачскрином, Original, Black</t>
  </si>
  <si>
    <t>Дисплей Xiaomi Redmi Note 12s, с тачскрином, с рамкой, OLED, Black</t>
  </si>
  <si>
    <t>Дисплей Xiaomi Redmi Note 13 4G, с тачскрином, OLED, Black</t>
  </si>
  <si>
    <t>Дисплей Xiaomi Redmi Note 13 Pro 5G, Poco X6, с тачскрином, Original</t>
  </si>
  <si>
    <t>Дисплей Xiaomi Redmi Note 13 Pro Plus, с тачскрином, Original</t>
  </si>
  <si>
    <t>Дисплей Xiaomi Redmi Note 4x, с тачскрином, High Quality, Black</t>
  </si>
  <si>
    <t>Дисплей Xiaomi Redmi Note 4x, с тачскрином, High Quality, Gold</t>
  </si>
  <si>
    <t>Дисплей Xiaomi Redmi Note 4x, с тачскрином, High Quality, White</t>
  </si>
  <si>
    <t>Дисплей Xiaomi Redmi Note 5, Redmi Note 5 Pro, с тачскрином, Original PRC, Black</t>
  </si>
  <si>
    <t>Дисплей Xiaomi Redmi Note 6 Pro, с тачскрином, Original PRC, Black</t>
  </si>
  <si>
    <t>Дисплей Xiaomi Redmi Note 7, Redmi Note 7 Pro, с рамкой, Original PRC, Black</t>
  </si>
  <si>
    <t>Дисплей Xiaomi Redmi Note 7, Redmi Note 7 Pro, с тачскрином, High Quality, Black</t>
  </si>
  <si>
    <t>Дисплей Xiaomi Redmi Note 7, Redmi Note 7 Pro, с тачскрином, Original PRC, Black</t>
  </si>
  <si>
    <t>Дисплей Xiaomi Redmi Note 7, с тачскрином, Service Pack Original</t>
  </si>
  <si>
    <t>Дисплей Xiaomi Redmi Note 8 Pro, с тачскрином, High Quality, Black</t>
  </si>
  <si>
    <t>Дисплей Xiaomi Redmi Note 8 Pro, с тачскрином, Original PRC, Black</t>
  </si>
  <si>
    <t>Дисплей Xiaomi Redmi Note 8 Pro, с тачскрином, Service Pack Original</t>
  </si>
  <si>
    <t>Дисплей Xiaomi Redmi Note 8 Pro, с тачскрином, с рамкой, High Quality, Black</t>
  </si>
  <si>
    <t>Дисплей Xiaomi Redmi Note 8 Pro, с тачскрином, с рамкой, Original PRC, Black</t>
  </si>
  <si>
    <t>Дисплей Xiaomi Redmi Note 8, с тачскрином, High Quality, Black</t>
  </si>
  <si>
    <t>Дисплей Xiaomi Redmi Note 8, с тачскрином, Original PRC, Black</t>
  </si>
  <si>
    <t>Дисплей Xiaomi Redmi Note 8, с тачскрином, Service Pack Original</t>
  </si>
  <si>
    <t>Дисплей Xiaomi Redmi Note 8, с тачскрином, с рамкой, Original PRC, Black</t>
  </si>
  <si>
    <t>Дисплей Xiaomi Redmi Note 8T, с тачскрином, High Quality, Black</t>
  </si>
  <si>
    <t>Дисплей Xiaomi Redmi Note 8T, с тачскрином, Original PRC, Black</t>
  </si>
  <si>
    <t>Дисплей Xiaomi Redmi Note 8T, с тачскрином, Service Pack Original</t>
  </si>
  <si>
    <t>Дисплей Xiaomi Redmi Note 9 Pro, Redmi Note 9S, с тачскрином, High Quality, Black</t>
  </si>
  <si>
    <t>Дисплей Xiaomi Redmi Note 9 Pro, Redmi Note 9S, с тачскрином, Original PRC, Black</t>
  </si>
  <si>
    <t>Дисплей Xiaomi Redmi Note 9 Pro, Redmi Note 9S, с тачскрином, Service Pack Original</t>
  </si>
  <si>
    <t>Дисплей Xiaomi Redmi Note 9 Pro, Redmi Note 9S, с тачскрином, с рамкой, Original PRC, Interstellar Grey</t>
  </si>
  <si>
    <t>Дисплей Xiaomi Redmi Note 9, Redmi 10X 4G, с тачскрином, High Quality, Black</t>
  </si>
  <si>
    <t>Дисплей Xiaomi Redmi Note 9, Redmi 10X 4G, с тачскрином, Original PRC, Black</t>
  </si>
  <si>
    <t>Дисплей Xiaomi Redmi Note 9, Redmi 10X 4G, с тачскрином, Service Pack Original</t>
  </si>
  <si>
    <t>Дисплей Xiaomi Redmi Note 9, Redmi 10X 4G, с тачскрином, с рамкой, Original PRC, Black</t>
  </si>
  <si>
    <t>Дисплей Xiaomi Redmi Note 9T, с тачскрином, Original PRC, Black</t>
  </si>
  <si>
    <t>Дисплей Xiaomi Redmi Note, с тачскрином, Black</t>
  </si>
  <si>
    <t>Дисплей Xiaomi Redmi Pro, с тачскрином, Original PRC, Black</t>
  </si>
  <si>
    <t>Дисплей Xiaomi Redmi S2, с тачскрином, Black</t>
  </si>
  <si>
    <t>Дисплей ZTE A452 Blade X3, с тачскрином, White</t>
  </si>
  <si>
    <t>Дисплей ZTE Blade 20 Smart V1050 (версия 1), с тачскрином, Original PRC, Black</t>
  </si>
  <si>
    <t>Дисплей ZTE Blade 20 Smart V2050 (версия 2), с тачскрином, Original PRC, Black</t>
  </si>
  <si>
    <t>Дисплей ZTE Blade A31 Lite, с тачскрином, High Quality, Black</t>
  </si>
  <si>
    <t>Дисплей ZTE Blade A31 Plus (2021), с тачскрином, High Quality, Black</t>
  </si>
  <si>
    <t>Дисплей ZTE Blade A5 2020, A7S 2019, A7 2019, A7 2020, p/n: SKI608-B09 V0.1, с тачскрином, Original PRC, Black</t>
  </si>
  <si>
    <t>Дисплей ZTE Blade A5 2020, A7S 2019, A7 2019, A7 2020, p/n: SKI608-B22 V0.1, с тачскрином, Original PRC, Black</t>
  </si>
  <si>
    <t>Дисплей ZTE Blade A5 2020, A7S 2019, A7 Prime, A7 2019, A7 2020, A7 Vita, p/n: LLFBH06116370, с тачскрином, Original PRC, Black</t>
  </si>
  <si>
    <t>Дисплей ZTE Blade A601, с тачскрином, White</t>
  </si>
  <si>
    <t>Дисплей ZTE Blade A610 Plus, с тачскрином, Black</t>
  </si>
  <si>
    <t>Дисплей ZTE Blade A72 (4G), Blade V40 Vita, с тачскрином, Original PRC, Black</t>
  </si>
  <si>
    <t>Дисплей ZTE Blade A7s 2020, p/n: FPC-T65PTS02CVOF, с тачскрином, Original PRC, Black</t>
  </si>
  <si>
    <t>Дисплей ZTE Blade A7s 2020, p/n: SKI649-B08 V0.1, с тачскрином, Original PRC, Black</t>
  </si>
  <si>
    <t>Дисплей ZTE Blade V2020 Smart 5G, с тачскрином, Original PRC, Black</t>
  </si>
  <si>
    <t>Дисплей ZTE Blade V40 Design (8046), с тачскрином, Original PRC, Black</t>
  </si>
  <si>
    <t>Камеры для телефонов</t>
  </si>
  <si>
    <t>Камера Apple iPhone 3Gs</t>
  </si>
  <si>
    <t>Камера Apple iPhone 5 основная, Original</t>
  </si>
  <si>
    <t>Камера Apple iPhone 5C основная, Original</t>
  </si>
  <si>
    <t>Камера Apple iPhone 6 основная, Original</t>
  </si>
  <si>
    <t>Камера Apple iPhone X основная Orginal 100%</t>
  </si>
  <si>
    <t>Камера Samsung G935 Galaxy S7 Edge основная Original</t>
  </si>
  <si>
    <t>Камера Samsung I9500 Galaxy S4 BIG</t>
  </si>
  <si>
    <t>Камера основная, (задняя) Motorola E40, (48МP), cо шлейфом, Original PRC</t>
  </si>
  <si>
    <t>Камера основная, (задняя) Motorola E7 Plus, (XT2081-1), (48МP), cо шлейфом, Original PRC</t>
  </si>
  <si>
    <t>Камера основная, (задняя) Motorola E7, (XT2095), (48МP), cо шлейфом, Original PRC</t>
  </si>
  <si>
    <t>Камера основная, (задняя) Motorola Edge 20, (108МP), cо шлейфом, Original PRC</t>
  </si>
  <si>
    <t>Камера основная, (задняя) Motorola G22, (50МP), cо шлейфом, Original PRC</t>
  </si>
  <si>
    <t>Камера основная, (задняя) Motorola G23, (50МP), cо шлейфом, Original PRC</t>
  </si>
  <si>
    <t>Камера основная, (задняя) Motorola G32, (50МP), cо шлейфом, Original PRC</t>
  </si>
  <si>
    <t>Pixel</t>
  </si>
  <si>
    <t>Камера основная, (задняя) Pixel 6A, cо шлейфом (Euro version), Original PRC</t>
  </si>
  <si>
    <t>Камера основная, (задняя) Pixel 7, cо шлейфом (Euro version), Original PRC</t>
  </si>
  <si>
    <t>Камера основная, (задняя) Pixel 7A, cо шлейфом (Euro version), Original PRC</t>
  </si>
  <si>
    <t>Камера основная, задняя (модуль) Pixel 6 Pro, cо шлейфом (Euro version), Original PRC</t>
  </si>
  <si>
    <t>Камера основная, задняя (модуль) Pixel 6, cо шлейфом (Euro version), Original PRC</t>
  </si>
  <si>
    <t>Камера основная, задняя (модуль) Pixel 7 Pro, cо шлейфом (Euro version), Original PRC</t>
  </si>
  <si>
    <t>Камера основная, задняя (модуль) Samsung A022 Galaxy А02, (13МP+2МP), Original PRC</t>
  </si>
  <si>
    <t>Камера основная, задняя (модуль) Samsung A025 Galaxy А02S, (13МP+2МP+2МP), Original PRC</t>
  </si>
  <si>
    <t>Камера основная, задняя (модуль) Samsung A135 Galaxy a13, (50МP+5МP+2МP+2МP), Original PRC</t>
  </si>
  <si>
    <t>Камера основная, задняя (модуль) Samsung A145 Galaxy a14 LTE, (50МP+5МP+2МP), Original PRC</t>
  </si>
  <si>
    <t>Камера основная, задняя (модуль) Samsung A146P Galaxy А14 5G, (50МP+5МP+2МP), Original PRC</t>
  </si>
  <si>
    <t>Камера основная, задняя (модуль) Samsung A225 Galaxy А22, (48МP+8МP+2МP+2МP), Original PRC</t>
  </si>
  <si>
    <t>Камера основная, задняя (модуль) Samsung A235 Galaxy a23 4G, (	50МP+5МP+2МP+2МP), Original PRC</t>
  </si>
  <si>
    <t>Камера основная, задняя (модуль) Samsung A336 Galaxy А33, (48МP+8МP+5МP+2МP), Original PRC</t>
  </si>
  <si>
    <t>Камера основная, задняя (модуль) Samsung A525 Galaxy А52, (64МP+12МP+5МP+5МP), Original PRC</t>
  </si>
  <si>
    <t>Камера основная, задняя (модуль) Samsung A536 Galaxy А53, (64МP+12МP+5МP+5МP), Original PRC</t>
  </si>
  <si>
    <t>Камера основная, задняя (модуль) Samsung A715 Galaxy А71, (64МP+12МP+5МP+5МP), Original PRC</t>
  </si>
  <si>
    <t>Камера основная, задняя (модуль) Samsung A725 Galaxy А72, (64МP+12МP+8МP+5МP), Original PRC</t>
  </si>
  <si>
    <t>Камера основная, задняя (модуль) Samsung G980 Galaxy S20, (12MP+64MP+12MP), Original PRC</t>
  </si>
  <si>
    <t>Камера основная, задняя (модуль) Samsung G985 Galaxy S20 Plus, (12MP+64MP+12MP+0.3MP), Original PRC</t>
  </si>
  <si>
    <t>Камера основная, задняя (модуль) Samsung G988 Galaxy S20 Ultra, (108MP+48MP+12MP+0.3MP), Original PRC</t>
  </si>
  <si>
    <t>Камера основная, задняя (модуль) Samsung G990 Galaxy S21 FE, (12MP+12МP+8МP), (USA version), Original PRC</t>
  </si>
  <si>
    <t>Камера основная, задняя (модуль) Samsung G991 Galaxy S21, (12МP+12МP+64МP), Original PRC</t>
  </si>
  <si>
    <t>Камера основная, задняя (модуль) Samsung G998 Galaxy S21 Ultra, (108MP+10MP+10MP+12MP), (Euro version), Original PRC</t>
  </si>
  <si>
    <t>Камера основная, задняя (модуль) Samsung M336 Galaxy M33, (50МP+5МP+2МP+2МP), Original PRC</t>
  </si>
  <si>
    <t>Камера основная, задняя (модуль) Samsung N980 Galaxy Note 20, (64МP+12МP+12MP), Original PRC</t>
  </si>
  <si>
    <t>Камера основная, задняя (модуль) Samsung S901 Galaxy S22, (50МP+10МP+12МP), (Euro version), Original PRC</t>
  </si>
  <si>
    <t>Камера основная, задняя (модуль) Samsung S901 Galaxy S22, (50МP+10МP+12МP), (USA version), Original PRC</t>
  </si>
  <si>
    <t>Камера основная, задняя (модуль) Samsung S906 Galaxy S22 Plus, (50МP+10МP+12МP), (Euro version), Original PRC</t>
  </si>
  <si>
    <t>Камера основная, задняя (модуль) Samsung S906 Galaxy S22 Plus, (50МP+10МP+12МP), (USA version), Original PRC</t>
  </si>
  <si>
    <t>Камера основная, задняя (модуль) Samsung S908 Galaxy S22 Ultra, (108МP+10МP+10МP+12МP), Original PRC</t>
  </si>
  <si>
    <t>Камера основная, задняя (модуль) Samsung S918 Galaxy S23 Ultra, (200МP+10МP+10МP+12МP), Original PRC</t>
  </si>
  <si>
    <t>Камера основная, (задняя) Xiaomi 11T, cо шлейфом, Original PRC</t>
  </si>
  <si>
    <t>Камера основная, (задняя) Xiaomi 12 Lite, cо шлейфом, Original PRC</t>
  </si>
  <si>
    <t>Камера основная, (задняя) Xiaomi 12T, cо шлейфом, Original PRC</t>
  </si>
  <si>
    <t>Камера основная, (задняя) Xiaomi Mi 11 Lite, cо шлейфом, Original PRC</t>
  </si>
  <si>
    <t>Камера основная, (задняя) Xiaomi Mi 11, cо шлейфом, Original PRC</t>
  </si>
  <si>
    <t>Камера основная, (задняя) Xiaomi Mi 11i, cо шлейфом, Original PRC</t>
  </si>
  <si>
    <t>Камера основная, (задняя) Xiaomi Redmi 10c, cо шлейфом, Original PRC</t>
  </si>
  <si>
    <t>Камера основная, (задняя) Xiaomi Redmi 12, cо шлейфом, Original PRC</t>
  </si>
  <si>
    <t>Камера основная, (задняя) Xiaomi Redmi 12c, cо шлейфом, Original PRC</t>
  </si>
  <si>
    <t>Камера основная, (задняя) Xiaomi Redmi 9A, cо шлейфом, Original PRC</t>
  </si>
  <si>
    <t>Камера основная, (задняя) Xiaomi Redmi 9T, cо шлейфом, Original PRC</t>
  </si>
  <si>
    <t>Камера основная, (задняя) Xiaomi Redmi Note 10 (Global version), cо шлейфом, Original PRC</t>
  </si>
  <si>
    <t>Камера основная, (задняя) Xiaomi Redmi Note 10 5G, cо шлейфом, Original PRC</t>
  </si>
  <si>
    <t>Камера основная, (задняя) Xiaomi Redmi Note 10S, cо шлейфом, Original PRC</t>
  </si>
  <si>
    <t>Камера основная, (задняя) Xiaomi Redmi Note 11 (Global version), cо шлейфом, Original PRC</t>
  </si>
  <si>
    <t>Камера основная, (задняя) Xiaomi Redmi Note 11 Pro 5G, cо шлейфом, Original PRC</t>
  </si>
  <si>
    <t>Камера основная, (задняя) Xiaomi Redmi Note 11E, cо шлейфом, Original PRC</t>
  </si>
  <si>
    <t>Камера основная, (задняя) Xiaomi Redmi Note 11S, cо шлейфом, (108MP), Original PRC</t>
  </si>
  <si>
    <t>Камера основная, (задняя) Xiaomi Redmi Note 12 (Global version), cо шлейфом, Original PRC</t>
  </si>
  <si>
    <t>Камера основная, (задняя) Xiaomi Redmi Note 12 Pro, cо шлейфом, Original PRC</t>
  </si>
  <si>
    <t>Камера основная, (задняя) Xiaomi Redmi Note 12S, cо шлейфом, Original PRC</t>
  </si>
  <si>
    <t>Камера основная, (задняя) Xiaomі Redmi 10, cо шлейфом, Original PRC</t>
  </si>
  <si>
    <t>Камера основная, задняя (модуль) Xiaomi Mi 11 Ultra, cо шлейфом, Original PRC</t>
  </si>
  <si>
    <t>Кнопки для мобильных телефонов</t>
  </si>
  <si>
    <t>Кнопка вкл. SonyEric K700 ( маленька 4-ох контактна )</t>
  </si>
  <si>
    <t>Кнопка включения, регулировки громкости Apple iPhone 6, 6 Plus</t>
  </si>
  <si>
    <t>Корпусные части мобильных телефонов</t>
  </si>
  <si>
    <t>Держатели SIM-карты</t>
  </si>
  <si>
    <t>Держатель SIM карти Apple iPhone 5, Black</t>
  </si>
  <si>
    <t>Держатель SIM карти Apple iPhone 5, White</t>
  </si>
  <si>
    <t>Держатель SIM карти Apple iPhone 6 Plus, Gold</t>
  </si>
  <si>
    <t>Держатель SIM карти Apple iPhone 6 Plus, Space Gray</t>
  </si>
  <si>
    <t>Держатель SIM карти Apple iPhone 6, Gold</t>
  </si>
  <si>
    <t>Держатель SIM карти Apple iPhone 6, Silver</t>
  </si>
  <si>
    <t>Держатель SIM карти Apple iPhone 6, Space Gray</t>
  </si>
  <si>
    <t>Держатель SIM карти Apple iPhone 6S Plus, Gold</t>
  </si>
  <si>
    <t>Держатель SIM карти Apple iPhone 6S Plus, Rose Gold</t>
  </si>
  <si>
    <t>Держатель SIM карти Apple iPhone 6S Plus, Silver</t>
  </si>
  <si>
    <t>Держатель SIM карти Apple iPhone 6S Plus, Space Gray</t>
  </si>
  <si>
    <t>Держатель SIM карти Apple iPhone 6S, Gold</t>
  </si>
  <si>
    <t>Держатель SIM карти Apple iPhone 6S, Rose Gold</t>
  </si>
  <si>
    <t>Держатель SIM карти Apple iPhone 6S, Silver</t>
  </si>
  <si>
    <t>Держатель SIM карти Apple iPhone 6S, Space Gray</t>
  </si>
  <si>
    <t>Держатель SIM карти Apple iPhone 7 Plus, Rose Gold</t>
  </si>
  <si>
    <t>Держатель SIM карти Apple iPhone 7 Plus, Silver</t>
  </si>
  <si>
    <t>Держатель SIM карти Apple iPhone 7, Gold</t>
  </si>
  <si>
    <t>Держатель SIM карти Meizu M3 Note L681h, M681, Silver</t>
  </si>
  <si>
    <t>Держатель SIM карты (лоток) Google Pixel 5, Original PRC, Black</t>
  </si>
  <si>
    <t>Держатель SIM карты (лоток) Google Pixel 5A, Original PRC, Black</t>
  </si>
  <si>
    <t>Держатель SIM карты (лоток) Google Pixel 6 Pro, Original PRC, Cloudy White</t>
  </si>
  <si>
    <t>Держатель SIM карты (лоток) Google Pixel 6 Pro, Original PRC, Sorta Sunny (Gold)</t>
  </si>
  <si>
    <t>Держатель SIM карты (лоток) Google Pixel 6 Pro, Original PRC, Stormy Black</t>
  </si>
  <si>
    <t>Держатель SIM карты (лоток) Google Pixel 6, Original PRC, Stormy Black</t>
  </si>
  <si>
    <t>Держатель SIM карты (лоток) Google Pixel 6A, Original PRC, Charcoal (Black)</t>
  </si>
  <si>
    <t>Держатель SIM карты (лоток) Google Pixel 7 Pro, Original PRC, Hazel</t>
  </si>
  <si>
    <t>Держатель SIM карты (лоток) Google Pixel 7 Pro, Original PRC, Obsidian (Black)</t>
  </si>
  <si>
    <t>Держатель SIM карты (лоток) Google Pixel 7 Pro, Original PRC, Snow (White)</t>
  </si>
  <si>
    <t>Держатель SIM карты (лоток) Google Pixel 7, Original PRC, Lemongrass (Green)</t>
  </si>
  <si>
    <t>Держатель SIM карты (лоток) Google Pixel 7, Original PRC, Obsidian (Black)</t>
  </si>
  <si>
    <t>Держатель SIM карты (лоток) Google Pixel 7, Original PRC, Snow (White)</t>
  </si>
  <si>
    <t>Держатель SIM карты (лоток) Motorola G32 (XT2235) Original PRC, Mineral Gray</t>
  </si>
  <si>
    <t>Держатель SIM карты (лоток) Motorola G32 (XT2235) Original PRC, Rose Gold</t>
  </si>
  <si>
    <t>Держатель SIM карты (лоток) Motorola G60 (XT2135) Original PRC, Dynamic Grey</t>
  </si>
  <si>
    <t>Держатель SIM карты (лоток) Samsung A042 Galaxy A04e, Original PRC, Black</t>
  </si>
  <si>
    <t>Держатель SIM карты (лоток) Samsung A042 Galaxy A04e, Original PRC, Copper</t>
  </si>
  <si>
    <t>Держатель SIM карты (лоток) Samsung A042 Galaxy A04e, Original PRC, Light Blue</t>
  </si>
  <si>
    <t>Держатель SIM карты (лоток) Samsung A045 Galaxy A04, Original PRC, Black</t>
  </si>
  <si>
    <t>Держатель SIM карты (лоток) Samsung A045 Galaxy A04, Original PRC, Copper</t>
  </si>
  <si>
    <t>Держатель SIM карты (лоток) Samsung A045 Galaxy A04, Original PRC, Green</t>
  </si>
  <si>
    <t>Держатель SIM карты (лоток) Samsung A135 Galaxy A13, Original PRC, Black</t>
  </si>
  <si>
    <t>Держатель SIM карты (лоток) Samsung A145 Galaxy A14, Original PRC, Black</t>
  </si>
  <si>
    <t>Держатель SIM карты (лоток) Samsung A145 Galaxy A14, Original PRC, Light Green</t>
  </si>
  <si>
    <t>Держатель SIM карты (лоток) Samsung A145 Galaxy A14, Original PRC, Silver</t>
  </si>
  <si>
    <t>Держатель SIM карты (лоток) Samsung A336 Galaxy A33, Original PRC, Black</t>
  </si>
  <si>
    <t>Держатель SIM карты (лоток) Samsung A336 Galaxy A33, Original PRC, Blue</t>
  </si>
  <si>
    <t>Держатель SIM карты (лоток) Samsung A336 Galaxy A33, Original PRC, Marble Gray</t>
  </si>
  <si>
    <t>Держатель SIM карты (лоток) Samsung A336 Galaxy A33, Original PRC, Peach</t>
  </si>
  <si>
    <t>Держатель SIM карты (лоток) Samsung A346 Galaxy A34, Original PRC, Black</t>
  </si>
  <si>
    <t>Держатель SIM карты (лоток) Samsung A346 Galaxy A34, Original PRC, Light Green</t>
  </si>
  <si>
    <t>Держатель SIM карты (лоток) Samsung A346 Galaxy A34, Original PRC, Light Violet</t>
  </si>
  <si>
    <t>Держатель SIM карты (лоток) Samsung A346 Galaxy A34, Original PRC, Silver</t>
  </si>
  <si>
    <t>Держатель SIM карты (лоток) Samsung M135 Galaxy M13, Original PRC, Deep Green</t>
  </si>
  <si>
    <t>Держатель SIM карты (лоток) Samsung M135 Galaxy M13, Original PRC, Light Blue</t>
  </si>
  <si>
    <t>Держатель SIM карты (лоток) Samsung M146B Galaxy M14, Original PRC, Dark Blue</t>
  </si>
  <si>
    <t>Держатель SIM карты (лоток) Samsung M146B Galaxy M14, Original PRC, Silver</t>
  </si>
  <si>
    <t>Держатель SIM карты (лоток) Samsung M146B Galaxy M14, Original PRC, Smoky Teal</t>
  </si>
  <si>
    <t>Держатель SIM карты (лоток) Tecno Camon 19 Pro (Ci8N), Original PRC, Eco Black</t>
  </si>
  <si>
    <t>Держатель SIM карты (лоток) Tecno Pova Neo 2 (LG6N), Original PRC, Cyber Blue</t>
  </si>
  <si>
    <t>Держатель SIM карты (лоток) Tecno Pova Neo 2 (LG6N), Original PRC, Uranolith Grey</t>
  </si>
  <si>
    <t>Держатель SIM карты (лоток) Tecno Spark 10 pro, Original PRC, Meta Black</t>
  </si>
  <si>
    <t>Держатель SIM карты (лоток) Tecno Spark 10c (KI5m), Original PRC, Meta Black</t>
  </si>
  <si>
    <t>Держатель SIM карты (лоток) Tecno Spark 10c (KI5m), Original PRC, Meta Blue</t>
  </si>
  <si>
    <t>Держатель SIM карты (лоток) Tecno Spark 8c (KG5n), Original PRC, Grey</t>
  </si>
  <si>
    <t>Держатель SIM карты (лоток) Tecno Spark 9 pro (KH7n) Original PRC, Burano Blue</t>
  </si>
  <si>
    <t>Держатель SIM карты (лоток) Tecno Spark 9 pro (KH7n) Original PRC, Quantum Black</t>
  </si>
  <si>
    <t>Держатель SIM карты (лоток) Tecno Spark Go 2023 (BF7n), Original PRC, Blue</t>
  </si>
  <si>
    <t>Держатель SIM карты (лоток) Xiaomi 13 Lite, Original PRC, Coral Blue</t>
  </si>
  <si>
    <t>Держатель SIM карты (лоток) Xiaomi 13 Lite, Original PRC, Grey</t>
  </si>
  <si>
    <t>Держатель SIM карты (лоток) Xiaomi Redmi 12, Original PRC, Silver</t>
  </si>
  <si>
    <t>Держатель SIM карты (лоток) Xiaomi Redmi 12c, Original PRC, Graphite Gray</t>
  </si>
  <si>
    <t>Держатель SIM карты (лоток) Xiaomi Redmi 12c, Original PRC, Mint green</t>
  </si>
  <si>
    <t>Держатель SIM карты (лоток) Xiaomi Redmi 12c, Original PRC, Ocean Blue</t>
  </si>
  <si>
    <t>Держатель SIM карты (лоток) Xiaomi Redmi Note 11 (Global), Redmi Note 11s, Original PRC, Blue</t>
  </si>
  <si>
    <t>Держатель SIM карты (лоток) Xiaomi Redmi Note 11 (Global), Redmi Note 11s, Original PRC, Graphite Grey</t>
  </si>
  <si>
    <t>Держатель SIM карты (лоток) Xiaomi Redmi Note 12 Pro, Original PRC, Black</t>
  </si>
  <si>
    <t>Держатель SIM карты (лоток) Xiaomi Redmi Note 12 Pro, Original PRC, Blue</t>
  </si>
  <si>
    <t>Держатель SIM карты (лоток) Xiaomi Redmi Note 12s, Original PRC, Ice Blue</t>
  </si>
  <si>
    <t>Держатель SIM карты (лоток) Xiaomi Redmi Note 12s, Original PRC, Onyx Black</t>
  </si>
  <si>
    <t>Держатель Sim карты Google Pixel 4A, Black</t>
  </si>
  <si>
    <t>Держатель Sim карты Google Pixel 4A, White</t>
  </si>
  <si>
    <t>Держатель SIM-карты Samsung G930F Galaxy S7, Blue</t>
  </si>
  <si>
    <t>Держатель SIM-карты Sony D6502 Xperia Z2, D6503 Xperia Z2</t>
  </si>
  <si>
    <t>Задние крышки</t>
  </si>
  <si>
    <t>Задня кришка Samsung A042 Galaxy A04e, Original PRC, Light Blue</t>
  </si>
  <si>
    <t>Задняя крышка Apple iPhone 11 Pro Max, Original, White</t>
  </si>
  <si>
    <t>Задняя крышка Apple iPhone 11 Pro Max, большой вырез под камеру, Original, Gold</t>
  </si>
  <si>
    <t>Задняя крышка Apple iPhone 11 Pro Max, большой вырез под камеру, Original, Midnight Green</t>
  </si>
  <si>
    <t>Задняя крышка Apple iPhone 11 Pro Max, большой вырез под камеру, Original, Space Gray</t>
  </si>
  <si>
    <t>Задняя крышка Apple iPhone 11 Pro Max, большой вырез под камеру, Original, White</t>
  </si>
  <si>
    <t>Задняя крышка Apple iPhone 11 Pro, Original, White</t>
  </si>
  <si>
    <t>Задняя крышка Apple iPhone 11 Pro, большой вырез под камеру, High Quality, Midnight Green</t>
  </si>
  <si>
    <t>Задняя крышка Apple iPhone 11 Pro, большой вырез под камеру, Original, Gold</t>
  </si>
  <si>
    <t>Задняя крышка Apple iPhone 11 Pro, большой вырез под камеру, Original, Midnight Green</t>
  </si>
  <si>
    <t>Задняя крышка Apple iPhone 11 Pro, большой вырез под камеру, Original, Space Gray</t>
  </si>
  <si>
    <t>Задняя крышка Apple iPhone 11 Pro, большой вырез под камеру, Original, White</t>
  </si>
  <si>
    <t>Задняя крышка Apple iPhone 11, большой вырез под камеру, High Quality, Black</t>
  </si>
  <si>
    <t>Задняя крышка Apple iPhone 11, большой вырез под камеру, High Quality, Green</t>
  </si>
  <si>
    <t>Задняя крышка Apple iPhone 11, большой вырез под камеру, High Quality, Purple</t>
  </si>
  <si>
    <t>Задняя крышка Apple iPhone 11, большой вырез под камеру, High Quality, White</t>
  </si>
  <si>
    <t>Задняя крышка Apple iPhone 11, большой вырез под камеру, Original PRC, Black</t>
  </si>
  <si>
    <t>Задняя крышка Apple iPhone 11, большой вырез под камеру, Original PRC, Green</t>
  </si>
  <si>
    <t>Задняя крышка Apple iPhone 11, большой вырез под камеру, Original PRC, Red</t>
  </si>
  <si>
    <t>Задняя крышка Apple iPhone 12 Pro Max, большой вырез под камеру, High Quality, Blue</t>
  </si>
  <si>
    <t>Задняя крышка Apple iPhone 12 Pro Max, большой вырез под камеру, High Quality, Gold</t>
  </si>
  <si>
    <t>Задняя крышка Apple iPhone 12 Pro Max, большой вырез под камеру, High Quality, Graphite</t>
  </si>
  <si>
    <t>Задняя крышка Apple iPhone 12 Pro Max, большой вырез под камеру, High Quality, White</t>
  </si>
  <si>
    <t>Задняя крышка Apple iPhone 12 Pro Max, большой вырез под камеру, Original PRC, Gold</t>
  </si>
  <si>
    <t>Задняя крышка Apple iPhone 12 Pro Max, большой вырез под камеру, Original PRC, Graphite</t>
  </si>
  <si>
    <t>Задняя крышка Apple iPhone 12 Pro Max, большой вырез под камеру, Original, Blue</t>
  </si>
  <si>
    <t>Задняя крышка Apple iPhone 12 Pro Max, большой вырез под камеру, Original, White</t>
  </si>
  <si>
    <t>Задняя крышка Apple iPhone 12 Pro, большой вырез под камеру, Original PRC, Blue</t>
  </si>
  <si>
    <t>Задняя крышка Apple iPhone 12 Pro, большой вырез под камеру, Original PRC, Gold</t>
  </si>
  <si>
    <t>Задняя крышка Apple iPhone 12 Pro, большой вырез под камеру, Original PRC, Graphite</t>
  </si>
  <si>
    <t>Задняя крышка Apple iPhone 12, большой вырез под камеру, Black</t>
  </si>
  <si>
    <t>Задняя крышка Apple iPhone 12, большой вырез под камеру, Blue</t>
  </si>
  <si>
    <t>Задняя крышка Apple iPhone 12, большой вырез под камеру, Green</t>
  </si>
  <si>
    <t>Задняя крышка Apple iPhone 12, большой вырез под камеру, White</t>
  </si>
  <si>
    <t>Задняя крышка Apple iPhone 13 Pro Max, большой вырез под камеру, High Quality, Gold</t>
  </si>
  <si>
    <t>Задняя крышка Apple iPhone 13 Pro Max, большой вырез под камеру, High Quality, Graphite</t>
  </si>
  <si>
    <t>Задняя крышка Apple iPhone 13 Pro Max, большой вырез под камеру, High Quality, Sierra Blue</t>
  </si>
  <si>
    <t>Задняя крышка Apple iPhone 13 Pro Max, большой вырез под камеру, Original, Sierra Blue</t>
  </si>
  <si>
    <t>Задняя крышка Apple iPhone 13 Pro Max, большой вырез под камеру, Original, Silver</t>
  </si>
  <si>
    <t>Задняя крышка Apple iPhone 13 Pro, большой вырез под камеру, High Quality, Black</t>
  </si>
  <si>
    <t>Задняя крышка Apple iPhone 13 Pro, большой вырез под камеру, High Quality, Gold</t>
  </si>
  <si>
    <t>Задняя крышка Apple iPhone 13 Pro, большой вырез под камеру, Original, Black</t>
  </si>
  <si>
    <t>Задняя крышка Apple iPhone 13 Pro, большой вырез под камеру, Original, Blue</t>
  </si>
  <si>
    <t>Задняя крышка Apple iPhone 13 Pro, большой вырез под камеру, Original, Silver</t>
  </si>
  <si>
    <t>Задняя крышка Apple iPhone 13, большой вырез под камеру, High Quality, Black</t>
  </si>
  <si>
    <t>Задняя крышка Apple iPhone 13, большой вырез под камеру, High Quality, Blue</t>
  </si>
  <si>
    <t>Задняя крышка Apple iPhone 13, большой вырез под камеру, High Quality, Pink</t>
  </si>
  <si>
    <t>Задняя крышка Apple iPhone 13, большой вырез под камеру, High Quality, Red</t>
  </si>
  <si>
    <t>Задняя крышка Apple iPhone 13, большой вырез под камеру, High Quality, White</t>
  </si>
  <si>
    <t>Задняя крышка Apple iPhone 13, большой вырез под камеру, Original PRC, Black</t>
  </si>
  <si>
    <t>Задняя крышка Apple iPhone 13, большой вырез под камеру, Original PRC, Blue</t>
  </si>
  <si>
    <t>Задняя крышка Apple iPhone 13, большой вырез под камеру, Original PRC, Red</t>
  </si>
  <si>
    <t>Задняя крышка Apple iPhone 14 Plus, большой вырез под камеру, High Quality, Blue</t>
  </si>
  <si>
    <t>Задняя крышка Apple iPhone 14 Plus, большой вырез под камеру, High Quality, Midnight</t>
  </si>
  <si>
    <t>Задняя крышка Apple iPhone 14 Plus, большой вырез под камеру, High Quality, Purple</t>
  </si>
  <si>
    <t>Задняя крышка Apple iPhone 14 Plus, большой вырез под камеру, High Quality, Red</t>
  </si>
  <si>
    <t>Задняя крышка Apple iPhone 14 Plus, большой вырез под камеру, High Quality, Starlight</t>
  </si>
  <si>
    <t>Задняя крышка Apple iPhone 14 Plus, большой вырез под камеру, High Quality, Yellow</t>
  </si>
  <si>
    <t>Задняя крышка Apple iPhone 14 Pro Max, большой вырез под камеру, High Quality, Deep Purple</t>
  </si>
  <si>
    <t>Задняя крышка Apple iPhone 14 Pro Max, большой вырез под камеру, High Quality, Gold</t>
  </si>
  <si>
    <t>Задняя крышка Apple iPhone 14 Pro Max, большой вырез под камеру, High Quality, Space Black</t>
  </si>
  <si>
    <t>Задняя крышка Apple iPhone 14 Pro Max, большой вырез под камеру, High Quality, White</t>
  </si>
  <si>
    <t>Задняя крышка Apple iPhone 14 Pro Max, большой вырез под камеру, Original, Deep Purple</t>
  </si>
  <si>
    <t>Задняя крышка Apple iPhone 14 Pro, большой вырез под камеру, High Quality, Gold</t>
  </si>
  <si>
    <t>Задняя крышка Apple iPhone 14 Pro, большой вырез под камеру, High Quality, Space Black</t>
  </si>
  <si>
    <t>Задняя крышка Apple iPhone 14 Pro, большой вырез под камеру, High Quality, White</t>
  </si>
  <si>
    <t>Задняя крышка Apple iPhone 14 Pro, большой вырез под камеру, Original, Deep Purple</t>
  </si>
  <si>
    <t>Задняя крышка Apple iPhone 14, большой вырез под камеру, High Quality, Blue</t>
  </si>
  <si>
    <t>Задняя крышка Apple iPhone 14, большой вырез под камеру, High Quality, Midnight</t>
  </si>
  <si>
    <t>Задняя крышка Apple iPhone 14, большой вырез под камеру, High Quality, Purple</t>
  </si>
  <si>
    <t>Задняя крышка Apple iPhone 14, большой вырез под камеру, High Quality, Red</t>
  </si>
  <si>
    <t>Задняя крышка Apple iPhone 14, большой вырез под камеру, High Quality, Starlight</t>
  </si>
  <si>
    <t>Задняя крышка Apple iPhone 14, большой вырез под камеру, High Quality, Yellow</t>
  </si>
  <si>
    <t>Задняя крышка Apple iPhone 15 Plus, с стеклом камеры, с магнитом, Original PRC, Black</t>
  </si>
  <si>
    <t>Задняя крышка Apple iPhone 15 Plus, с стеклом камеры, с магнитом, Original PRC, Blue</t>
  </si>
  <si>
    <t>Задняя крышка Apple iPhone 15 Plus, с стеклом камеры, с магнитом, Original PRC, Green</t>
  </si>
  <si>
    <t>Задняя крышка Apple iPhone 15 Plus, с стеклом камеры, с магнитом, Original PRC, Pink</t>
  </si>
  <si>
    <t>Задняя крышка Apple iPhone 15 Plus, с стеклом камеры, с магнитом, Original PRC, Yellow</t>
  </si>
  <si>
    <t>Задняя крышка Apple iPhone 15 Pro Max, с стеклом камеры, с магнитом, Original PRC, Black Titanium</t>
  </si>
  <si>
    <t>Задняя крышка Apple iPhone 15 Pro Max, с стеклом камеры, с магнитом, Original PRC, Blue Titanium</t>
  </si>
  <si>
    <t>Задняя крышка Apple iPhone 15 Pro Max, с стеклом камеры, с магнитом, Original PRC, Natural Titanium</t>
  </si>
  <si>
    <t>Задняя крышка Apple iPhone 15 Pro Max, с стеклом камеры, с магнитом, Original PRC, White Titanium</t>
  </si>
  <si>
    <t>Задняя крышка Apple iPhone 15 Pro, с стеклом камеры, с магнитом, Original PRC, Black Titanium</t>
  </si>
  <si>
    <t>Задняя крышка Apple iPhone 15 Pro, с стеклом камеры, с магнитом, Original PRC, Blue Titanium</t>
  </si>
  <si>
    <t>Задняя крышка Apple iPhone 15 Pro, с стеклом камеры, с магнитом, Original PRC, Natural Titanium</t>
  </si>
  <si>
    <t>Задняя крышка Apple iPhone 15 Pro, с стеклом камеры, с магнитом, Original PRC, White Titanium</t>
  </si>
  <si>
    <t>Задняя крышка Apple iPhone 15, с стеклом камеры, с магнитом, Original PRC, Black</t>
  </si>
  <si>
    <t>Задняя крышка Apple iPhone 15, с стеклом камеры, с магнитом, Original PRC, Blue</t>
  </si>
  <si>
    <t>Задняя крышка Apple iPhone 15, с стеклом камеры, с магнитом, Original PRC, Green</t>
  </si>
  <si>
    <t>Задняя крышка Apple iPhone 15, с стеклом камеры, с магнитом, Original PRC, Pink</t>
  </si>
  <si>
    <t>Задняя крышка Apple iPhone 15, с стеклом камеры, с магнитом, Original PRC, Yellow</t>
  </si>
  <si>
    <t>Задняя крышка Apple iPhone 16 Pro Max, с стеклом камеры, с магнитом, Original PRC, Black Titanium</t>
  </si>
  <si>
    <t>Задняя крышка Apple iPhone 16 Pro Max, с стеклом камеры, с магнитом, Original PRC, Desert Titanium</t>
  </si>
  <si>
    <t>Задняя крышка Apple iPhone 16 Pro Max, с стеклом камеры, с магнитом, Original PRC, Natural Titanium</t>
  </si>
  <si>
    <t>Задняя крышка Apple iPhone 16 Pro Max, с стеклом камеры, с магнитом, Original PRC, White Titanium</t>
  </si>
  <si>
    <t>Задняя крышка Apple iPhone 8 Plus, большой вырез под камеру, Black</t>
  </si>
  <si>
    <t>Задняя крышка Apple iPhone 8 Plus, большой вырез под камеру, Gold</t>
  </si>
  <si>
    <t>Задняя крышка Apple iPhone 8 Plus, большой вырез под камеру, Red</t>
  </si>
  <si>
    <t>Задняя крышка Apple iPhone 8 Plus, большой вырез под камеру, White</t>
  </si>
  <si>
    <t>Задняя крышка Apple iPhone 8, большой вырез под камеру, Gold</t>
  </si>
  <si>
    <t>Задняя крышка Apple iPhone 8, с стеклом камеры, White</t>
  </si>
  <si>
    <t>Задняя крышка Apple iPhone X, большой вырез под камеру, Black</t>
  </si>
  <si>
    <t>Задняя крышка Apple iPhone XR, большой вырез под камеру, Black</t>
  </si>
  <si>
    <t>Задняя крышка Apple iPhone XR, большой вырез под камеру, Red</t>
  </si>
  <si>
    <t>Задняя крышка Apple iPhone XS Max, большой вырез под камеру, Black</t>
  </si>
  <si>
    <t>Задняя крышка Apple iPhone XS Max, большой вырез под камеру, White</t>
  </si>
  <si>
    <t>Задняя крышка Apple iPhone XS, большой вырез под камеру, Black</t>
  </si>
  <si>
    <t>Задняя крышка Apple iPhone XS, большой вырез под камеру, White</t>
  </si>
  <si>
    <t>Задняя крышка Apple iPhone XS, с стеклом камеры, Black</t>
  </si>
  <si>
    <t>Задняя крышка Apple iPhone XS, с стеклом камеры, White</t>
  </si>
  <si>
    <t>Задняя крышка Google Pixel 3A, Original, Black</t>
  </si>
  <si>
    <t>Задняя крышка Google Pixel 3A, со стеклом камеры, Original, Black</t>
  </si>
  <si>
    <t>Задняя крышка Google Pixel 3A, со стеклом камеры, Original, Purple</t>
  </si>
  <si>
    <t>Задняя крышка Google Pixel 3A, со стеклом камеры, Original, White</t>
  </si>
  <si>
    <t>Задняя крышка Google Pixel 4, со стеклом камеры, Original, Black</t>
  </si>
  <si>
    <t>Задняя крышка Google Pixel 4, со стеклом камеры, Original, Orange</t>
  </si>
  <si>
    <t>Задняя крышка Google Pixel 4, со стеклом камеры, Original, White</t>
  </si>
  <si>
    <t>Задняя крышка Google Pixel 4A 5G, со стеклом камеры, Original PRC, Black</t>
  </si>
  <si>
    <t>Задняя крышка Google Pixel 4A, со стеклом камеры, Original, Barely Blue</t>
  </si>
  <si>
    <t>Задняя крышка Google Pixel 4A, со стеклом камеры, Original, Black</t>
  </si>
  <si>
    <t>Задняя крышка Google Pixel 5, со стеклом камеры, Original, Black</t>
  </si>
  <si>
    <t>Задняя крышка Google Pixel 5, со стеклом камеры, Original, Green</t>
  </si>
  <si>
    <t>Задняя крышка Google Pixel 6 Pro, Original, Cloudy White</t>
  </si>
  <si>
    <t>Задняя крышка Google Pixel 6 Pro, Original, Sorta Sunny (Gold)</t>
  </si>
  <si>
    <t>Задняя крышка Google Pixel 6, Original, Stormy Black</t>
  </si>
  <si>
    <t>Задняя крышка Google Pixel 7 Pro, Original, Hazel</t>
  </si>
  <si>
    <t>Задняя крышка Google Pixel 7 Pro, Original, Snow (White)</t>
  </si>
  <si>
    <t>Задняя крышка Google Pixel 7, Original, Lemongrass (Green)</t>
  </si>
  <si>
    <t>Задняя крышка Google Pixel 7, Original, Snow (White)</t>
  </si>
  <si>
    <t>Задняя крышка Huawei GR3 2017, Honor 8 Lite, Nova Lite 2016, P8 Lite 2017 (PRA-LA1, PRA-LX2, PRA-LX1, PRA-LX3), High Quality, Black</t>
  </si>
  <si>
    <t>Задняя крышка Huawei GR3 2017, Honor 8 Lite, Nova Lite 2016, P8 Lite 2017 (PRA-LA1, PRA-LX2, PRA-LX1, PRA-LX3), High Quality, Gold</t>
  </si>
  <si>
    <t>Задняя крышка Huawei GR3 2017, Honor 8 Lite, Nova Lite 2016, P8 Lite 2017 (PRA-LA1, PRA-LX2, PRA-LX1, PRA-LX3), High Quality, White</t>
  </si>
  <si>
    <t>Задняя крышка Huawei Honor 10 (COL-L29), Black</t>
  </si>
  <si>
    <t>Задняя крышка Huawei Honor 10 (COL-L29), Blue</t>
  </si>
  <si>
    <t>Задняя крышка Huawei Honor 10 (COL-L29), Glacier Gey</t>
  </si>
  <si>
    <t>Задняя крышка Huawei Honor 10 (COL-L29), Green</t>
  </si>
  <si>
    <t>Задняя крышка Huawei Honor 10 Lite (HRY-LX1), Sapphire Black</t>
  </si>
  <si>
    <t>Задняя крышка Huawei Honor 10 Lite (HRY-LX1), Sapphire Blue</t>
  </si>
  <si>
    <t>Задняя крышка Huawei Honor 20 (YAL-L21), Original PRC, Black</t>
  </si>
  <si>
    <t>Задняя крышка Huawei Honor 6A (DLI-TL20, DLI-AL10), Rose Gold</t>
  </si>
  <si>
    <t>Задняя крышка Huawei Honor 7X (BND-L21), Blue</t>
  </si>
  <si>
    <t>Задняя крышка Huawei Honor 7X (BND-L21), Gold</t>
  </si>
  <si>
    <t>Задняя крышка Huawei Honor 7X (BND-L21), Red</t>
  </si>
  <si>
    <t>Задняя крышка Huawei Honor 8 (FRD-L09, FRD-L19), Black</t>
  </si>
  <si>
    <t>Задняя крышка Huawei Honor 8 (FRD-L09, FRD-L19), Blue</t>
  </si>
  <si>
    <t>Задняя крышка Huawei Honor 8 (FRD-L09, FRD-L19), Gold</t>
  </si>
  <si>
    <t>Задняя крышка Huawei Honor 8 (FRD-L09, FRD-L19), Pink</t>
  </si>
  <si>
    <t>Задняя крышка Huawei Honor 8 (FRD-L09, FRD-L19), White</t>
  </si>
  <si>
    <t>Задняя крышка Huawei Honor 8x JSN-L11, JSN-L21, JSN-L22, High Quality, Black</t>
  </si>
  <si>
    <t>Задняя крышка Huawei Honor 8x JSN-L11, JSN-L21, JSN-L22, Original PRC, Blue</t>
  </si>
  <si>
    <t>Задняя крышка Huawei Honor 8x JSN-L11, JSN-L21, JSN-L22, со стеклом камеры, High Quality, Black</t>
  </si>
  <si>
    <t>Задняя крышка Huawei Honor 8x JSN-L11, JSN-L21, JSN-L22, со стеклом камеры, Original PRC, Blue</t>
  </si>
  <si>
    <t>Задняя крышка Huawei Honor 9 (STF-L09, STF-L19), Original PRC, Gold</t>
  </si>
  <si>
    <t>Задняя крышка Huawei Honor X6A, (WDY-LX1), Original PRC, Midnight Black</t>
  </si>
  <si>
    <t>Задняя крышка Huawei Honor X6A, (WDY-LX1), Original PRC, Turquoise Cyan</t>
  </si>
  <si>
    <t>Задняя крышка Huawei Honor X7A, (RKY-LX1), Original PRC, Midnight Black</t>
  </si>
  <si>
    <t>Задняя крышка Huawei Honor X7A, (RKY-LX1), Original PRC, Ocean Blue</t>
  </si>
  <si>
    <t>Задняя крышка Huawei Honor X8A, (CRT-LX1) Original PRC, Cyan Lake</t>
  </si>
  <si>
    <t>Задняя крышка Huawei Honor X8A, (CRT-LX1) Original PRC, Midnight Black</t>
  </si>
  <si>
    <t>Задняя крышка Huawei Mate 10 (ALP-L09, ALP-L29), Blue</t>
  </si>
  <si>
    <t>Задняя крышка Huawei Mate 10 (ALP-L09, ALP-L29), Gold</t>
  </si>
  <si>
    <t>Задняя крышка Huawei Mate 10 Lite, Nova 2i (RNE-L01, L02, L03, RNE-L21, L22,  L23), Blue</t>
  </si>
  <si>
    <t>Задняя крышка Huawei Mate 10 Lite, Nova 2i (RNE-L01, L02, L03, RNE-L21, L22,  L23), Gold</t>
  </si>
  <si>
    <t>Задняя крышка Huawei Mate 10 Lite, Nova 2i (RNE-L01, L02, L03, RNE-L21, L22,  L23), Graphite Black</t>
  </si>
  <si>
    <t>Задняя крышка Huawei Mate 8 (XT-L09, NXT-L29A), Gold</t>
  </si>
  <si>
    <t>Задняя крышка Huawei Mate 8 (XT-L09, NXT-L29A), Mocha Gold</t>
  </si>
  <si>
    <t>Задняя крышка Huawei Nova (CAN-L11), Gold</t>
  </si>
  <si>
    <t>Задняя крышка Huawei Nova 3i, P Smart Plus (INE-LX1), Original PRC, Black</t>
  </si>
  <si>
    <t>Задняя крышка Huawei P Smart (FIG-LX1), P Smart Dual SIM (FIG-L21), Original PRC, Black</t>
  </si>
  <si>
    <t>Задняя крышка Huawei P Smart (FIG-LX1), P Smart Dual SIM (FIG-L21), Original PRC, Blue</t>
  </si>
  <si>
    <t>Задняя крышка Huawei P Smart (FIG-LX1), P Smart Dual SIM (FIG-L21), Original PRC, Gold</t>
  </si>
  <si>
    <t>Задняя крышка Huawei P Smart 2019 (POT-L21, POT-LX1), Aurora Blue</t>
  </si>
  <si>
    <t>Задняя крышка Huawei P Smart 2019 (POT-L21, POT-LX1), со стеклом камеры, Black</t>
  </si>
  <si>
    <t>Задняя крышка Huawei P Smart 2021 (PPA-LX2), Original PRC, Midnight Black</t>
  </si>
  <si>
    <t>Задняя крышка Huawei P Smart Z (STK-LX1), Original PRC, Green</t>
  </si>
  <si>
    <t>Задняя крышка Huawei P10 (VTR-L29), Black</t>
  </si>
  <si>
    <t>Задняя крышка Huawei P10 (VTR-L29), Gold</t>
  </si>
  <si>
    <t>Задняя крышка Huawei P10 (VTR-L29), White</t>
  </si>
  <si>
    <t>Задняя крышка Huawei P10 Lite (WAS-L21), High Quality, Black</t>
  </si>
  <si>
    <t>Задняя крышка Huawei P10 Lite (WAS-L21), High Quality, Blue</t>
  </si>
  <si>
    <t>Задняя крышка Huawei P10 Lite (WAS-L21), High Quality, Gold</t>
  </si>
  <si>
    <t>Задняя крышка Huawei P10 Lite (WAS-L21), High Quality, White</t>
  </si>
  <si>
    <t>Задняя крышка Huawei P20 Lite, Nova 3e (ANE-LX1, ANE-LX3), High Quality, Gold</t>
  </si>
  <si>
    <t>Задняя крышка Huawei P20 Lite, Nova 3e (ANE-LX1, ANE-LX3), High Quality, Klein Blue</t>
  </si>
  <si>
    <t>Задняя крышка Huawei P20 Lite, Nova 3e (ANE-LX1, ANE-LX3), High Quality, Midnight Black</t>
  </si>
  <si>
    <t>Задняя крышка Huawei P20 Lite, Nova 3e (ANE-LX1, ANE-LX3), High Quality, Sakura Pink</t>
  </si>
  <si>
    <t>Задняя крышка Huawei P20 Pro (CLT-L09, CLT-L29, AL00, AL01, TL01, AL00L) , Original PRC, Black</t>
  </si>
  <si>
    <t>Задняя крышка Huawei P20 Pro (CLT-L09, CLT-L29, AL00, AL01, TL01, AL00L) , Original PRC, Midnight Blue</t>
  </si>
  <si>
    <t>Задняя крышка Huawei P20 Pro (CLT-L09, CLT-L29, AL00, AL01, TL01, AL00L) , Original PRC, Morho Aurora</t>
  </si>
  <si>
    <t>Задняя крышка Huawei P30 Lite (MAR-L21, MAR-LX1A, MAR-L21A, MAR-L01A), Nova 4e, Original PRC, Black</t>
  </si>
  <si>
    <t>Задняя крышка Huawei P30 Lite (MAR-L21, MAR-LX1A, MAR-L21A, MAR-L01A), Nova 4e, Original PRC, Peacock Blue</t>
  </si>
  <si>
    <t>Задняя крышка Huawei P40 Lite E, High Quality, Aurora Blue</t>
  </si>
  <si>
    <t>Задняя крышка Huawei P9 Lite (VNS-L21, VNS-L31), Original PRC, Black</t>
  </si>
  <si>
    <t>Задняя крышка Huawei P9 Lite (VNS-L21, VNS-L31), Original PRC, Gold</t>
  </si>
  <si>
    <t>Задняя крышка Huawei P9 Lite (VNS-L21, VNS-L31), Original PRC, White</t>
  </si>
  <si>
    <t>Задняя крышка Huawei Y5 2017 (MYA-U29), Y6 2017, Nova Young 4G (MYA-L11), High Quality, Black</t>
  </si>
  <si>
    <t>Задняя крышка Huawei Y5 2017 (MYA-U29), Y6 2017, Nova Young 4G (MYA-L11), High Quality, Gold</t>
  </si>
  <si>
    <t>Задняя крышка Huawei Y5 2017 (MYA-U29), Y6 2017, Nova Young 4G (MYA-L11), High Quality, White</t>
  </si>
  <si>
    <t>Задняя крышка Huawei Y5 2018 (DRA-L21), Y5 Prime 2018 (DRA-LX2), Original PRC, Black</t>
  </si>
  <si>
    <t>Задняя крышка Huawei Y5 2018 (DRA-L21), Y5 Prime 2018 (DRA-LX2), Original PRC, Blue</t>
  </si>
  <si>
    <t>Задняя крышка Huawei Y5 2018 (DRA-L21), Y5 Prime 2018 (DRA-LX2), Original PRC, Gold</t>
  </si>
  <si>
    <t>Задняя крышка Huawei Y6 2018 (ATU-L21, ATU-L22), Black</t>
  </si>
  <si>
    <t>Задняя крышка Huawei Y6 2018 (ATU-L21, ATU-L22), Blue</t>
  </si>
  <si>
    <t>Задняя крышка Huawei Y6 2018 (ATU-L21, ATU-L22), Gold</t>
  </si>
  <si>
    <t>Задняя крышка Huawei Y6 II (CAM-L21), Black</t>
  </si>
  <si>
    <t>Задняя крышка Huawei Y6 II (CAM-L21), Gold</t>
  </si>
  <si>
    <t>Задняя крышка Huawei Y6 II (CAM-L21), White</t>
  </si>
  <si>
    <t>Задняя крышка Huawei Y6 Prime 2018 (ATU-L31), Black</t>
  </si>
  <si>
    <t>Задняя крышка Huawei Y6 Prime 2018 (ATU-L31), Blue</t>
  </si>
  <si>
    <t>Задняя крышка Huawei Y6 Prime 2018 (ATU-L31), Gold</t>
  </si>
  <si>
    <t>Задняя крышка Huawei Y6 Prime 2019, со стеклом камеры, Original PRC, Black</t>
  </si>
  <si>
    <t>Задняя крышка Huawei Y6 Pro, TIT-U02, Honor 4C Pro, TIT-L01, Black</t>
  </si>
  <si>
    <t>Задняя крышка Huawei Y6 Pro, TIT-U02, Honor 4C Pro, TIT-L01, Gold</t>
  </si>
  <si>
    <t>Задняя крышка Huawei Y6 Pro, TIT-U02, Honor 4C Pro, TIT-L01, White</t>
  </si>
  <si>
    <t>Задняя крышка Huawei Y6P 2020 (MED-LX9, MOA-LX9N), Original PRC, Black</t>
  </si>
  <si>
    <t>Задняя крышка Huawei Y6P 2020 (MED-LX9, MOA-LX9N), со стеклом камеры, Original PRC, Black</t>
  </si>
  <si>
    <t>Задняя крышка Huawei Y6P 2020 (MED-LX9, MOA-LX9N), со стеклом камеры, Original PRC, Emerald Green</t>
  </si>
  <si>
    <t>Задняя крышка Huawei Y6P 2020 (MED-LX9, MOA-LX9N), со стеклом камеры, Original PRC, Phantom Purple</t>
  </si>
  <si>
    <t>Задняя крышка Huawei Y7 2017, Holly 4 Plus, Nova Lite Plus (TRT-L21), Black</t>
  </si>
  <si>
    <t>Задняя крышка Huawei Y7 2017, Holly 4 Plus, Nova Lite Plus (TRT-L21), Gold</t>
  </si>
  <si>
    <t>Задняя крышка Huawei Y7 2017, Holly 4 Plus, Nova Lite Plus (TRT-L21), White</t>
  </si>
  <si>
    <t>Задняя крышка Lenovo A6020a40 Vibe K5, Black</t>
  </si>
  <si>
    <t>Задняя крышка LG G6 H870 (Europe), Original PRC, Black</t>
  </si>
  <si>
    <t>Задняя крышка LG G6 H870 (Europe), Original PRC, Blue</t>
  </si>
  <si>
    <t>Задняя крышка LG G6 H870 (Europe), Original PRC, White</t>
  </si>
  <si>
    <t>Задняя крышка LG G820 G8 ThinQ, Original PRC, Aurora Black</t>
  </si>
  <si>
    <t>Задняя крышка LG G820 G8 ThinQ, Original PRC, Moroccan Blue</t>
  </si>
  <si>
    <t>Задняя крышка Meizu M3 Note L681h, High Quality, Black</t>
  </si>
  <si>
    <t>Задняя крышка Meizu M3 Note M681h, High Quality, Black</t>
  </si>
  <si>
    <t>Задняя крышка Meizu M5 M611H, High Quality, Black</t>
  </si>
  <si>
    <t>Задняя крышка Meizu M5 Note M621, High Quality, Black</t>
  </si>
  <si>
    <t>Задняя крышка Meizu M5c M710, High Quality, Black</t>
  </si>
  <si>
    <t>Задняя крышка Meizu M5s M612H, High Quality, Black</t>
  </si>
  <si>
    <t>Задняя крышка Meizu M6 M711H, High Quality, Black</t>
  </si>
  <si>
    <t>Задняя крышка Meizu M6 Note M721H, High Quality, Black</t>
  </si>
  <si>
    <t>Задняя крышка Meizu M6t M811h, High Quality, Black</t>
  </si>
  <si>
    <t>Задняя крышка Meizu M8c M810H, High Quality, Black</t>
  </si>
  <si>
    <t>Задняя крышка Meizu U10 U680, High Quality, Black</t>
  </si>
  <si>
    <t>Задняя крышка Meizu U10 U680, High Quality, White</t>
  </si>
  <si>
    <t>Задняя крышка Meizu U20 U685H, High Quality, Black</t>
  </si>
  <si>
    <t>Задняя крышка Meizu U20 U685H, High Quality, White</t>
  </si>
  <si>
    <t>Задняя крышка Motorola E13 (XT2345), Original PRC, Aurora Green</t>
  </si>
  <si>
    <t>Задняя крышка Motorola E13 (XT2345), Original PRC, Cosmic Black</t>
  </si>
  <si>
    <t>Задняя крышка Motorola E6S (XT2053), E6i, со стеклом камеры, Meteor Grey</t>
  </si>
  <si>
    <t>Задняя крышка Motorola E7 Plus (XT2081), Misty Blue</t>
  </si>
  <si>
    <t>Задняя крышка Motorola E7 Power, E7i Power, Coral Red</t>
  </si>
  <si>
    <t>Задняя крышка Motorola E7 Power, E7i Power, Tahiti Blue</t>
  </si>
  <si>
    <t>Задняя крышка Motorola Edge 20, Original PRC, Frosted Grey</t>
  </si>
  <si>
    <t>Задняя крышка Motorola Edge 30 Neo, Original PRC, Black Onyx</t>
  </si>
  <si>
    <t>Задняя крышка Motorola Edge 30 Neo, Original PRC, Very Peri</t>
  </si>
  <si>
    <t>Задняя крышка Motorola Edge 40, Original PRC, Eclipse Black</t>
  </si>
  <si>
    <t>Задняя крышка Motorola Edge 40, Original PRC, Nebula Green</t>
  </si>
  <si>
    <t>Задняя крышка Motorola Edge 40, Original PRC, Viva Magenta</t>
  </si>
  <si>
    <t>Задняя крышка Motorola G10 (XT2127), Aurora Gray</t>
  </si>
  <si>
    <t>Задняя крышка Motorola G14, (XT2341), (XT2341-3), Original PRC, Sky Blue</t>
  </si>
  <si>
    <t>Задняя крышка Motorola G14, (XT2341), (XT2341-3), Original PRC, Steel Grey</t>
  </si>
  <si>
    <t>Задняя крышка Motorola G20 (XT2128), Breeze Blue</t>
  </si>
  <si>
    <t>Задняя крышка Motorola G23 (XT2333), Original PRC, Matte Charcoal</t>
  </si>
  <si>
    <t>Задняя крышка Motorola G23 (XT2333), Original PRC, Pearl White</t>
  </si>
  <si>
    <t>Задняя крышка Motorola G30, Pastel Sky</t>
  </si>
  <si>
    <t>Задняя крышка Motorola G32 (XT2235), Mineral Grey</t>
  </si>
  <si>
    <t>Задняя крышка Motorola G32 (XT2235), Rose Gold</t>
  </si>
  <si>
    <t>Задняя крышка Motorola G32 (XT2235), Satin Maroon (Red)</t>
  </si>
  <si>
    <t>Задняя крышка Motorola G54 (XT-2343-1), Original PRC, Indigo Blue</t>
  </si>
  <si>
    <t>Задняя крышка Motorola G54 (XT-2343-1), Original PRC, Mint Green</t>
  </si>
  <si>
    <t>Задняя крышка Motorola G60 (XT2135-2, XT2135), Haze Gray</t>
  </si>
  <si>
    <t>Задняя крышка Motorola G60 (XT2135-2, XT2135), Moonless Black</t>
  </si>
  <si>
    <t>Задняя крышка Motorola G72 (XT2255), Original PRC, Meteorite Grey</t>
  </si>
  <si>
    <t>Задняя крышка Motorola G72 (XT2255), Original PRC, Polar Blue</t>
  </si>
  <si>
    <t>Задняя крышка Motorola G8 (XT2045), Pearl White</t>
  </si>
  <si>
    <t>Задняя крышка Motorola G8 Power (XT2041), Smoke Black</t>
  </si>
  <si>
    <t>Задняя крышка Motorola G84 (XT2347), Original PRC, Marshmallow Blue</t>
  </si>
  <si>
    <t>Задняя крышка Motorola G84 (XT2347), Original PRC, Viva Magenta</t>
  </si>
  <si>
    <t>Задняя крышка Motorola G9 Play (XT2083), Forest Green</t>
  </si>
  <si>
    <t>Задняя крышка Motorola G9 Play (XT2083), Sapphire Blue</t>
  </si>
  <si>
    <t>Задняя крышка Motorola G9 Plus (XT2087), Navy Blue</t>
  </si>
  <si>
    <t>Задняя крышка Motorola G9 Power (XT2091-3), Metallic Sage</t>
  </si>
  <si>
    <t>Задняя крышка Motorola One Action (XT2013), One Vision (XT1970), Green</t>
  </si>
  <si>
    <t>Задняя крышка Motorola XT1620 Moto G4, XT1621 Moto G4, XT1622 Moto G4, XT1624 Moto G4, XT1625 Moto G4, XT1626 Moto G4, Black</t>
  </si>
  <si>
    <t>Задняя крышка Motorola XT1620 Moto G4, XT1621 Moto G4, XT1622 Moto G4, XT1624 Moto G4, XT1625 Moto G4, XT1626 Moto G4, Gold</t>
  </si>
  <si>
    <t>Задняя крышка Motorola XT1635-02 Moto Z Play, Black</t>
  </si>
  <si>
    <t>Задняя крышка Motorola XT1635-02 Moto Z Play, White</t>
  </si>
  <si>
    <t>Задняя крышка Motorola XT1641 Moto G4 Plus, XT1642 Moto G4 Plus, XT1644 Moto G4 Plus, Black</t>
  </si>
  <si>
    <t>Задняя крышка Motorola XT1676 Moto G5, Gold</t>
  </si>
  <si>
    <t>Задняя крышка Motorola XT1676 Moto G5, Gray</t>
  </si>
  <si>
    <t>Задняя крышка Motorola XT1685 Moto G5 Plus, Gold</t>
  </si>
  <si>
    <t>Задняя крышка Motorola XT1685 Moto G5 Plus, Gray</t>
  </si>
  <si>
    <t>Задняя крышка Motorola XT1723 Moto C Plus, Black</t>
  </si>
  <si>
    <t>Задняя крышка Motorola XT1723 Moto C Plus, White</t>
  </si>
  <si>
    <t>Задняя крышка Motorola XT1750 Moto C, Black</t>
  </si>
  <si>
    <t>Задняя крышка Motorola XT1750 Moto C, White</t>
  </si>
  <si>
    <t>Задняя крышка Motorola XT1794 Moto G5s, Black</t>
  </si>
  <si>
    <t>Задняя крышка Motorola XT1794 Moto G5s, Gold</t>
  </si>
  <si>
    <t>Задняя крышка Motorola XT1922 Moto G6 Play, Blue</t>
  </si>
  <si>
    <t>Задняя крышка Motorola XT1925 Moto G6, Blue</t>
  </si>
  <si>
    <t>Задняя крышка Motorola XT1926 Moto G6 Plus, Blue</t>
  </si>
  <si>
    <t>Задняя крышка Motorola XT1926 Moto G6 Plus, Gold</t>
  </si>
  <si>
    <t>Задняя крышка Motorola XT1944 Moto E5, Gold</t>
  </si>
  <si>
    <t>Задняя крышка Motorola XT1944 Moto E5, Gray</t>
  </si>
  <si>
    <t>Задняя крышка Nokia 2.3 (TA-1211, TA-1214, TA-1206, TA-1209), со стеклом камеры, Original PRC, Gray</t>
  </si>
  <si>
    <t>Задняя крышка Nokia 2.4 (TA-1277, TA-1275, TA-1274, TA-1270), со стеклом камеры, Original PRC, Grey</t>
  </si>
  <si>
    <t>Задняя крышка Nokia 3.1 Plus TA-1104, с стеклом камеры, Original PRC, Silver</t>
  </si>
  <si>
    <t>Задняя крышка Nokia 3.4 (TA-1283), Original PRC, Grey</t>
  </si>
  <si>
    <t>Задняя крышка Nokia 5.1 Plus (TA-1105), Black</t>
  </si>
  <si>
    <t>Задняя крышка Nokia 5.3 (TA-1234, TA-1223, TA-1227), Original PRC, Blue</t>
  </si>
  <si>
    <t>Задняя крышка Nokia 5.3 (TA-1234, TA-1223, TA-1227), Original PRC, Graphite</t>
  </si>
  <si>
    <t>Задняя крышка Nokia 6.1 Plus (TA-1116), Original PRC, Black</t>
  </si>
  <si>
    <t>Задняя крышка Nokia G10 (TA-1334, TA-1351), Original PRC, Blue</t>
  </si>
  <si>
    <t>Задняя крышка OnePlus 8 Pro (IN2023, IN2020, IN2021, IN2025), со стеклом камеры, Original, Black</t>
  </si>
  <si>
    <t>Задняя крышка Oppo A17, Original PRC, Lake Blue</t>
  </si>
  <si>
    <t>Задняя крышка Oppo A17, Original PRC, Midnight Black</t>
  </si>
  <si>
    <t>Задняя крышка Oppo A53, Original PRC, Green</t>
  </si>
  <si>
    <t>Задняя крышка Oppo A58, Original PRC, Black</t>
  </si>
  <si>
    <t>Задняя крышка Oppo A58, Original PRC, Dazzling Green</t>
  </si>
  <si>
    <t>Задняя крышка Oppo A74 4G, Original PRC, Aqua Green</t>
  </si>
  <si>
    <t>Задняя крышка Oppo A74 4G, Original PRC, Black</t>
  </si>
  <si>
    <t>Задняя крышка Oppo A74 4G, Original PRC, Midnight Blue</t>
  </si>
  <si>
    <t>Задняя крышка Oppo A76, Original PRC, Black</t>
  </si>
  <si>
    <t>Задняя крышка Oppo A76, Original PRC, Glowing Blue</t>
  </si>
  <si>
    <t>Задняя крышка Oppo A78 4G, Original PRC, Aqua Green</t>
  </si>
  <si>
    <t>Задняя крышка Oppo A78 4G, Original PRC, Mist Black</t>
  </si>
  <si>
    <t>Задняя крышка Oppo Realme 6 Pro, Original PRC, Blue</t>
  </si>
  <si>
    <t>Задняя крышка Oppo Realme C11, Original PRC, Grey</t>
  </si>
  <si>
    <t>Задняя крышка Oppo Realme C3, Original PRC, Blue</t>
  </si>
  <si>
    <t>Задняя крышка Oppo Reno 8T, с стеклом камеры, Original PRC, Orange Sunset</t>
  </si>
  <si>
    <t>Задняя крышка Redmi Note 10 5G, Original PRC, Onyx Gray</t>
  </si>
  <si>
    <t>Задняя крышка Redmi Note 10 Pro, Original PRC, Glacier Blue</t>
  </si>
  <si>
    <t>Задняя крышка Redmi Note 10 Pro, Original PRC, Gradient Bronze</t>
  </si>
  <si>
    <t>Задняя крышка Redmi Note 10 Pro, Original PRC, Onyx Gray</t>
  </si>
  <si>
    <t>Задняя крышка Redmi Note 10, Redmi Note 10S, Original PRC, Green</t>
  </si>
  <si>
    <t>Задняя крышка Redmi Note 10, Redmi Note 10S, Original PRC, Ocean Blue</t>
  </si>
  <si>
    <t>Задняя крышка Redmi Note 10, Redmi Note 10S, Original PRC, Onyx Gray</t>
  </si>
  <si>
    <t>Задняя крышка Redmi Note 12 Pro 5G, Original PRC, Midnight Black</t>
  </si>
  <si>
    <t>Задняя крышка Samsung A025 Galaxy A02s, Original PRC, Black</t>
  </si>
  <si>
    <t>Задняя крышка Samsung A042 Galaxy A04e, Original PRC, Black</t>
  </si>
  <si>
    <t>Задняя крышка Samsung A042 Galaxy A04e, Original PRC, Cooper</t>
  </si>
  <si>
    <t>Задняя крышка Samsung A042 Galaxy A04e, Original PRC, Light Green</t>
  </si>
  <si>
    <t>Задняя крышка Samsung A045 Galaxy A04, Original PRC, Black</t>
  </si>
  <si>
    <t>Задняя крышка Samsung A045 Galaxy A04, Original PRC, Copper</t>
  </si>
  <si>
    <t>Задняя крышка Samsung A045 Galaxy A04, Original PRC, Green</t>
  </si>
  <si>
    <t>Задняя крышка Samsung A047 Galaxy A04s, Original PRC, Black</t>
  </si>
  <si>
    <t>Задняя крышка Samsung A047 Galaxy A04s, Original PRC, Cooper</t>
  </si>
  <si>
    <t>Задняя крышка Samsung A047 Galaxy A04s, Original PRC, Green</t>
  </si>
  <si>
    <t>Задняя крышка Samsung A105 Galaxy A10 2019, со стеклом камеры, High Quality, Blue</t>
  </si>
  <si>
    <t>Задняя крышка Samsung A105 Galaxy A10 2019, со стеклом камеры, High Quality, Red</t>
  </si>
  <si>
    <t>Задняя крышка Samsung A105 Galaxy A10 2019, со стеклом камеры, Original PRC, Black</t>
  </si>
  <si>
    <t>Задняя крышка Samsung A125 Galaxy A12, A127 Galaxy A12s, со стеклом камеры, Original PRC, Black</t>
  </si>
  <si>
    <t>Задняя крышка Samsung A125 Galaxy A12, A127 Galaxy A12s, со стеклом камеры, Original PRC, Blue</t>
  </si>
  <si>
    <t>Задняя крышка Samsung A135 Galaxy A13, Original PRC, Black</t>
  </si>
  <si>
    <t>Задняя крышка Samsung A135 Galaxy A13, Original PRC, Light Blue</t>
  </si>
  <si>
    <t>Задняя крышка Samsung A135 Galaxy A13, Original PRC, White</t>
  </si>
  <si>
    <t>Задняя крышка Samsung A145 Galaxy A14, Original PRC, Black</t>
  </si>
  <si>
    <t>Задняя крышка Samsung A145 Galaxy A14, Original PRC, Light Green</t>
  </si>
  <si>
    <t>Задняя крышка Samsung A145 Galaxy A14, Original PRC, Silver</t>
  </si>
  <si>
    <t>Задняя крышка Samsung A205 Galaxy A20 2019, Original PRC, Black</t>
  </si>
  <si>
    <t>Задняя крышка Samsung A205 Galaxy A20 2019, Original PRC, Blue</t>
  </si>
  <si>
    <t>Задняя крышка Samsung A217 Galaxy A21s, Original PRC, Blue</t>
  </si>
  <si>
    <t>Задняя крышка Samsung A217 Galaxy A21s, Original PRC, Red</t>
  </si>
  <si>
    <t>Задняя крышка Samsung A235 Galaxy A23, Original PRC, Black</t>
  </si>
  <si>
    <t>Задняя крышка Samsung A235 Galaxy A23, Original PRC, Orange</t>
  </si>
  <si>
    <t>Задняя крышка Samsung A235 Galaxy A23, Original PRC, White</t>
  </si>
  <si>
    <t>Задняя крышка Samsung A305 Galaxy A30 2019, Original PRC, Black</t>
  </si>
  <si>
    <t>Задняя крышка Samsung A305 Galaxy A30 2019, Original PRC, Blue</t>
  </si>
  <si>
    <t>Задняя крышка Samsung A305 Galaxy A30 2019, Original PRC, White</t>
  </si>
  <si>
    <t>Задняя крышка Samsung A336 Galaxy A33 5G, Original PRC, Black</t>
  </si>
  <si>
    <t>Задняя крышка Samsung A336 Galaxy A33 5G, Original PRC, Orange</t>
  </si>
  <si>
    <t>Задняя крышка Samsung A336 Galaxy A33 5G, Original PRC, White</t>
  </si>
  <si>
    <t>Задняя крышка Samsung A346 Galaxy A34, Original PRC, Black</t>
  </si>
  <si>
    <t>Задняя крышка Samsung A346 Galaxy A34, Original PRC, Light Green</t>
  </si>
  <si>
    <t>Задняя крышка Samsung A346 Galaxy A34, Original PRC, Light Violet</t>
  </si>
  <si>
    <t>Задняя крышка Samsung A346 Galaxy A34, Original PRC, Silver</t>
  </si>
  <si>
    <t>Задняя крышка Samsung A505 Galaxy A50 2019, Original, Black</t>
  </si>
  <si>
    <t>Задняя крышка Samsung A505 Galaxy A50 2019, Original, Blue</t>
  </si>
  <si>
    <t>Задняя крышка Samsung A505 Galaxy A50 2019, Original, White</t>
  </si>
  <si>
    <t>Задняя крышка Samsung A515 Galaxy A51, Original PRC, Blue</t>
  </si>
  <si>
    <t>Задняя крышка Samsung A515 Galaxy A51, Original PRC, Pink</t>
  </si>
  <si>
    <t>Задняя крышка Samsung A515 Galaxy A51, Original PRC, White</t>
  </si>
  <si>
    <t>Задняя крышка Samsung A515 Galaxy A51, со стеклом камеры, Original PRC, Black</t>
  </si>
  <si>
    <t>Задняя крышка Samsung A530 Galaxy A8 2018, Black</t>
  </si>
  <si>
    <t>Задняя крышка Samsung A530 Galaxy A8 2018, Blue</t>
  </si>
  <si>
    <t>Задняя крышка Samsung A530 Galaxy A8 2018, Gold</t>
  </si>
  <si>
    <t>Задняя крышка Samsung A530 Galaxy A8 2018, Orchid Gray</t>
  </si>
  <si>
    <t>Задняя крышка Samsung A600 Galaxy A6, Original, Black</t>
  </si>
  <si>
    <t>Задняя крышка Samsung A600 Galaxy A6, Original, Blue</t>
  </si>
  <si>
    <t>Задняя крышка Samsung A600 Galaxy A6, Original, Gold</t>
  </si>
  <si>
    <t>Задняя крышка Samsung A605 Galaxy A6 Plus 2018, Original, Black</t>
  </si>
  <si>
    <t>Задняя крышка Samsung A605 Galaxy A6 Plus 2018, Original, Blue</t>
  </si>
  <si>
    <t>Задняя крышка Samsung A605 Galaxy A6 Plus 2018, Original, Gold</t>
  </si>
  <si>
    <t>Задняя крышка Samsung A750 Galaxy A7 2018, Original PRC, Black</t>
  </si>
  <si>
    <t>Задняя крышка Samsung A750 Galaxy A7 2018, Original PRC, Blue</t>
  </si>
  <si>
    <t>Задняя крышка Samsung A750 Galaxy A7 2018, Original PRC, Gold</t>
  </si>
  <si>
    <t>Задняя крышка Samsung A750 Galaxy A7 2018, Original PRC, Pink</t>
  </si>
  <si>
    <t>Задняя крышка Samsung F711 Galaxy Z Flip 3, с стеклом камеры, две части, Original PRC, Cream</t>
  </si>
  <si>
    <t>Задняя крышка Samsung F711 Galaxy Z Flip 3, с стеклом камеры, две части, Original PRC, Green</t>
  </si>
  <si>
    <t>Задняя крышка Samsung F711 Galaxy Z Flip 3, с стеклом камеры, две части, Original PRC, Lavander (Purple)</t>
  </si>
  <si>
    <t>Задняя крышка Samsung F711 Galaxy Z Flip 3, с стеклом камеры, две части, Original PRC, Phantom Black</t>
  </si>
  <si>
    <t>Задняя крышка Samsung F916 Galaxy Z Fold 2, с стеклом камеры, Original PRC, Black</t>
  </si>
  <si>
    <t>Задняя крышка Samsung F916 Galaxy Z Fold 2, с стеклом камеры, Original PRC, Bronze</t>
  </si>
  <si>
    <t>Задняя крышка Samsung F926 Galaxy Z Fold 3, с стеклом камеры, Original PRC, Phantom Black</t>
  </si>
  <si>
    <t>Задняя крышка Samsung F926 Galaxy Z Fold 3, с стеклом камеры, Original PRC, Phantom Green</t>
  </si>
  <si>
    <t>Задняя крышка Samsung F926 Galaxy Z Fold 3, с стеклом камеры, Original PRC, Phantom Silver</t>
  </si>
  <si>
    <t>Задняя крышка Samsung F936 Galaxy Z Fold 4, с стеклом камеры, Original PRC, Graygreen</t>
  </si>
  <si>
    <t>Задняя крышка Samsung F936 Galaxy Z Fold 4, с стеклом камеры, Original PRC, Phantom Black</t>
  </si>
  <si>
    <t>Задняя крышка Samsung G532 Galaxy J2 Prime, Black</t>
  </si>
  <si>
    <t>Задняя крышка Samsung G532 Galaxy J2 Prime, Gold</t>
  </si>
  <si>
    <t>Задняя крышка Samsung G532 Galaxy J2 Prime, Pink</t>
  </si>
  <si>
    <t>Задняя крышка Samsung G532 Galaxy J2 Prime, Silver</t>
  </si>
  <si>
    <t>Задняя крышка Samsung G532 Galaxy J2 Prime, White</t>
  </si>
  <si>
    <t>Задняя крышка Samsung G780 Galaxy S20 FE, Original PRC, Blue</t>
  </si>
  <si>
    <t>Задняя крышка Samsung G780 Galaxy S20 FE, Original PRC, Green</t>
  </si>
  <si>
    <t>Задняя крышка Samsung G780 Galaxy S20 FE, Original PRC, Light Violet</t>
  </si>
  <si>
    <t>Задняя крышка Samsung G780 Galaxy S20 FE, Original PRC, Orange</t>
  </si>
  <si>
    <t>Задняя крышка Samsung G780 Galaxy S20 FE, Original PRC, Red</t>
  </si>
  <si>
    <t>Задняя крышка Samsung G780 Galaxy S20 FE, Original PRC, White</t>
  </si>
  <si>
    <t>Задняя крышка Samsung G928 Galaxy S6 Edge Plus, Original PRC, Blue</t>
  </si>
  <si>
    <t>Задняя крышка Samsung G928 Galaxy S6 Edge Plus, Original PRC, Gold</t>
  </si>
  <si>
    <t>Задняя крышка Samsung G928 Galaxy S6 Edge Plus, Original PRC, White</t>
  </si>
  <si>
    <t>Задняя крышка Samsung G930 Galaxy S7, Original PRC, Black</t>
  </si>
  <si>
    <t>Задняя крышка Samsung G930 Galaxy S7, Original PRC, Gold</t>
  </si>
  <si>
    <t>Задняя крышка Samsung G930 Galaxy S7, Original PRC, Silver</t>
  </si>
  <si>
    <t>Задняя крышка Samsung G930 Galaxy S7, Original PRC, White</t>
  </si>
  <si>
    <t>Задняя крышка Samsung G935 Galaxy S7 Edge, High Quality, Black</t>
  </si>
  <si>
    <t>Задняя крышка Samsung G935 Galaxy S7 Edge, High Quality, Gold</t>
  </si>
  <si>
    <t>Задняя крышка Samsung G935 Galaxy S7 Edge, High Quality, Silver</t>
  </si>
  <si>
    <t>Задняя крышка Samsung G935 Galaxy S7 Edge, High Quality, White</t>
  </si>
  <si>
    <t>Задняя крышка Samsung G950 Galaxy S8, High Quality, Blue</t>
  </si>
  <si>
    <t>Задняя крышка Samsung G950 Galaxy S8, High Quality, Gold</t>
  </si>
  <si>
    <t>Задняя крышка Samsung G950 Galaxy S8, High Quality, Midnight Black</t>
  </si>
  <si>
    <t>Задняя крышка Samsung G950 Galaxy S8, High Quality, Silver</t>
  </si>
  <si>
    <t>Задняя крышка Samsung G955 Galaxy S8 Plus, High Quality, Arctic Silver</t>
  </si>
  <si>
    <t>Задняя крышка Samsung G955 Galaxy S8 Plus, High Quality, Maple Gold</t>
  </si>
  <si>
    <t>Задняя крышка Samsung G955 Galaxy S8 Plus, High Quality, Midnight Black</t>
  </si>
  <si>
    <t>Задняя крышка Samsung G955 Galaxy S8 Plus, со стеклом камеры, High Quality, Orchid Gray</t>
  </si>
  <si>
    <t>Задняя крышка Samsung G960 Galaxy S9, Blue</t>
  </si>
  <si>
    <t>Задняя крышка Samsung G960 Galaxy S9, Lilac Purple</t>
  </si>
  <si>
    <t>Задняя крышка Samsung G960 Galaxy S9, Midnight Black</t>
  </si>
  <si>
    <t>Задняя крышка Samsung G960 Galaxy S9, Sunrise Gold</t>
  </si>
  <si>
    <t>Задняя крышка Samsung G960 Galaxy S9, Titanium Gray</t>
  </si>
  <si>
    <t>Задняя крышка Samsung G960 Galaxy S9, со стеклом камеры, Midnight Black</t>
  </si>
  <si>
    <t>Задняя крышка Samsung G965 Galaxy S9 Plus, Blue</t>
  </si>
  <si>
    <t>Задняя крышка Samsung G965 Galaxy S9 Plus, Lilac Purple</t>
  </si>
  <si>
    <t>Задняя крышка Samsung G965 Galaxy S9 Plus, Midnight Black</t>
  </si>
  <si>
    <t>Задняя крышка Samsung G965 Galaxy S9 Plus, Sunrise Gold</t>
  </si>
  <si>
    <t>Задняя крышка Samsung G965 Galaxy S9 Plus, Titanium Gray</t>
  </si>
  <si>
    <t>Задняя крышка Samsung G965 Galaxy S9 Plus, со стеклом камеры, Blue</t>
  </si>
  <si>
    <t>Задняя крышка Samsung G965 Galaxy S9 Plus, со стеклом камеры, Titanium Gray</t>
  </si>
  <si>
    <t>Задняя крышка Samsung G970 Galaxy S10e, High Quality, Black</t>
  </si>
  <si>
    <t>Задняя крышка Samsung G970 Galaxy S10e, High Quality, Blue</t>
  </si>
  <si>
    <t>Задняя крышка Samsung G970 Galaxy S10e, High Quality, Green</t>
  </si>
  <si>
    <t>Задняя крышка Samsung G970 Galaxy S10e, High Quality, White</t>
  </si>
  <si>
    <t>Задняя крышка Samsung G970 Galaxy S10e, High Quality, Yellow</t>
  </si>
  <si>
    <t>Задняя крышка Samsung G970 Galaxy S10e, со стеклом камеры, High Quality, Black</t>
  </si>
  <si>
    <t>Задняя крышка Samsung G970 Galaxy S10e, со стеклом камеры, High Quality, Blue</t>
  </si>
  <si>
    <t>Задняя крышка Samsung G973 Galaxy S10, High Quality, Black</t>
  </si>
  <si>
    <t>Задняя крышка Samsung G973 Galaxy S10, High Quality, Blue</t>
  </si>
  <si>
    <t>Задняя крышка Samsung G973 Galaxy S10, High Quality, Green</t>
  </si>
  <si>
    <t>Задняя крышка Samsung G973 Galaxy S10, High Quality, Red</t>
  </si>
  <si>
    <t>Задняя крышка Samsung G973 Galaxy S10, High Quality, White</t>
  </si>
  <si>
    <t>Задняя крышка Samsung G973 Galaxy S10, со стеклом камеры, High Quality, Black</t>
  </si>
  <si>
    <t>Задняя крышка Samsung G973 Galaxy S10, со стеклом камеры, High Quality, Blue</t>
  </si>
  <si>
    <t>Задняя крышка Samsung G973 Galaxy S10, со стеклом камеры, High Quality, Green</t>
  </si>
  <si>
    <t>Задняя крышка Samsung G975 Galaxy S10 Plus, High Quality, Black</t>
  </si>
  <si>
    <t>Задняя крышка Samsung G975 Galaxy S10 Plus, High Quality, Blue</t>
  </si>
  <si>
    <t>Задняя крышка Samsung G975 Galaxy S10 Plus, High Quality, Green</t>
  </si>
  <si>
    <t>Задняя крышка Samsung G975 Galaxy S10 Plus, High Quality, Red</t>
  </si>
  <si>
    <t>Задняя крышка Samsung G975 Galaxy S10 Plus, High Quality, White</t>
  </si>
  <si>
    <t>Задняя крышка Samsung G980 Galaxy S20, Original PRC, Blue</t>
  </si>
  <si>
    <t>Задняя крышка Samsung G996 Galaxy S21 Plus, Original PRC, Phantom Black</t>
  </si>
  <si>
    <t>Задняя крышка Samsung G996 Galaxy S21 Plus, со стеклом камеры, Original PRC, Phantom Black</t>
  </si>
  <si>
    <t>Задняя крышка Samsung J330 Galaxy J3 2017, Black</t>
  </si>
  <si>
    <t>Задняя крышка Samsung J330 Galaxy J3 2017, Blue</t>
  </si>
  <si>
    <t>Задняя крышка Samsung J330 Galaxy J3 2017, Gold</t>
  </si>
  <si>
    <t>Задняя крышка Samsung J330 Galaxy J3 2017, Pink</t>
  </si>
  <si>
    <t>Задняя крышка Samsung J400 Galaxy J4 2018, High Quality, Black</t>
  </si>
  <si>
    <t>Задняя крышка Samsung J510 Galaxy J5 2016, High Quality, Black</t>
  </si>
  <si>
    <t>Задняя крышка Samsung J510 Galaxy J5 2016, High Quality, Gold</t>
  </si>
  <si>
    <t>Задняя крышка Samsung J510 Galaxy J5 2016, High Quality, White</t>
  </si>
  <si>
    <t>Задняя крышка Samsung J610 Galaxy J6 Plus 2018, Black</t>
  </si>
  <si>
    <t>Задняя крышка Samsung J710 Galaxy J7 2016, High Quality, Black</t>
  </si>
  <si>
    <t>Задняя крышка Samsung J730 Galaxy J7 2017, Black</t>
  </si>
  <si>
    <t>Задняя крышка Samsung J730 Galaxy J7 2017, Gold</t>
  </si>
  <si>
    <t>Задняя крышка Samsung M135 Galaxy M13, Original PRC, Black</t>
  </si>
  <si>
    <t>Задняя крышка Samsung M135 Galaxy M13, Original PRC, Blue</t>
  </si>
  <si>
    <t>Задняя крышка Samsung M135 Galaxy M13, Original PRC, Orange</t>
  </si>
  <si>
    <t>Задняя крышка Samsung N950 Galaxy Note 8, Blue</t>
  </si>
  <si>
    <t>Задняя крышка Samsung N950 Galaxy Note 8, Gold</t>
  </si>
  <si>
    <t>Задняя крышка Samsung N960 Galaxy Note 9, Lavender Purple</t>
  </si>
  <si>
    <t>Задняя крышка Samsung N960 Galaxy Note 9, Metallic Copper</t>
  </si>
  <si>
    <t>Задняя крышка Samsung S901 Galaxy S22, Original PRC, Bora Purple</t>
  </si>
  <si>
    <t>Задняя крышка Samsung S901 Galaxy S22, Original PRC, Green</t>
  </si>
  <si>
    <t>Задняя крышка Samsung S901 Galaxy S22, Original PRC, Phantom Black</t>
  </si>
  <si>
    <t>Задняя крышка Samsung S901 Galaxy S22, Original PRC, Pink Gold</t>
  </si>
  <si>
    <t>Задняя крышка Samsung S901 Galaxy S22, с стеклом камеры, Original PRC, Bora Purple</t>
  </si>
  <si>
    <t>Задняя крышка Samsung S901 Galaxy S22, с стеклом камеры, Original PRC, Green</t>
  </si>
  <si>
    <t>Задняя крышка Samsung S901 Galaxy S22, с стеклом камеры, Original PRC, Phantom Black</t>
  </si>
  <si>
    <t>Задняя крышка Samsung S901 Galaxy S22, с стеклом камеры, Original PRC, Pink</t>
  </si>
  <si>
    <t>Задняя крышка Samsung S908 Galaxy S22 Ultra, Original PRC, Green</t>
  </si>
  <si>
    <t>Задняя крышка Samsung S908 Galaxy S22 Ultra, Original PRC, Phantom Black</t>
  </si>
  <si>
    <t>Задняя крышка Samsung S908 Galaxy S22 Ultra, Original PRC, Phantom White</t>
  </si>
  <si>
    <t>Задняя крышка Samsung S908 Galaxy S22 Ultra, с стеклом камеры, Original PRC, Green</t>
  </si>
  <si>
    <t>Задняя крышка Samsung S908 Galaxy S22 Ultra, с стеклом камеры, Original PRC, Phantom Black</t>
  </si>
  <si>
    <t>Задняя крышка Samsung S908 Galaxy S22 Ultra, с стеклом камеры, Original PRC, Phantom White</t>
  </si>
  <si>
    <t>Задняя крышка Samsung S911 Galaxy S23, Original PRC, Beige</t>
  </si>
  <si>
    <t>Задняя крышка Samsung S911 Galaxy S23, Original PRC, Green</t>
  </si>
  <si>
    <t>Задняя крышка Samsung S911 Galaxy S23, Original PRC, Light Pink</t>
  </si>
  <si>
    <t>Задняя крышка Samsung S911 Galaxy S23, Original PRC, Phantom Black</t>
  </si>
  <si>
    <t>Задняя крышка Samsung S911 Galaxy S23, с стеклом камеры, Original PRC, Beige</t>
  </si>
  <si>
    <t>Задняя крышка Samsung S911 Galaxy S23, с стеклом камеры, Original PRC, Green</t>
  </si>
  <si>
    <t>Задняя крышка Samsung S911 Galaxy S23, с стеклом камеры, Original PRC, Light Pink</t>
  </si>
  <si>
    <t>Задняя крышка Samsung S911 Galaxy S23, с стеклом камеры, Original PRC, Phantom Black</t>
  </si>
  <si>
    <t>Задняя крышка Samsung S916 Galaxy S23 Plus, Original PRC, Green</t>
  </si>
  <si>
    <t>Задняя крышка Samsung S916 Galaxy S23 Plus, Original PRC, Light Pink</t>
  </si>
  <si>
    <t>Задняя крышка Samsung S916 Galaxy S23 Plus, Original PRC, Phantom Black</t>
  </si>
  <si>
    <t>Задняя крышка Samsung S916 Galaxy S23 Plus, с стеклом камеры, Original PRC, Green</t>
  </si>
  <si>
    <t>Задняя крышка Samsung S916 Galaxy S23 Plus, с стеклом камеры, Original PRC, Light Pink</t>
  </si>
  <si>
    <t>Задняя крышка Samsung S916 Galaxy S23 Plus, с стеклом камеры, Original PRC, Phantom Black</t>
  </si>
  <si>
    <t>Задняя крышка Samsung S918 Galaxy S23 Ultra, Original PRC, Beige</t>
  </si>
  <si>
    <t>Задняя крышка Samsung S918 Galaxy S23 Ultra, Original PRC, Green</t>
  </si>
  <si>
    <t>Задняя крышка Samsung S918 Galaxy S23 Ultra, Original PRC, Light Pink</t>
  </si>
  <si>
    <t>Задняя крышка Samsung S918 Galaxy S23 Ultra, Original PRC, Phantom Black</t>
  </si>
  <si>
    <t>Задняя крышка Samsung S918 Galaxy S23 Ultra, с стеклом камеры, Original PRC, Cream</t>
  </si>
  <si>
    <t>Задняя крышка Samsung S918 Galaxy S23 Ultra, с стеклом камеры, Original PRC, Green</t>
  </si>
  <si>
    <t>Задняя крышка Samsung S918 Galaxy S23 Ultra, с стеклом камеры, Original PRC, Light Pink</t>
  </si>
  <si>
    <t>Задняя крышка Samsung S918 Galaxy S23 Ultra, с стеклом камеры, Original PRC, Phantom Black</t>
  </si>
  <si>
    <t>Задняя крышка Sony C6602 Xperia Z, C6603 Xperia Z, Black</t>
  </si>
  <si>
    <t>Задняя крышка Sony C6602 Xperia Z, C6603 Xperia Z, White</t>
  </si>
  <si>
    <t>Задняя крышка Sony D5503 Xperia Z1 Compact, White</t>
  </si>
  <si>
    <t>Задняя крышка Sony D6603 Xperia Z3, D6633 Xperia Z3, D6643 Xperia Z3, D6653 Xperia Z3, White</t>
  </si>
  <si>
    <t>Задняя крышка Sony E6533 Xperia Z3+ DS, E6553 Xperia Z3+, Xperia Z4, Black</t>
  </si>
  <si>
    <t>Задняя крышка Sony E6533 Xperia Z3+ DS, E6553 Xperia Z3+, Xperia Z4, White</t>
  </si>
  <si>
    <t>Задняя крышка Sony E6833 Xperia Z5 Premium Dual, E6853 Xperia Z5 Premium, E6883 Xperia Z5 Premium Dual, White</t>
  </si>
  <si>
    <t>Задняя крышка Sony F3111 Xperia XA, F3112 Xperia XA Dual, F3113 Xperia XA, F3115 Xperia XA, F3116 Xperia XA Dual, Gold</t>
  </si>
  <si>
    <t>Задняя крышка Sony F3111 Xperia XA, F3112 Xperia XA Dual, F3113 Xperia XA, F3115 Xperia XA, F3116 Xperia XA Dual, Pink</t>
  </si>
  <si>
    <t>Задняя крышка Sony F3111 Xperia XA, F3112 Xperia XA Dual, F3113 Xperia XA, F3115 Xperia XA, F3116 Xperia XA Dual, White</t>
  </si>
  <si>
    <t>Задняя крышка Sony F5121 Xperia X, F5122 Xperia X Dual, F8131 Xperia X Performance, F8132 Xperia X Performance Dual, Black</t>
  </si>
  <si>
    <t>Задняя крышка Sony F5321 Xperia X Compact, Black</t>
  </si>
  <si>
    <t>Задняя крышка Sony F8332 Xperia XZ, Black</t>
  </si>
  <si>
    <t>Задняя крышка Sony G3112 Xperia XA1 Dual, G3116 Xperia XA1, G3121 Xperia XA1, G3125 Xperia XA1, Black</t>
  </si>
  <si>
    <t>Задняя крышка Sony H3113 Xperia XA2, H3123 Xperia XA2, H3133 Xperia XA2, H4113 Xperia XA2, H4133 Xperia XA2, Black</t>
  </si>
  <si>
    <t>Задняя крышка Sony H4311 Xperia L2, Black</t>
  </si>
  <si>
    <t>Задняя крышка Tecno Camon 17P (CG7n), Frost Silver</t>
  </si>
  <si>
    <t>Задняя крышка Tecno Camon 17P (CG7n), Magnet Black</t>
  </si>
  <si>
    <t>Задняя крышка Tecno Camon 17P (CG7n), Spruce Green</t>
  </si>
  <si>
    <t>Задняя крышка Tecno Camon 19 Pro (CI8n), Eco Black</t>
  </si>
  <si>
    <t>Задняя крышка Tecno Pop 5 (BD2p), Ice Blue</t>
  </si>
  <si>
    <t>Задняя крышка Tecno Pop 5 (BD2p), Ice Lake Green</t>
  </si>
  <si>
    <t>Задняя крышка Tecno Pop 5 (BD2p), Obsidian Black</t>
  </si>
  <si>
    <t>Задняя крышка Tecno Pova 2 (LE7n), Dazzle Black</t>
  </si>
  <si>
    <t>Задняя крышка Tecno Pova Neo 2 (LG6N), со стеклом камеры, Cyber Blue</t>
  </si>
  <si>
    <t>Задняя крышка Tecno Pova Neo 2 (LG6N), со стеклом камеры, Uranolith Grey</t>
  </si>
  <si>
    <t>Задняя крышка Tecno Spark 10 Pro (KI7), Pearl White</t>
  </si>
  <si>
    <t>Задняя крышка Tecno Spark 10 Pro (KI7), Starry Black</t>
  </si>
  <si>
    <t>Задняя крышка Tecno Spark 6 (KE7), Comet Black</t>
  </si>
  <si>
    <t>Задняя крышка Tecno Spark 6 (KE7), Ocean Blue</t>
  </si>
  <si>
    <t>Задняя крышка Tecno Spark 6 (KE7), Purple</t>
  </si>
  <si>
    <t>Задняя крышка Tecno Spark 7 (KF6n), Magnet Black</t>
  </si>
  <si>
    <t>Задняя крышка Tecno Spark 7 (KF6n), Morpheus Blue</t>
  </si>
  <si>
    <t>Задняя крышка Tecno Spark 7 (KF6n), Spruce Green</t>
  </si>
  <si>
    <t>Задняя крышка Tecno Spark 8c (KG5n), со стеклом камеры, Gray</t>
  </si>
  <si>
    <t>Задняя крышка Tecno Spark 8c (KG5n), со стеклом камеры, Turquoise Cyan</t>
  </si>
  <si>
    <t>Задняя крышка Tecno Spark 9 Pro (KH7n), Black</t>
  </si>
  <si>
    <t>Задняя крышка Tecno Spark 9 Pro (KH7n), Blue</t>
  </si>
  <si>
    <t>Задняя крышка Tecno Spark Go 2022 (KG5m), со стеклом камеры, Ice Silver</t>
  </si>
  <si>
    <t>Задняя крышка Tecno Spark Go 2023 (BF7n), Endless Black</t>
  </si>
  <si>
    <t>Задняя крышка Tecno Spark Go 2023 (BF7n), со стеклом камеры, Uyuni Blue</t>
  </si>
  <si>
    <t>Задняя крышка Xiaomi 11T, 11T Pro, Original PRC, Celestial Blue</t>
  </si>
  <si>
    <t>Задняя крышка Xiaomi 11T, 11T Pro, Original PRC, Meteorite Gray</t>
  </si>
  <si>
    <t>Задняя крышка Xiaomi 11T, 11T Pro, Original PRC, Moonlight White</t>
  </si>
  <si>
    <t>Задняя крышка Xiaomi 12T, Original PRC, Black</t>
  </si>
  <si>
    <t>Задняя крышка Xiaomi 12T, Original PRC, Blue</t>
  </si>
  <si>
    <t>Задняя крышка Xiaomi 12T, со стеклом камеры, Original PRC, Black</t>
  </si>
  <si>
    <t>Задняя крышка Xiaomi 12T, со стеклом камеры, Original PRC, Blue</t>
  </si>
  <si>
    <t>Задняя крышка Xiaomi 13 Lite, Original PRC, Black</t>
  </si>
  <si>
    <t>Задняя крышка Xiaomi 13T, Original PRC, Meadow Green</t>
  </si>
  <si>
    <t>Задняя крышка Xiaomi Mi 11 Lite, Original PRC, Black</t>
  </si>
  <si>
    <t>Задняя крышка Xiaomi Mi 11 Lite, Original PRC, Blue</t>
  </si>
  <si>
    <t>Задняя крышка Xiaomi Mi 11 Lite, со стеклом камеры, Original PRC, Black</t>
  </si>
  <si>
    <t>Задняя крышка Xiaomi Mi 11 Lite, со стеклом камеры, Original PRC, Blue</t>
  </si>
  <si>
    <t>Задняя крышка Xiaomi Mi 11 Lite, со стеклом камеры, Original PRC, Pink</t>
  </si>
  <si>
    <t>Задняя крышка Xiaomi Mi 11 Ultra, Original PRC, Ceramic Black</t>
  </si>
  <si>
    <t>Задняя крышка Xiaomi Mi 11, Original PRC, Cloud White</t>
  </si>
  <si>
    <t>Задняя крышка Xiaomi Mi 11, Original PRC, Horizon Blue</t>
  </si>
  <si>
    <t>Задняя крышка Xiaomi Mi 11, Original PRC, Midnight Gray</t>
  </si>
  <si>
    <t>Задняя крышка Xiaomi Mi 11i, Original PRC, Cosmic Black</t>
  </si>
  <si>
    <t>Задняя крышка Xiaomi Mi 8 Lite, Aurora Blue</t>
  </si>
  <si>
    <t>Задняя крышка Xiaomi Mi 8 Lite, Black</t>
  </si>
  <si>
    <t>Задняя крышка Xiaomi Mi 8 Lite, со стеклом камеры, Black</t>
  </si>
  <si>
    <t>Задняя крышка Xiaomi Mi 8, Black</t>
  </si>
  <si>
    <t>Задняя крышка Xiaomi Mi 9 SE, Black</t>
  </si>
  <si>
    <t>Задняя крышка Xiaomi Mi 9, Black</t>
  </si>
  <si>
    <t>Задняя крышка Xiaomi Mi 9, со стеклом камеры, Black</t>
  </si>
  <si>
    <t>Задняя крышка Xiaomi Mi A1, Mi 5x, Original PRC, Black</t>
  </si>
  <si>
    <t>Задняя крышка Xiaomi Mi A1, Mi 5x, Original PRC, Gold</t>
  </si>
  <si>
    <t>Задняя крышка Xiaomi Mi A2 Lite, Redmi 6 Pro, со стеклом камеры, Original, Black</t>
  </si>
  <si>
    <t>Задняя крышка Xiaomi Mi A2, Redmi 6x, Black</t>
  </si>
  <si>
    <t>Задняя крышка Xiaomi Mi Play, Black</t>
  </si>
  <si>
    <t>Задняя крышка Xiaomi Mi4c, Black</t>
  </si>
  <si>
    <t>Задняя крышка Xiaomi Pocophone F1, Black</t>
  </si>
  <si>
    <t>Задняя крышка Xiaomi Redmi 10, Original PRC, Blue</t>
  </si>
  <si>
    <t>Задняя крышка Xiaomi Redmi 10, Original PRC, Grey</t>
  </si>
  <si>
    <t>Задняя крышка Xiaomi Redmi 10, Original PRC, White</t>
  </si>
  <si>
    <t>Задняя крышка Xiaomi Redmi 10c, High Quality, Gray</t>
  </si>
  <si>
    <t>Задняя крышка Xiaomi Redmi 10c, High Quality, Mint Green</t>
  </si>
  <si>
    <t>Задняя крышка Xiaomi Redmi 10c, High Quality, Ocean Blue</t>
  </si>
  <si>
    <t>Задняя крышка Xiaomi Redmi 12, Original PRC, Midnight Black</t>
  </si>
  <si>
    <t>Задняя крышка Xiaomi Redmi 12, Original PRC, Sky Blue</t>
  </si>
  <si>
    <t>Задняя крышка Xiaomi Redmi 12C, Original PRC, Graphite Gray</t>
  </si>
  <si>
    <t>Задняя крышка Xiaomi Redmi 12C, Original PRC, Lavender Purple</t>
  </si>
  <si>
    <t>Задняя крышка Xiaomi Redmi 12C, Original PRC, Mint Green</t>
  </si>
  <si>
    <t>Задняя крышка Xiaomi Redmi 12C, Original PRC, Ocean Blue</t>
  </si>
  <si>
    <t>Задняя крышка Xiaomi Redmi 4, Black</t>
  </si>
  <si>
    <t>Задняя крышка Xiaomi Redmi 4, White</t>
  </si>
  <si>
    <t>Задняя крышка Xiaomi Redmi 4a, Black</t>
  </si>
  <si>
    <t>Задняя крышка Xiaomi Redmi 4a, Gold</t>
  </si>
  <si>
    <t>Задняя крышка Xiaomi Redmi 4a, White</t>
  </si>
  <si>
    <t>Задняя крышка Xiaomi Redmi 4x, Black</t>
  </si>
  <si>
    <t>Задняя крышка Xiaomi Redmi 4x, Gold</t>
  </si>
  <si>
    <t>Задняя крышка Xiaomi Redmi 5, Pink</t>
  </si>
  <si>
    <t>Задняя крышка Xiaomi Redmi 6, Black</t>
  </si>
  <si>
    <t>Задняя крышка Xiaomi Redmi 7, Original PRC, Black</t>
  </si>
  <si>
    <t>Задняя крышка Xiaomi Redmi 7A, со стеклом камеры, Original PRC, Black</t>
  </si>
  <si>
    <t>Задняя крышка Xiaomi Redmi 8, Original PRC, Black</t>
  </si>
  <si>
    <t>Задняя крышка Xiaomi Redmi 8A, Original PRC, Black</t>
  </si>
  <si>
    <t>Задняя крышка Xiaomi Redmi 9, Original PRC, Carbon Grey</t>
  </si>
  <si>
    <t>Задняя крышка Xiaomi Redmi 9, Original PRC, Ocean Green</t>
  </si>
  <si>
    <t>Задняя крышка Xiaomi Redmi 9, Original PRC, Pink</t>
  </si>
  <si>
    <t>Задняя крышка Xiaomi Redmi 9A, Original PRC, Blue</t>
  </si>
  <si>
    <t>Задняя крышка Xiaomi Redmi 9A, Original PRC, Granite Gray</t>
  </si>
  <si>
    <t>Задняя крышка Xiaomi Redmi 9A, Original PRC, Green</t>
  </si>
  <si>
    <t>Задняя крышка Xiaomi Redmi 9C, Original PRC, Blue</t>
  </si>
  <si>
    <t>Задняя крышка Xiaomi Redmi 9C, Original PRC, Midnight Gray</t>
  </si>
  <si>
    <t>Задняя крышка Xiaomi Redmi 9T, Original PRC, Carbon Gray</t>
  </si>
  <si>
    <t>Задняя крышка Xiaomi Redmi 9T, Original PRC, Green</t>
  </si>
  <si>
    <t>Задняя крышка Xiaomi Redmi Note 11, Redmi Note 11S, Original PRC, Graphite Grey</t>
  </si>
  <si>
    <t>Задняя крышка Xiaomi Redmi Note 11, Redmi Note 11S, Original PRC, Star Blue</t>
  </si>
  <si>
    <t>Задняя крышка Xiaomi Redmi Note 11, Redmi Note 11S, Original PRC, Twilight Blue</t>
  </si>
  <si>
    <t>Задняя крышка Xiaomi Redmi Note 11E, Original PRC, Atlantic Blue</t>
  </si>
  <si>
    <t>Задняя крышка Xiaomi Redmi Note 11E, Original PRC, Gray</t>
  </si>
  <si>
    <t>Задняя крышка Xiaomi Redmi Note 11E, Original PRC, Silver</t>
  </si>
  <si>
    <t>Задняя крышка Xiaomi Redmi Note 11E, со стеклом камеры, Original PRC, Silver</t>
  </si>
  <si>
    <t>Задняя крышка Xiaomi Redmi Note 12 Pro Plus 5G, Original PRC, Black</t>
  </si>
  <si>
    <t>Задняя крышка Xiaomi Redmi Note 12 Pro Plus 5G, Original PRC, Sky Blue</t>
  </si>
  <si>
    <t>Задняя крышка Xiaomi Redmi Note 12 Pro Plus 5G, со стеклом камеры, Original PRC, Black</t>
  </si>
  <si>
    <t>Задняя крышка Xiaomi Redmi Note 12 Pro Plus 5G, со стеклом камеры, Original PRC, Blue</t>
  </si>
  <si>
    <t>Задняя крышка Xiaomi Redmi Note 12S, Original PRC, Ice Blue</t>
  </si>
  <si>
    <t>Задняя крышка Xiaomi Redmi Note 12S, Original PRC, Onyx Black</t>
  </si>
  <si>
    <t>Задняя крышка Xiaomi Redmi Note 12S, Original PRC, Pearl Green</t>
  </si>
  <si>
    <t>Задняя крышка Xiaomi Redmi Note 4 Global, Redmi Note 4X ( MTK ), High Quality, Rose Gold</t>
  </si>
  <si>
    <t>Задняя крышка Xiaomi Redmi Note 4 Global, Redmi Note 4X Snapdragon, High Quality, Black</t>
  </si>
  <si>
    <t>Задняя крышка Xiaomi Redmi Note 4 Global, Redmi Note 4X Snapdragon, High Quality, Gold</t>
  </si>
  <si>
    <t>Задняя крышка Xiaomi Redmi Note 5, Grey</t>
  </si>
  <si>
    <t>Задняя крышка Xiaomi Redmi Note 5a Prime, Gold</t>
  </si>
  <si>
    <t>Задняя крышка Xiaomi Redmi Note 5a Prime, Grey</t>
  </si>
  <si>
    <t>Задняя крышка Xiaomi Redmi Note 5a, Gold</t>
  </si>
  <si>
    <t>Задняя крышка Xiaomi Redmi Note 5a, Grey</t>
  </si>
  <si>
    <t>Задняя крышка Xiaomi Redmi Note 5a, Pink</t>
  </si>
  <si>
    <t>Задняя крышка Xiaomi Redmi Note 6 Pro, Black</t>
  </si>
  <si>
    <t>Задняя крышка Xiaomi Redmi Note 6 Pro, со стеклом камеры, Original, Black</t>
  </si>
  <si>
    <t>Задняя крышка Xiaomi Redmi Note 7, Black</t>
  </si>
  <si>
    <t>Задняя крышка Xiaomi Redmi Note 7, Moonlight White</t>
  </si>
  <si>
    <t>Задняя крышка Xiaomi Redmi Note 7, Neptune Blue</t>
  </si>
  <si>
    <t>Задняя крышка Xiaomi Redmi Note 7, со стеклом камеры, Black</t>
  </si>
  <si>
    <t>Задняя крышка Xiaomi Redmi Note 8 Pro, Blue</t>
  </si>
  <si>
    <t>Задняя крышка Xiaomi Redmi Note 8 Pro, Green</t>
  </si>
  <si>
    <t>Задняя крышка Xiaomi Redmi Note 8 Pro, Grey</t>
  </si>
  <si>
    <t>Задняя крышка Xiaomi Redmi Note 8 Pro, Original PRC, White</t>
  </si>
  <si>
    <t>Задняя крышка Xiaomi Redmi Note 8 Pro, со стеклом камеры, Blue</t>
  </si>
  <si>
    <t>Задняя крышка Xiaomi Redmi Note 8 Pro, со стеклом камеры, Grey</t>
  </si>
  <si>
    <t>Задняя крышка Xiaomi Redmi Note 8, Black</t>
  </si>
  <si>
    <t>Задняя крышка Xiaomi Redmi Note 8, Blue</t>
  </si>
  <si>
    <t>Задняя крышка Xiaomi Redmi Note 8, White</t>
  </si>
  <si>
    <t>Задняя крышка Xiaomi Redmi Note 8, со стеклом камеры, Black</t>
  </si>
  <si>
    <t>Задняя крышка Xiaomi Redmi Note 9 Pro, Redmi Note 9S, Blue</t>
  </si>
  <si>
    <t>Задняя крышка Xiaomi Redmi Note 9 Pro, Redmi Note 9S, Grey</t>
  </si>
  <si>
    <t>Задняя крышка Xiaomi Redmi Note 9 Pro, Redmi Note 9S, White</t>
  </si>
  <si>
    <t>Задняя крышка Xiaomi Redmi Note 9 Pro, Redmi Note 9S, со стеклом камеры, Blue</t>
  </si>
  <si>
    <t>Задняя крышка Xiaomi Redmi Note 9 Pro, Redmi Note 9S, со стеклом камеры, Interstellar Grey</t>
  </si>
  <si>
    <t>Задняя крышка Xiaomi Redmi Note 9 Pro, Redmi Note 9S, со стеклом камеры, White</t>
  </si>
  <si>
    <t>Задняя крышка Xiaomi Redmi Note 9, High Quality , Midnight Grey</t>
  </si>
  <si>
    <t>Задняя крышка Xiaomi Redmi Note 9, High Quality, Onyx Black</t>
  </si>
  <si>
    <t>Задняя крышка Xiaomi Redmi Note 9, Midnight Grey, High Quality</t>
  </si>
  <si>
    <t>Задняя крышка Xiaomi Redmi S2, Black</t>
  </si>
  <si>
    <t>Задняя крышка корпуса Huawei Honor 50 Lite, Original PRC, Midnight Black</t>
  </si>
  <si>
    <t>Задняя крышка корпуса Xiaomi Poco C40 Original PRC, Yellow</t>
  </si>
  <si>
    <t>Задняя крышка корпуса Xiaomi Poco C40, Original PRC, Black</t>
  </si>
  <si>
    <t>Задняя крышка корпуса Xiaomi Poco C40, Original PRC, Coral Green</t>
  </si>
  <si>
    <t>Задняя крышка корпуса Xiaomi Poco M5 Original PRC, Black</t>
  </si>
  <si>
    <t>Задняя крышка корпуса Xiaomi Poco M5 Original PRC, Green</t>
  </si>
  <si>
    <t>Задняя крышка корпуса Xiaomi Poco M5 Original PRC, Yellow</t>
  </si>
  <si>
    <t>Корпус Apple iPhone 11 Pro, в сборе, Original PRC, Silver</t>
  </si>
  <si>
    <t>Корпус Apple iPhone 11, в сборе, Original PRC, Green</t>
  </si>
  <si>
    <t>Корпус Apple iPhone 11, в сборе, Original PRC, Red</t>
  </si>
  <si>
    <t>Корпус Apple iPhone 12 Pro Max, в сборе, High Quality, Gold</t>
  </si>
  <si>
    <t>Корпус Apple iPhone 12 Pro Max, в сборе, High Quality, Graphite</t>
  </si>
  <si>
    <t>Корпус Apple iPhone 12 Pro Max, в сборе, High Quality, Pacific Blue</t>
  </si>
  <si>
    <t>Корпус Apple iPhone 12 Pro Max, в сборе, High Quality, Silver</t>
  </si>
  <si>
    <t>Корпус Apple iPhone 12 Pro, в сборе, Original PRC, Gold</t>
  </si>
  <si>
    <t>Корпус Apple iPhone 12 Pro, в сборе, Original PRC, Graphite</t>
  </si>
  <si>
    <t>Корпус Apple iPhone 12 Pro, в сборе, Original PRC, Pacific Blue</t>
  </si>
  <si>
    <t>Корпус Apple iPhone 12 Pro, в сборе, Original PRC, Silver</t>
  </si>
  <si>
    <t>Корпус Apple iPhone 12, в сборе, Original PRC, Black</t>
  </si>
  <si>
    <t>Корпус Apple iPhone 12, в сборе, Original PRC, Blue</t>
  </si>
  <si>
    <t>Корпус Apple iPhone 12, в сборе, Original PRC, Green</t>
  </si>
  <si>
    <t>Корпус Apple iPhone 12, в сборе, Original PRC, Red</t>
  </si>
  <si>
    <t>Корпус Apple iPhone 12, в сборе, Original PRC, White</t>
  </si>
  <si>
    <t>Корпус Apple iPhone 4, Black</t>
  </si>
  <si>
    <t>Корпус Apple iPhone 4, White</t>
  </si>
  <si>
    <t>Корпус Apple iPhone 4S, Black</t>
  </si>
  <si>
    <t>Корпус Apple iPhone 5, Black</t>
  </si>
  <si>
    <t>Корпус Apple iPhone 5, White</t>
  </si>
  <si>
    <t>Корпус Apple iPhone 5S, Gold</t>
  </si>
  <si>
    <t>Корпус Apple iPhone 5S, Silver</t>
  </si>
  <si>
    <t>Корпус Apple iPhone 5S, Space Gray</t>
  </si>
  <si>
    <t>Корпус Apple iPhone 5SE, Original PRC, Gold</t>
  </si>
  <si>
    <t>Корпус Apple iPhone 5SE, Original PRC, Silver</t>
  </si>
  <si>
    <t>Корпус Apple iPhone 5SE, Original PRC, Space Gray</t>
  </si>
  <si>
    <t>Корпус Apple iPhone 6 Plus, Original PRC, Spase Gray</t>
  </si>
  <si>
    <t>Корпус Apple iPhone 6, Original PRC, Spase Gray</t>
  </si>
  <si>
    <t>Корпус Apple iPhone 6, Original PRC, White</t>
  </si>
  <si>
    <t>Корпус Apple iPhone 6, Rose Gold</t>
  </si>
  <si>
    <t>Корпус Apple iPhone 6S Plus, Original PRC, Gold</t>
  </si>
  <si>
    <t>Корпус Apple iPhone 6S Plus, Original PRC, Rose Gold</t>
  </si>
  <si>
    <t>Корпус Apple iPhone 6S Plus, Original PRC, Silver</t>
  </si>
  <si>
    <t>Корпус Apple iPhone 6S Plus, Original PRC, Spase Gray</t>
  </si>
  <si>
    <t>Корпус Apple iPhone 7 Plus, Original PRC, Black</t>
  </si>
  <si>
    <t>Корпус Apple iPhone 7 Plus, Original PRC, Jet Black</t>
  </si>
  <si>
    <t>Корпус Apple iPhone 7 Plus, Original PRC, Red Edition</t>
  </si>
  <si>
    <t>Корпус Apple iPhone 7 Plus, Original PRC, Rose Gold</t>
  </si>
  <si>
    <t>Корпус Apple iPhone 7 Plus, Original PRC, Silver</t>
  </si>
  <si>
    <t>Корпус Apple iPhone 7, Original PRC, Black</t>
  </si>
  <si>
    <t>Корпус Apple iPhone 7, Original PRC, Gold</t>
  </si>
  <si>
    <t>Корпус Apple iPhone 7, Original PRC, Jet Black</t>
  </si>
  <si>
    <t>Корпус Apple iPhone 7, Original PRC, Red Edition</t>
  </si>
  <si>
    <t>Корпус Apple iPhone 7, Original PRC, Rose Gold</t>
  </si>
  <si>
    <t>Корпус Apple iPhone 7, Original PRC, Silver</t>
  </si>
  <si>
    <t>Корпус Apple iPhone 8 Plus, в сборе, Original PRC, Red</t>
  </si>
  <si>
    <t>Корпус Apple iPhone 8, в сборе, Original PRC, Red</t>
  </si>
  <si>
    <t>Корпус Apple iPhone 8, в сборе, Original PRC, Silver</t>
  </si>
  <si>
    <t>Корпус Apple iPhone X, в сборе, Original PRC, Black</t>
  </si>
  <si>
    <t>Корпус Apple iPhone X, в сборе, Original PRC, White</t>
  </si>
  <si>
    <t>Корпус Apple iPhone XR, в сборе, Original PRC, Black</t>
  </si>
  <si>
    <t>Корпус Apple iPhone XS Max, в сборе, Original PRC, Black</t>
  </si>
  <si>
    <t>Корпус Apple iPhone XS Max, в сборе, Original PRC, Gold</t>
  </si>
  <si>
    <t>Корпус Apple iPhone XS Max, в сборе, Original PRC, White</t>
  </si>
  <si>
    <t>Корпус Apple iPhone XS, в сборе, Original PRC, Black</t>
  </si>
  <si>
    <t>Корпус Apple iPhone XS, в сборе, Original PRC, Gold</t>
  </si>
  <si>
    <t>Корпус Apple iPhone XS, в сборе, Original PRC, White</t>
  </si>
  <si>
    <t>Корпус High Quality LG D802 Optimus G2 белый, задняя крышка</t>
  </si>
  <si>
    <t>Корпус High Quality LG D802 Optimus G2 черный, задняя крышка</t>
  </si>
  <si>
    <t>Корпус High Quality LG T320</t>
  </si>
  <si>
    <t>Корпус Lenovo A319 Black (задняя крышка)</t>
  </si>
  <si>
    <t>Корпус Lenovo A319 White (задняя крышка)</t>
  </si>
  <si>
    <t>Корпус Lenovo A526 Black (задняя крышка)</t>
  </si>
  <si>
    <t>Корпус Lenovo A536 Black (задняя крышка)</t>
  </si>
  <si>
    <t>Корпус Lenovo A536 White (задняя крышка)</t>
  </si>
  <si>
    <t>Корпус Lenovo A6000 White (задняя крышка)</t>
  </si>
  <si>
    <t>Корпус Lenovo A7000 White (задняя крышка)</t>
  </si>
  <si>
    <t>Корпус Lenovo S580 Black (задняя крышка)</t>
  </si>
  <si>
    <t>Корпус Lenovo S580 White (задняя крышка)</t>
  </si>
  <si>
    <t>Корпус Lenovo S820 Black (задняя крышка)</t>
  </si>
  <si>
    <t>Корпус Lenovo S820 White (задняя крышка)</t>
  </si>
  <si>
    <t>Корпус Lenovo S850 Black (задняя крышка)</t>
  </si>
  <si>
    <t>Корпус Lenovo S850 White (задняя крышка)</t>
  </si>
  <si>
    <t>Корпус Microsoft 640 Lumia задняя крышка (High Quality) White</t>
  </si>
  <si>
    <t>Корпус ORIGINAL LG E975 Optimus G</t>
  </si>
  <si>
    <t>Корпус Samsung A500 Galaxy A5 (High Quality) Gold</t>
  </si>
  <si>
    <t>Корпус Samsung A500 Galaxy A5 (High Quality) White</t>
  </si>
  <si>
    <t>Корпус Samsung A720 Galaxy A7 2017 задняя кришка (High Quality) Black</t>
  </si>
  <si>
    <t>Корпус Samsung A720 Galaxy A7 2017 задняя кришка (High Quality) Gold</t>
  </si>
  <si>
    <t>Корпус Samsung G360 Galaxy Core Prime задняя кришка (High Quality) Black</t>
  </si>
  <si>
    <t>Корпус Samsung G360 Galaxy Core Prime задняя кришка (High Quality) White</t>
  </si>
  <si>
    <t>Корпус Samsung G530 Galaxy Grand Prime задняя кришка (High Quality) White</t>
  </si>
  <si>
    <t>Корпус Samsung G800 Galaxy S5 Mini задняя крышка (High Quality) Black</t>
  </si>
  <si>
    <t>Корпус Samsung G800 Galaxy S5 Mini задняя крышка (High Quality) Blue</t>
  </si>
  <si>
    <t>Корпус Samsung G800 Galaxy S5 Mini задняя крышка (High Quality) Gold</t>
  </si>
  <si>
    <t>Корпус Samsung G800 Galaxy S5 Mini задняя крышка (High Quality) White</t>
  </si>
  <si>
    <t>Корпус Samsung J700 Galaxy J7 задняя кришка (High Quality) White</t>
  </si>
  <si>
    <t>Корпус Samsung N920 Galaxy Note 5 задняя крышка (High Quality) Black</t>
  </si>
  <si>
    <t>Корпус Samsung N920 Galaxy Note 5 задняя крышка (High Quality) Gold</t>
  </si>
  <si>
    <t>Корпус Samsung N920 Galaxy Note 5 задняя крышка (High Quality) White</t>
  </si>
  <si>
    <t>Корпус Sony C6802 XL39h Xperia Z Ultra Black (задняя крышка)</t>
  </si>
  <si>
    <t>Корпус Sony E2312 Xperia M4 Aqua Dual Black (задняя крышка)</t>
  </si>
  <si>
    <t>Корпус Sony E2312 Xperia M4 Aqua Dual White (задняя крышка)</t>
  </si>
  <si>
    <t>Рамки (средние части) для дисплеев</t>
  </si>
  <si>
    <t>Рамка дисплея Google Pixel 3A, Black</t>
  </si>
  <si>
    <t>Рамка дисплея Google Pixel 4 XL, Black</t>
  </si>
  <si>
    <t>Рамка дисплея Google Pixel 4, Black</t>
  </si>
  <si>
    <t>Рамка дисплея Huawei Honor 10 Lite (HRY-LX1), Honor 10i (HRY-LX1T)i, Black</t>
  </si>
  <si>
    <t>Рамка дисплея Huawei Honor 10 Lite (HRY-LX1), Honor 10i (HRY-LX1T)i, Blue</t>
  </si>
  <si>
    <t>Рамка дисплея Huawei Honor 20 (YAL-L21), Nova 5T, Black</t>
  </si>
  <si>
    <t>Рамка дисплея Huawei Honor 20 Pro, Black</t>
  </si>
  <si>
    <t>Рамка дисплея Huawei Honor 20 Pro, Blue</t>
  </si>
  <si>
    <t>Рамка дисплея Huawei Honor 8A (JAT-LX1, JAT-L29), 8A Pro; Y6 2019 (MRD-LX1), Y6 Prime 2019, Y6s 2019 (JAT-L41)</t>
  </si>
  <si>
    <t>Рамка дисплея Huawei Honor 8X (JSN-L21, JSN-AL00), Black</t>
  </si>
  <si>
    <t>Рамка дисплея Huawei Honor 8X (JSN-L21, JSN-AL00), Blue</t>
  </si>
  <si>
    <t>Рамка дисплея Huawei Nova 8i (NEN-LX1, NEN-L22), Honor 50 Lite, Honor X20 (NTN-L22), Black</t>
  </si>
  <si>
    <t>Рамка дисплея Huawei P Smart 2019 (POT-LX3, POT-LX1, POT-AL00)</t>
  </si>
  <si>
    <t>Рамка дисплея Huawei P Smart 2021 (PPA-LX2), Y7A, Honor 10X Lite, Black</t>
  </si>
  <si>
    <t>Рамка дисплея Huawei P Smart S 2020, Y8P (AQM-LX1), Blue</t>
  </si>
  <si>
    <t>Рамка дисплея Huawei P Smart Z, Y9 Prime 2019, Y9S, Honor 9X (STK-LX1, STK-L21, STK-L22), Black</t>
  </si>
  <si>
    <t>Рамка дисплея Huawei P Smart Z, Y9 Prime 2019, Y9S, Honor 9X (STK-LX1, STK-L21, STK-L22), Green</t>
  </si>
  <si>
    <t>Рамка дисплея Huawei P20 Pro, Black</t>
  </si>
  <si>
    <t>Рамка дисплея Huawei P30 (ELE-L29, ELE-L09, ELE-L04, ELE-AL00), Black</t>
  </si>
  <si>
    <t>Рамка дисплея Huawei P30 Lite, Nova 4e (MAR-L21, LX2, LX1M), Black</t>
  </si>
  <si>
    <t>Рамка дисплея Huawei P30 Pro, Black</t>
  </si>
  <si>
    <t>Рамка дисплея Huawei P40 Lite (JNY-LX1), Nova 5i (GLK-LX1), Nova 7i (JNY-LX2), Nova 6 SE, Black</t>
  </si>
  <si>
    <t>Рамка дисплея Huawei P40 Lite (JNY-LX1), Nova 5i (GLK-LX1), Nova 7i (JNY-LX2), Nova 6 SE, Green</t>
  </si>
  <si>
    <t>Рамка дисплея Huawei P40 Lite E (ART-L28, ART-L29), Y7p 2020, Honor 9C, Black</t>
  </si>
  <si>
    <t>Рамка дисплея Huawei P40 Lite E (ART-L28, ART-L29), Y7p 2020, Honor 9C, Blue</t>
  </si>
  <si>
    <t>Рамка дисплея Huawei P40 Pro, Black</t>
  </si>
  <si>
    <t>Рамка дисплея Huawei P40, Black</t>
  </si>
  <si>
    <t>Рамка дисплея Huawei Y5 2019, Y5 Prime 2019, Honor 8s, (AMN-LX1, LX2, LX3, LX9, KSE-LX9, KSA-LX9)</t>
  </si>
  <si>
    <t>Рамка дисплея Huawei Y5P 2020 (DRA-LX9), Honor 9S (DUA-LX9), Black</t>
  </si>
  <si>
    <t>Рамка дисплея Huawei Y5P 2020 (DRA-LX9), Honor 9S (DUA-LX9), White</t>
  </si>
  <si>
    <t>Рамка дисплея Huawei Y6P 2020, Honor 9A (MED-L29, LX9, LX9N, L29N, MOA-LX9, LX9N)</t>
  </si>
  <si>
    <t>Рамка дисплея Huawei Y7 2019 (DUB-LX3, DUB-L23, DUB-LX1), Y7 Prime 2019, Y7 Pro 2019</t>
  </si>
  <si>
    <t>Рамка дисплея Motorola E20 (XT2155), Black</t>
  </si>
  <si>
    <t>Рамка дисплея Motorola E6S (XT2053), Black</t>
  </si>
  <si>
    <t>Рамка дисплея Motorola E7 (XT2095), Black</t>
  </si>
  <si>
    <t>Рамка дисплея Motorola E7 Power (XT2097), Black</t>
  </si>
  <si>
    <t>Рамка дисплея Motorola G10 (XT2127), G20 (XT2128), Black</t>
  </si>
  <si>
    <t>Рамка дисплея Motorola G22 (XT2231), Black</t>
  </si>
  <si>
    <t>Рамка дисплея Motorola G32, Black</t>
  </si>
  <si>
    <t>Рамка дисплея Motorola G60 (XT2135-2, XT2135), G40 Fusion, Black</t>
  </si>
  <si>
    <t>Рамка дисплея Motorola G8 (XT2045), Black</t>
  </si>
  <si>
    <t>Рамка дисплея Motorola G8 Play (XT2015), Black Onyx</t>
  </si>
  <si>
    <t>Рамка дисплея Motorola G8 Play (XT2015), Magenta Red</t>
  </si>
  <si>
    <t>Рамка дисплея Motorola G8 Plus (XT2019), Cosmic Blue</t>
  </si>
  <si>
    <t>Рамка дисплея Motorola G8 Plus (XT2019), Crystal Pink</t>
  </si>
  <si>
    <t>Рамка дисплея Motorola G8 Power (XT2041-1, XT2041-3), Capri Blue</t>
  </si>
  <si>
    <t>Рамка дисплея Motorola G8 Power (XT2041-1, XT2041-3), Smoke Black</t>
  </si>
  <si>
    <t>Рамка дисплея Motorola G8 Power Lite (XT2055), Black</t>
  </si>
  <si>
    <t>Рамка дисплея Motorola G9 Plus (XT2087), Black</t>
  </si>
  <si>
    <t>Рамка дисплея Motorola One Action (XT2013-2), Blue</t>
  </si>
  <si>
    <t>Рамка дисплея Motorola One Action (XT2013-2), White</t>
  </si>
  <si>
    <t>Рамка дисплея Nokia 2.3 TA-1211, TA-1214, TA-1206, TA-1209, Black</t>
  </si>
  <si>
    <t>Рамка дисплея Nokia 3.1 Plus TA-1104, TA-1113, TA-1117, TA-1118, TA-1124, TA-1125, Black</t>
  </si>
  <si>
    <t>Рамка дисплея Nokia 3.2 TA-1156, TA-1164, Black</t>
  </si>
  <si>
    <t>Рамка дисплея Nokia 3.4 TA-1283, Black</t>
  </si>
  <si>
    <t>Рамка дисплея Nokia 6.2 (TA-1187, TA-1198, TA-1200), Nokia 7.2 (TA-1178, TA-1181, TA-1193), Black</t>
  </si>
  <si>
    <t>Рамка дисплея Nokia 6.2 (TA-1187, TA-1198, TA-1200), Nokia 7.2 (TA-1178, TA-1181, TA-1193), Silver</t>
  </si>
  <si>
    <t>Рамка дисплея Nokia 7 Plus TA-1046, TA-1055, Black</t>
  </si>
  <si>
    <t>Рамка дисплея Nokia C21 Plus (TA-1424), Black</t>
  </si>
  <si>
    <t>Рамка дисплея Nokia C30 (TA-1357, TA-1377, TA-1369, TA-1360, TA-1359), Black</t>
  </si>
  <si>
    <t>Рамка дисплея OnePlus 9, Astral Black</t>
  </si>
  <si>
    <t>Рамка дисплея Oppo A12, A12s, A5s, A7; Realme 3, Realme 3i</t>
  </si>
  <si>
    <t>Рамка дисплея Oppo A15 2020, A15s</t>
  </si>
  <si>
    <t>Рамка дисплея Oppo A31, A31 2020, A8</t>
  </si>
  <si>
    <t>Рамка дисплея Oppo A32 2020, A53 4G</t>
  </si>
  <si>
    <t>Рамка дисплея Oppo A5 2020, A9 2020</t>
  </si>
  <si>
    <t>Рамка дисплея Oppo A52, A72, A92</t>
  </si>
  <si>
    <t>Рамка дисплея Oppo A54 4G</t>
  </si>
  <si>
    <t>Рамка дисплея Oppo A55 5G</t>
  </si>
  <si>
    <t>Рамка дисплея Oppo Realme 8, Realme 8 Pro</t>
  </si>
  <si>
    <t>Рамка дисплея Oppo Realme 8i</t>
  </si>
  <si>
    <t>Рамка дисплея Oppo Realme C11 2021, Realme C20, Realme C20A, Realme C21</t>
  </si>
  <si>
    <t>Рамка дисплея Oppo Reno 5 Lite</t>
  </si>
  <si>
    <t>Рамка дисплея Realme C21Y, Realme C25Y</t>
  </si>
  <si>
    <t>Рамка дисплея Samsung A022 Galaxy A02</t>
  </si>
  <si>
    <t>Рамка дисплея Samsung A025 Galaxy A02s, A035 Galaxy A03, (высота - 160.5 мм)</t>
  </si>
  <si>
    <t>Рамка дисплея Samsung A032 Galaxy A03 Core</t>
  </si>
  <si>
    <t>Рамка дисплея Samsung A037 Galaxy A03s</t>
  </si>
  <si>
    <t>Рамка дисплея Samsung A042 Galaxy A04e</t>
  </si>
  <si>
    <t>Рамка дисплея Samsung A045 Galaxy A04</t>
  </si>
  <si>
    <t>Рамка дисплея Samsung A047 Galaxy A04s</t>
  </si>
  <si>
    <t>Рамка дисплея Samsung A105 Galaxy A10</t>
  </si>
  <si>
    <t>Рамка дисплея Samsung A107 Galaxy A10s</t>
  </si>
  <si>
    <t>Рамка дисплея Samsung A115 Galaxy A11, M115 Galaxy M11</t>
  </si>
  <si>
    <t>Рамка дисплея Samsung A125 Galaxy A12, A127 Galaxy A12</t>
  </si>
  <si>
    <t>Рамка дисплея Samsung A135 Galaxy A13, Black</t>
  </si>
  <si>
    <t>Рамка дисплея Samsung A145 Galaxy A14, Black</t>
  </si>
  <si>
    <t>Рамка дисплея Samsung A205 Galaxy A20, Black</t>
  </si>
  <si>
    <t>Рамка дисплея Samsung A207 Galaxy A20s</t>
  </si>
  <si>
    <t>Рамка дисплея Samsung A215 Galaxy A21</t>
  </si>
  <si>
    <t>Рамка дисплея Samsung A217 Galaxy A21s</t>
  </si>
  <si>
    <t>Рамка дисплея Samsung A225 Galaxy A22, Black</t>
  </si>
  <si>
    <t>Рамка дисплея Samsung A226 Galaxy A22 5G, Black</t>
  </si>
  <si>
    <t>Рамка дисплея Samsung A235 Galaxy A23</t>
  </si>
  <si>
    <t>Рамка дисплея Samsung A305 Galaxy A30</t>
  </si>
  <si>
    <t>Рамка дисплея Samsung A307 Galaxy A30s</t>
  </si>
  <si>
    <t>Рамка дисплея Samsung A315 Galaxy A31</t>
  </si>
  <si>
    <t>Рамка дисплея Samsung A325 Galaxy A32</t>
  </si>
  <si>
    <t>Рамка дисплея Samsung A326 Galaxy A32 5G</t>
  </si>
  <si>
    <t>Рамка дисплея Samsung A336 Galaxy A33, Black</t>
  </si>
  <si>
    <t>Рамка дисплея Samsung A346 Galaxy A34 5G, Black</t>
  </si>
  <si>
    <t>Рамка дисплея Samsung A505 Galaxy A50, Black</t>
  </si>
  <si>
    <t>Рамка дисплея Samsung A515 Galaxy A51</t>
  </si>
  <si>
    <t>Рамка дисплея Samsung A525 Galaxy A52, Black</t>
  </si>
  <si>
    <t>Рамка дисплея Samsung A525 Galaxy A52, Blue</t>
  </si>
  <si>
    <t>Рамка дисплея Samsung A525 Galaxy A52, Violet</t>
  </si>
  <si>
    <t>Рамка дисплея Samsung A525 Galaxy A52, White</t>
  </si>
  <si>
    <t>Рамка дисплея Samsung A536 Galaxy A53 5G, Black</t>
  </si>
  <si>
    <t>Рамка дисплея Samsung A705 Galaxy A70, Black</t>
  </si>
  <si>
    <t>Рамка дисплея Samsung A715 Galaxy A71</t>
  </si>
  <si>
    <t>Рамка дисплея Samsung A725 Galaxy A72, Black</t>
  </si>
  <si>
    <t>Рамка дисплея Samsung A725 Galaxy A72, Blue</t>
  </si>
  <si>
    <t>Рамка дисплея Samsung A725 Galaxy A72, Violet</t>
  </si>
  <si>
    <t>Рамка дисплея Samsung A725 Galaxy A72, White</t>
  </si>
  <si>
    <t>Рамка дисплея Samsung A736 Galaxy A73 5G, Gray</t>
  </si>
  <si>
    <t>Рамка дисплея Samsung G770 Galaxy S10 Lite, Black</t>
  </si>
  <si>
    <t>Рамка дисплея Samsung G780 Galaxy S20 FE, Blue</t>
  </si>
  <si>
    <t>Рамка дисплея Samsung G950 Galaxy S8, Black</t>
  </si>
  <si>
    <t>Рамка дисплея Samsung G955 Galaxy S8 Plus, Black</t>
  </si>
  <si>
    <t>Рамка дисплея Samsung G960 Galaxy S9, Black</t>
  </si>
  <si>
    <t>Рамка дисплея Samsung G965 Galaxy S9 Plus, Black</t>
  </si>
  <si>
    <t>Рамка дисплея Samsung G973 Galaxy S10, Black</t>
  </si>
  <si>
    <t>Рамка дисплея Samsung G975 Galaxy S10 Plus, Black</t>
  </si>
  <si>
    <t>Рамка дисплея Samsung G980 Galaxy S20, Black</t>
  </si>
  <si>
    <t>Рамка дисплея Samsung G985 Galaxy S20 Plus, Black</t>
  </si>
  <si>
    <t>Рамка дисплея Samsung G988 Galaxy S20 Ultra, Black</t>
  </si>
  <si>
    <t>Рамка дисплея Samsung G991 Galaxy S21, Phantom Grey</t>
  </si>
  <si>
    <t>Рамка дисплея Samsung G996 Galaxy S21 Plus, Phantom Black</t>
  </si>
  <si>
    <t>Рамка дисплея Samsung G998 Galaxy S21 Ultra, Phantom Black</t>
  </si>
  <si>
    <t>Рамка дисплея Samsung M135 Galaxy M13, Black</t>
  </si>
  <si>
    <t>Рамка дисплея Samsung M205 Galaxy M20</t>
  </si>
  <si>
    <t>Рамка дисплея Samsung M215 Galaxy M21, M307 Galaxy M30s</t>
  </si>
  <si>
    <t>Рамка дисплея Samsung M305 Galaxy M30, Black</t>
  </si>
  <si>
    <t>Рамка дисплея Samsung M325 Galaxy M32, Black</t>
  </si>
  <si>
    <t>Рамка дисплея Samsung N950 Galaxy Note 8, Black</t>
  </si>
  <si>
    <t>Рамка дисплея Samsung N960 Galaxy Note 9, Black</t>
  </si>
  <si>
    <t>Рамка дисплея Samsung N970 Galaxy Note 10, Black</t>
  </si>
  <si>
    <t>Рамка дисплея Samsung N975 Galaxy Note 10 Plus, Black</t>
  </si>
  <si>
    <t>Рамка дисплея Samsung N980 Galaxy Note 20, Aura Grey</t>
  </si>
  <si>
    <t>Рамка дисплея Samsung N985 Galaxy Note 20 Ultra, Aura Black</t>
  </si>
  <si>
    <t>Рамка дисплея Samsung S901 Galaxy S22, Phantom Black</t>
  </si>
  <si>
    <t>Рамка дисплея Samsung S906 Galaxy S22 Plus, Phantom Black</t>
  </si>
  <si>
    <t>Рамка дисплея Samsung S908 Galaxy S22 Ultra, Phantom Black</t>
  </si>
  <si>
    <t>Рамка дисплея Tecno Camon 17P (CG7n)</t>
  </si>
  <si>
    <t>Рамка дисплея Tecno Camon 18 (CH6)</t>
  </si>
  <si>
    <t>Рамка дисплея Tecno Camon 18P (CH7n)</t>
  </si>
  <si>
    <t>Рамка дисплея Tecno Camon 19 (Ci6N), Black</t>
  </si>
  <si>
    <t>Рамка дисплея Tecno Camon 19 Pro (Ci8N), Black</t>
  </si>
  <si>
    <t>Рамка дисплея Tecno Pova Neo 2 (LG6n)</t>
  </si>
  <si>
    <t>Рамка дисплея Tecno Spark 10 Pro (Ki7)</t>
  </si>
  <si>
    <t>Рамка дисплея Tecno Spark 10с (Ki5K)</t>
  </si>
  <si>
    <t>Рамка дисплея Tecno Spark 7 (KF6n)</t>
  </si>
  <si>
    <t>Рамка дисплея Tecno Spark 8P (KG7n)</t>
  </si>
  <si>
    <t>Рамка дисплея Tecno Spark 9 Pro (KH7n)</t>
  </si>
  <si>
    <t>Рамка дисплея Tecno Spark Go 2022 (KG5m), Spark 8C (KG5k, KG5j, KG5n)</t>
  </si>
  <si>
    <t>Рамка дисплея Tecno Spark Go 2023, Black</t>
  </si>
  <si>
    <t>Рамка дисплея Vivo Y11 (2019), Y12 (2019), Y15 (2019), Y17 (2019)</t>
  </si>
  <si>
    <t>Рамка дисплея Vivo Y19</t>
  </si>
  <si>
    <t>Рамка дисплея Vivo Y20, Y20i, Y20s, Y01</t>
  </si>
  <si>
    <t>Рамка дисплея Vivo Y21 (V2111), Y21s (V2110)</t>
  </si>
  <si>
    <t>Рамка дисплея Vivo Y31 (V2036), Y31s (V2054A)</t>
  </si>
  <si>
    <t>Рамка дисплея Vivo Y53s (V2111A, V2058)</t>
  </si>
  <si>
    <t>Рамка дисплея Vivo Y91, Y91c, Y91i, Y93, Y95</t>
  </si>
  <si>
    <t>Рамка дисплея Xiaomi 11T, 11T Pro, Black</t>
  </si>
  <si>
    <t>Рамка дисплея Xiaomi 11T, 11T Pro, Silver</t>
  </si>
  <si>
    <t>Рамка дисплея Xiaomi 13 Lite, Black</t>
  </si>
  <si>
    <t>Рамка дисплея Xiaomi 13T, Black</t>
  </si>
  <si>
    <t>Рамка дисплея Xiaomi Mi 10 Lite, Aurora Blue</t>
  </si>
  <si>
    <t>Рамка дисплея Xiaomi Mi 10 Lite, Cosmic Grey</t>
  </si>
  <si>
    <t>Рамка дисплея Xiaomi Mi 11 Lite, Black</t>
  </si>
  <si>
    <t>Рамка дисплея Xiaomi Mi 11 Lite, Blue</t>
  </si>
  <si>
    <t>Рамка дисплея Xiaomi Mi 11 Lite, Green</t>
  </si>
  <si>
    <t>Рамка дисплея Xiaomi Mi 11 Lite, Pink</t>
  </si>
  <si>
    <t>Рамка дисплея Xiaomi Mi 11i, Black</t>
  </si>
  <si>
    <t>Рамка дисплея Xiaomi Mi 9T, Redmi K20, Black</t>
  </si>
  <si>
    <t>Рамка дисплея Xiaomi Mi 9T, Redmi K20, Blue</t>
  </si>
  <si>
    <t>Рамка дисплея Xiaomi Redmi 10, Redmi Note 11 4G</t>
  </si>
  <si>
    <t>Рамка дисплея Xiaomi Redmi 10c, Black</t>
  </si>
  <si>
    <t>Рамка дисплея Xiaomi Redmi 12</t>
  </si>
  <si>
    <t>Рамка дисплея Xiaomi Redmi 12C, Redmi 11A; Poco C55</t>
  </si>
  <si>
    <t>Рамка дисплея Xiaomi Redmi 7, Blue</t>
  </si>
  <si>
    <t>Рамка дисплея Xiaomi Redmi 8, Redmi 8A</t>
  </si>
  <si>
    <t>Рамка дисплея Xiaomi Redmi 9, Redmi 9 Prime, Poco M2</t>
  </si>
  <si>
    <t>Рамка дисплея Xiaomi Redmi 9A, Redmi 9C, Redmi 10A, Poco C3</t>
  </si>
  <si>
    <t>Рамка дисплея Xiaomi Redmi 9T, Redmi 9 Power, Poco M3</t>
  </si>
  <si>
    <t>Рамка дисплея Xiaomi Redmi Note 10 5G, Poco M3 Pro, Poco M3 Pro 5G</t>
  </si>
  <si>
    <t>Рамка дисплея Xiaomi Redmi Note 10 Pro</t>
  </si>
  <si>
    <t>Рамка дисплея Xiaomi Redmi Note 10 Pro 5G, Redmi Note 10 Pro (China Version)</t>
  </si>
  <si>
    <t>Рамка дисплея Xiaomi Redmi Note 10, Redmi Note 10S</t>
  </si>
  <si>
    <t>Рамка дисплея Xiaomi Redmi Note 11 5G, Redmi Note 11T 5G, Redmi Note 11S 5G, Poco M4 Pro 5G</t>
  </si>
  <si>
    <t>Рамка дисплея Xiaomi Redmi Note 11 Pro, Redmi Note 11 Pro 5G, Poco X4 Pro 5G</t>
  </si>
  <si>
    <t>Рамка дисплея Xiaomi Redmi Note 11, Poco M4 Pro</t>
  </si>
  <si>
    <t>Рамка дисплея Xiaomi Redmi Note 11E, Redmi 10 5G, Poco M4 5G, Poco M5</t>
  </si>
  <si>
    <t>Рамка дисплея Xiaomi Redmi Note 11S</t>
  </si>
  <si>
    <t>Рамка дисплея Xiaomi Redmi Note 12 Pro, Black</t>
  </si>
  <si>
    <t>Рамка дисплея Xiaomi Redmi Note 12S</t>
  </si>
  <si>
    <t>Рамка дисплея Xiaomi Redmi Note 7, Redmi Note 7 Pro, Black</t>
  </si>
  <si>
    <t>Рамка дисплея Xiaomi Redmi Note 7, Redmi Note 7 Pro, Blue</t>
  </si>
  <si>
    <t>Рамка дисплея Xiaomi Redmi Note 8 Pro, Global version, Single SIM, Black</t>
  </si>
  <si>
    <t>Рамка дисплея Xiaomi Redmi Note 8, Black</t>
  </si>
  <si>
    <t>Рамка дисплея Xiaomi Redmi Note 8, Blue</t>
  </si>
  <si>
    <t>Рамка дисплея Xiaomi Redmi Note 8, Silver</t>
  </si>
  <si>
    <t>Рамка дисплея Xiaomi Redmi Note 8T, Black</t>
  </si>
  <si>
    <t>Рамка дисплея Xiaomi Redmi Note 9 Pro, Redmi Note 9S, Blue</t>
  </si>
  <si>
    <t>Рамка дисплея Xiaomi Redmi Note 9 Pro, Redmi Note 9S, Interstellar Grey</t>
  </si>
  <si>
    <t>Рамка дисплея Xiaomi Redmi Note 9 Pro, Redmi Note 9S, Tropical Green</t>
  </si>
  <si>
    <t>Рамка дисплея ZTE Blade 20 Smart V1050, Black</t>
  </si>
  <si>
    <t>Рамка дисплея ZTE Blade 20 Smart V2050, Black</t>
  </si>
  <si>
    <t>Рамка дисплея ZTE Blade A5 2020, A7S 2019, A7 2019, A7 2020, Black</t>
  </si>
  <si>
    <t>Рамка дисплея ZTE Blade A51 2021, Blade A71 2021, Black</t>
  </si>
  <si>
    <t>Рамка дисплея ZTE Blade A72 (4G), Blade V40 Vita, Black</t>
  </si>
  <si>
    <t>Рамка дисплея ZTE Blade A7s 2020, Black</t>
  </si>
  <si>
    <t>Рамка дисплея ZTE Blade V2020 Smart, Black</t>
  </si>
  <si>
    <t>Средняя часть корпуса</t>
  </si>
  <si>
    <t>Средняя часть корпуса Oppo A15, Black</t>
  </si>
  <si>
    <t>Средняя часть корпуса Oppo A15, Blue</t>
  </si>
  <si>
    <t>Средняя часть корпуса Oppo A15, White</t>
  </si>
  <si>
    <t>Средняя часть корпуса Oppo A32 2020, A33 2020, Oppo A53, Oppo A53s, Black</t>
  </si>
  <si>
    <t>Средняя часть корпуса Oppo A32 2020, A33 2020, Oppo A53, Oppo A53s, Blue</t>
  </si>
  <si>
    <t>Средняя часть корпуса Oppo A32 2020, A33 2020, Oppo A53, Oppo A53s, Green</t>
  </si>
  <si>
    <t>Средняя часть корпуса Oppo A5 2020, Black</t>
  </si>
  <si>
    <t>Средняя часть корпуса Oppo A5 2020, Blue</t>
  </si>
  <si>
    <t>Средняя часть корпуса Oppo A5 2020, Green</t>
  </si>
  <si>
    <t>Средняя часть корпуса Oppo A5 2020, White</t>
  </si>
  <si>
    <t>Средняя часть корпуса Oppo A52, A72, A92, Black</t>
  </si>
  <si>
    <t>Средняя часть корпуса Oppo A52, A72, A92, Purple</t>
  </si>
  <si>
    <t>Средняя часть корпуса Oppo A52, A72, A92, Stream White</t>
  </si>
  <si>
    <t>Средняя часть корпуса Oppo A54 4G, Black</t>
  </si>
  <si>
    <t>Средняя часть корпуса Oppo A54 4G, Gold</t>
  </si>
  <si>
    <t>Средняя часть корпуса Oppo A54 4G, Starry Blue</t>
  </si>
  <si>
    <t>Средняя часть корпуса Oppo A54 5G, A74 5G, A93 5G, Blue</t>
  </si>
  <si>
    <t>Средняя часть корпуса Oppo A54 5G, A74 5G, A93 5G, Fantastic Purple</t>
  </si>
  <si>
    <t>Средняя часть корпуса Oppo A54 5G, A74 5G, A93 5G, Silver</t>
  </si>
  <si>
    <t>Средняя часть корпуса Oppo Realme 8i, Black</t>
  </si>
  <si>
    <t>Средняя часть корпуса Oppo Realme 8i, Gold</t>
  </si>
  <si>
    <t>Средняя часть корпуса Oppo Realme 8i, Purple</t>
  </si>
  <si>
    <t>Средняя часть корпуса Oppo Realme 8i, Silver</t>
  </si>
  <si>
    <t>Средняя часть корпуса Samsung A205 Galaxy A20, Black</t>
  </si>
  <si>
    <t>Средняя часть корпуса Samsung A205 Galaxy A20, Blue</t>
  </si>
  <si>
    <t>Средняя часть корпуса Samsung A205 Galaxy A20, Red</t>
  </si>
  <si>
    <t>Средняя часть корпуса Samsung A207 Galaxy A20s, Black</t>
  </si>
  <si>
    <t>Средняя часть корпуса Samsung A207 Galaxy A20s, Blue</t>
  </si>
  <si>
    <t>Средняя часть корпуса Samsung A207 Galaxy A20s, Green</t>
  </si>
  <si>
    <t>Средняя часть корпуса Samsung A207 Galaxy A20s, Red</t>
  </si>
  <si>
    <t>Средняя часть корпуса Samsung A215 Galaxy A21, Black</t>
  </si>
  <si>
    <t>Средняя часть корпуса Samsung A217 Galaxy A21s, Black</t>
  </si>
  <si>
    <t>Средняя часть корпуса Samsung A225 Galaxy A22, Black</t>
  </si>
  <si>
    <t>Средняя часть корпуса Samsung A225 Galaxy A22, Light Green</t>
  </si>
  <si>
    <t>Средняя часть корпуса Samsung A225 Galaxy A22, Violet</t>
  </si>
  <si>
    <t>Средняя часть корпуса Samsung A225 Galaxy A22, White</t>
  </si>
  <si>
    <t>Средняя часть корпуса Samsung A226 Galaxy A22 5G, Gray</t>
  </si>
  <si>
    <t>Средняя часть корпуса Samsung A226 Galaxy A22 5G, Green</t>
  </si>
  <si>
    <t>Средняя часть корпуса Samsung A226 Galaxy A22 5G, Violet</t>
  </si>
  <si>
    <t>Средняя часть корпуса Samsung A226 Galaxy A22 5G, White</t>
  </si>
  <si>
    <t>Средняя часть корпуса Samsung A235 Galaxy A23, Black</t>
  </si>
  <si>
    <t>Средняя часть корпуса Samsung A235 Galaxy A23, Blue</t>
  </si>
  <si>
    <t>Средняя часть корпуса Samsung A235 Galaxy A23, White</t>
  </si>
  <si>
    <t>Средняя часть корпуса Samsung A305 Galaxy A30, Black</t>
  </si>
  <si>
    <t>Средняя часть корпуса Samsung A305 Galaxy A30, Blue</t>
  </si>
  <si>
    <t>Средняя часть корпуса Samsung A305 Galaxy A30, Red</t>
  </si>
  <si>
    <t>Средняя часть корпуса Samsung A305 Galaxy A30, White</t>
  </si>
  <si>
    <t>Средняя часть корпуса Samsung A307 Galaxy A30s, Black</t>
  </si>
  <si>
    <t>Средняя часть корпуса Samsung A307 Galaxy A30s, Green</t>
  </si>
  <si>
    <t>Средняя часть корпуса Samsung A307 Galaxy A30s, Violet</t>
  </si>
  <si>
    <t>Средняя часть корпуса Samsung A307 Galaxy A30s, White</t>
  </si>
  <si>
    <t>Средняя часть корпуса Samsung A315 Galaxy A31, Black</t>
  </si>
  <si>
    <t>Средняя часть корпуса Samsung A315 Galaxy A31, Blue</t>
  </si>
  <si>
    <t>Средняя часть корпуса Samsung A315 Galaxy A31, Red</t>
  </si>
  <si>
    <t>Средняя часть корпуса Samsung A315 Galaxy A31, White</t>
  </si>
  <si>
    <t>Средняя часть корпуса Samsung A325 Galaxy A32, Black</t>
  </si>
  <si>
    <t>Средняя часть корпуса Samsung A325 Galaxy A32, Blue</t>
  </si>
  <si>
    <t>Средняя часть корпуса Samsung A325 Galaxy A32, Violet</t>
  </si>
  <si>
    <t>Средняя часть корпуса Samsung A325 Galaxy A32, White</t>
  </si>
  <si>
    <t>Средняя часть корпуса Samsung A326 Galaxy A32 5G, Black</t>
  </si>
  <si>
    <t>Средняя часть корпуса Samsung A326 Galaxy A32 5G, White</t>
  </si>
  <si>
    <t>Средняя часть корпуса Samsung A505 Galaxy A50, Black</t>
  </si>
  <si>
    <t>Средняя часть корпуса Samsung A505 Galaxy A50, Blue</t>
  </si>
  <si>
    <t>Средняя часть корпуса Samsung A505 Galaxy A50, Gold</t>
  </si>
  <si>
    <t>Средняя часть корпуса Samsung A505 Galaxy A50, White</t>
  </si>
  <si>
    <t>Средняя часть корпуса Samsung A515 Galaxy A51, Black</t>
  </si>
  <si>
    <t>Средняя часть корпуса Samsung A515 Galaxy A51, Blue</t>
  </si>
  <si>
    <t>Средняя часть корпуса Samsung A515 Galaxy A51, Pink</t>
  </si>
  <si>
    <t>Средняя часть корпуса Samsung A515 Galaxy A51, White</t>
  </si>
  <si>
    <t>Средняя часть корпуса Samsung A705 Galaxy A70, Black</t>
  </si>
  <si>
    <t>Средняя часть корпуса Samsung A705 Galaxy A70, Blue</t>
  </si>
  <si>
    <t>Средняя часть корпуса Samsung A705 Galaxy A70, Coral</t>
  </si>
  <si>
    <t>Средняя часть корпуса Samsung A705 Galaxy A70, White</t>
  </si>
  <si>
    <t>Средняя часть корпуса Samsung A715 Galaxy A71, Black</t>
  </si>
  <si>
    <t>Средняя часть корпуса Samsung A715 Galaxy A71, Blue</t>
  </si>
  <si>
    <t>Средняя часть корпуса Samsung A715 Galaxy A71, Silver</t>
  </si>
  <si>
    <t>Средняя часть корпуса Spark 9 Pro (KH7n), Quantum Black</t>
  </si>
  <si>
    <t>Средняя часть корпуса Vivo Y20, Nebula Blue</t>
  </si>
  <si>
    <t>Средняя часть корпуса Vivo Y20, Obsidian Black</t>
  </si>
  <si>
    <t>Средняя часть корпуса Vivo Y20, White</t>
  </si>
  <si>
    <t>Средняя часть корпуса Vivo Y21, Diamond Glow</t>
  </si>
  <si>
    <t>Средняя часть корпуса Vivo Y21, Metallic Blue</t>
  </si>
  <si>
    <t>Средняя часть корпуса Vivo Y31 (V2036), Y31s (V2054A), Black</t>
  </si>
  <si>
    <t>Средняя часть корпуса Vivo Y31 (V2036), Y31s (V2054A), Blue</t>
  </si>
  <si>
    <t>Средняя часть корпуса Vivo Y31 (V2036), Y31s (V2054A), Light Blue</t>
  </si>
  <si>
    <t>Средняя часть корпуса Vivo Y31 (V2036), Y31s (V2054A), Ocean Blue</t>
  </si>
  <si>
    <t>Средняя часть корпуса Vivo Y33s, Midday Dream</t>
  </si>
  <si>
    <t>Средняя часть корпуса Vivo Y33s, Mirror Black</t>
  </si>
  <si>
    <t>Средняя часть корпуса Vivo Y53s (V2111A, V2058), Black</t>
  </si>
  <si>
    <t>Средняя часть корпуса Vivo Y53s (V2111A, V2058), Blue</t>
  </si>
  <si>
    <t>Средняя часть корпуса Vivo Y53s (V2111A, V2058), Deep Sea Blue</t>
  </si>
  <si>
    <t>Средняя часть корпуса Xiaomi Redmi 10, Black</t>
  </si>
  <si>
    <t>Средняя часть корпуса Xiaomi Redmi 10, White</t>
  </si>
  <si>
    <t>Средняя часть корпуса Xiaomi Redmi 12, Midnight Black</t>
  </si>
  <si>
    <t>Средняя часть корпуса Xiaomi Redmi 12, Polar Silver</t>
  </si>
  <si>
    <t>Средняя часть корпуса Xiaomi Redmi 12, Sky Blue</t>
  </si>
  <si>
    <t>Средняя часть корпуса Xiaomi Redmi Note 10 5G, Graphite Gray</t>
  </si>
  <si>
    <t>Средняя часть корпуса Xiaomi Redmi Note 10 5G, Nighttime Blue</t>
  </si>
  <si>
    <t>Средняя часть корпуса Xiaomi Redmi Note 10 Pro, Gradient Bronze</t>
  </si>
  <si>
    <t>Средняя часть корпуса Xiaomi Redmi Note 10 Pro, Onyx Gray</t>
  </si>
  <si>
    <t>Средняя часть корпуса Xiaomi Redmi Note 10, Redmi Note 10S, Ocean Blue</t>
  </si>
  <si>
    <t>Средняя часть корпуса Xiaomi Redmi Note 10, Redmi Note 10S, Onyx Gray</t>
  </si>
  <si>
    <t>Средняя часть корпуса Xiaomi Redmi Note 10, Redmi Note 10S, Pebble White</t>
  </si>
  <si>
    <t>Средняя часть корпуса Xiaomi Redmi Note 11, Redmi Note 11S, Graphite Grey</t>
  </si>
  <si>
    <t>Средняя часть корпуса Xiaomi Redmi Note 11, Redmi Note 11S, Twilight Blue</t>
  </si>
  <si>
    <t>Средняя часть корпуса Xiaomi Redmi Note 11S 5G, Graphite Gray</t>
  </si>
  <si>
    <t>Стекло камеры</t>
  </si>
  <si>
    <t>Стекло камеры Apple iPhone 11 Pro, 11 Pro Max, ( комплект 3 шт)</t>
  </si>
  <si>
    <t>Стекло камеры Apple iPhone 11, ( комплект 2 шт)</t>
  </si>
  <si>
    <t>Стекло камеры Apple iPhone 12 Pro Max, ( комплект 3 шт)</t>
  </si>
  <si>
    <t>Стекло камеры Apple iPhone 12 Pro, ( комплект 3 шт)</t>
  </si>
  <si>
    <t>Стекло камеры Apple iPhone 12, (комплект 2 шт)</t>
  </si>
  <si>
    <t>Стекло камеры Apple iPhone 13 Pro, 13 Pro Max ( комплект 3 шт)</t>
  </si>
  <si>
    <t>Стекло камеры Apple iPhone 13, ( комплект 2 шт)</t>
  </si>
  <si>
    <t>Стекло камеры Apple iPhone 14 Pro, 14 Pro Max ( комплект 3 шт)</t>
  </si>
  <si>
    <t>Стекло камеры Apple iPhone 14, ( комплект 2 шт)</t>
  </si>
  <si>
    <t>Стекло камеры Apple iPhone 7, Black</t>
  </si>
  <si>
    <t>Стекло камеры Apple iPhone X</t>
  </si>
  <si>
    <t>Стекло камеры Apple iPhone X, Silver</t>
  </si>
  <si>
    <t>Стекло камеры Apple iPhone XR</t>
  </si>
  <si>
    <t>Стекло камеры Apple iPhone XS</t>
  </si>
  <si>
    <t>Стекло камеры Google Pixel 5, Black</t>
  </si>
  <si>
    <t>Стекло камеры Google Pixel 5A, Black</t>
  </si>
  <si>
    <t>Стекло камеры Google Pixel 6 Pro, Black</t>
  </si>
  <si>
    <t>Стекло камеры Google Pixel 6, Black</t>
  </si>
  <si>
    <t>Стекло камеры Google Pixel 6A, Black</t>
  </si>
  <si>
    <t>Стекло камеры Google Pixel 7 Pro, комплект 2 шт. Black</t>
  </si>
  <si>
    <t>Стекло камеры Google Pixel 7, Black</t>
  </si>
  <si>
    <t>Стекло камеры Huawei Honor 10 Lite (HRY-LX1), с рамкой, Black</t>
  </si>
  <si>
    <t>Стекло камеры Huawei Honor 10 Lite (HRY-LX1), с рамкой, Blue</t>
  </si>
  <si>
    <t>Стекло камеры Huawei Honor 20 (YAL-L21), с рамкой, Black</t>
  </si>
  <si>
    <t>Стекло камеры Huawei Honor 20 (YAL-L21), с рамкой, Blue</t>
  </si>
  <si>
    <t>Стекло камеры Huawei Honor 20 (YAL-L21), с рамкой, Purple</t>
  </si>
  <si>
    <t>Стекло камеры Huawei Honor 8X (JSN-L21, JSN-L22, JSN-L42), с рамкой, Black</t>
  </si>
  <si>
    <t>Стекло камеры Huawei Honor 8X (JSN-L21, JSN-L22, JSN-L42), с рамкой, Blue</t>
  </si>
  <si>
    <t>Стекло камеры Huawei Mate 10 Lite (RNE-L01, L02, L03, RNE-L21, L22, L23), Nova 2i, с рамкой, Black</t>
  </si>
  <si>
    <t>Стекло камеры Huawei Mate 10 Lite (RNE-L01, L02, L03, RNE-L21, L22, L23), Nova 2i, с рамкой, Blue</t>
  </si>
  <si>
    <t>Стекло камеры Huawei Mate 20 (HMA-L29), с рамкой, Black</t>
  </si>
  <si>
    <t>Стекло камеры Huawei Mate 20 Lite (SNE-LX1), с рамкой, Black</t>
  </si>
  <si>
    <t>Стекло камеры Huawei Mate 20 Lite (SNE-LX1), с рамкой, Blue</t>
  </si>
  <si>
    <t>Стекло камеры Huawei Mate 20 Lite (SNE-LX1), с рамкой, Gold</t>
  </si>
  <si>
    <t>Стекло камеры Huawei P Smart 2019 (POT-L21, POT-LX1), Y7 2019, Black</t>
  </si>
  <si>
    <t>Стекло камеры Huawei P Smart 2021 (PPA-LX2), 48MP A1 Quad Camera, Black</t>
  </si>
  <si>
    <t>Стекло камеры Huawei P Smart Plus (INE-LX1, INE-LX2), Nova 3i, Black</t>
  </si>
  <si>
    <t>Стекло камеры Huawei P Smart Plus (INE-LX1, INE-LX2), Nova 3i, с рамкой, Black</t>
  </si>
  <si>
    <t>Стекло камеры Huawei P Smart Plus (INE-LX1, INE-LX2), Nova 3i, с рамкой, Blue</t>
  </si>
  <si>
    <t>Стекло камеры Huawei P Smart Plus (INE-LX1, INE-LX2), Nova 3i, с рамкой, Red</t>
  </si>
  <si>
    <t>Стекло камеры Huawei P Smart Plus (INE-LX1, INE-LX2), Nova 3i, с рамкой, Silver</t>
  </si>
  <si>
    <t>Стекло камеры Huawei P Smart Z (STK-LX1), Black</t>
  </si>
  <si>
    <t>Стекло камеры Huawei P20 (EML-L29, EML-L09), с рамкой, Black</t>
  </si>
  <si>
    <t>Стекло камеры Huawei P20 (EML-L29, EML-L09), с рамкой, Blue</t>
  </si>
  <si>
    <t>Стекло камеры Huawei P20 (EML-L29, EML-L09), с рамкой, Pink</t>
  </si>
  <si>
    <t>Стекло камеры Huawei P20 (EML-L29, EML-L09), с рамкой, Purple</t>
  </si>
  <si>
    <t>Стекло камеры Huawei P20 Lite (ANE-L21, ANE-LX1), Black</t>
  </si>
  <si>
    <t>Стекло камеры Huawei P30 Lite (MAR-L01A, MAR-L21A, MAR-LX1A, MAR-LX1M), Nova 4e, Black</t>
  </si>
  <si>
    <t>Стекло камеры Huawei P30 Lite (MAR-L01A, MAR-L21A, MAR-LX1A, MAR-LX1M), Nova 4e, с рамкой, Black</t>
  </si>
  <si>
    <t>Стекло камеры Huawei P30 Lite (MAR-L01A, MAR-L21A, MAR-LX1A, MAR-LX1M), Nova 4e, с рамкой, Blue</t>
  </si>
  <si>
    <t>Стекло камеры Huawei P30 Lite (MAR-L01A, MAR-L21A, MAR-LX1A, MAR-LX1M), Nova 4e, с рамкой, Silver</t>
  </si>
  <si>
    <t>Стекло камеры Huawei P30 Pro (VOG-L09, VOG-L29), с рамкой, Amber Sunrise</t>
  </si>
  <si>
    <t>Стекло камеры Huawei P30 Pro (VOG-L09, VOG-L29), с рамкой, Black</t>
  </si>
  <si>
    <t>Стекло камеры Huawei P30 Pro (VOG-L09, VOG-L29), с рамкой, Blue</t>
  </si>
  <si>
    <t>Стекло камеры Huawei P30 Pro (VOG-L09, VOG-L29), с рамкой, Silver</t>
  </si>
  <si>
    <t>Стекло камеры Huawei P40 (ANA-AN00, ANA-TN00, ANA-NX9), Black</t>
  </si>
  <si>
    <t>Стекло камеры Huawei P40 (ANA-AN00, ANA-TN00, ANA-NX9), с рамкой, Black</t>
  </si>
  <si>
    <t>Стекло камеры Huawei P40 (ANA-AN00, ANA-TN00, ANA-NX9), с рамкой, Blue</t>
  </si>
  <si>
    <t>Стекло камеры Huawei P40 (ANA-AN00, ANA-TN00, ANA-NX9), с рамкой, Silver</t>
  </si>
  <si>
    <t>Стекло камеры Huawei P40 Lite (MAR-LX1A, JNY-L21, JNY-L21A, JNY-L22), Green</t>
  </si>
  <si>
    <t>Стекло камеры Huawei P40 Lite (MAR-LX1A, JNY-L21, JNY-L21A, JNY-L22), Purple</t>
  </si>
  <si>
    <t>Стекло камеры Huawei P40 Lite (MAR-LX1A, JNY-L21, JNY-L21A, JNY-L22), с рамкой, Green</t>
  </si>
  <si>
    <t>Стекло камеры Huawei P40 Lite (MAR-LX1A, JNY-L21, JNY-L21A, JNY-L22), с рамкой, Purple</t>
  </si>
  <si>
    <t>Стекло камеры Huawei Y5 2019 (AMN-LX9), Y5 Prime 2019, P Smart Z (STK-LX1), Y9 2019 (JKM-L23), Black</t>
  </si>
  <si>
    <t>Стекло камеры Huawei Y6 2019 (MRD-LX1), Y6 Prime 2019, Y6 Pro 2019, Honor Play 8A, Enjoy 9E, Black</t>
  </si>
  <si>
    <t>Стекло камеры Motorola G32, E22, E22i, Edge 30 Fusion, Edge 30 Neo, комплект 2 шт.</t>
  </si>
  <si>
    <t>Стекло камеры Motorola G60 (XT2135-2, XT2135), G60s (XT2133-2), G40 Fusion, комплект 3 шт.</t>
  </si>
  <si>
    <t>Стекло камеры Samsung A022 Galaxy A02, Black</t>
  </si>
  <si>
    <t>Стекло камеры Samsung A025 Galaxy A02s, A037 Galaxy A03s, Black</t>
  </si>
  <si>
    <t>Стекло камеры Samsung A045 Galaxy A04, M136 Galaxy M13 5G, комплект 2 шт; Black</t>
  </si>
  <si>
    <t>Стекло камеры Samsung A105 Galaxy A10, A205, A305, A405, с рамкой, Black</t>
  </si>
  <si>
    <t>Стекло камеры Samsung A125 Galaxy A12, M127 Galaxy M12, Black</t>
  </si>
  <si>
    <t>Стекло камеры Samsung A135, A137 Galaxy A13, A336 Galaxy A33 5G, A536 Galaxy A53, A736 Galaxy A73, комплект 3 + 2 шт; Black</t>
  </si>
  <si>
    <t>Стекло камеры Samsung A145 Galaxy A14, A146 Galaxy A14 5G, A245 Galaxy A24, M245 Galaxy M24, комплект 3 шт; Black</t>
  </si>
  <si>
    <t>Стекло камеры Samsung A202 Galaxy A20e, с рамкой, Black</t>
  </si>
  <si>
    <t>Стекло камеры Samsung A205 Galaxy A20, с рамкой, Black</t>
  </si>
  <si>
    <t>Стекло камеры Samsung A205 Galaxy A20, с рамкой, Silver</t>
  </si>
  <si>
    <t>Стекло камеры Samsung A225 Galaxy A22, A226 Galaxy A22 5G, Black</t>
  </si>
  <si>
    <t>Стекло камеры Samsung A225 Galaxy A22, A226 Galaxy A22 5G, Light Green</t>
  </si>
  <si>
    <t>Стекло камеры Samsung A225 Galaxy A22, A226 Galaxy A22 5G, Violet</t>
  </si>
  <si>
    <t>Стекло камеры Samsung A307 Galaxy A30s, с рамкой, Black</t>
  </si>
  <si>
    <t>Стекло камеры Samsung A307 Galaxy A30s, с рамкой, Silver</t>
  </si>
  <si>
    <t>Стекло камеры Samsung A315 Galaxy A31, с рамкой, Black</t>
  </si>
  <si>
    <t>Стекло камеры Samsung A320 Galaxy A3 2017, A520 Galaxy A5 2017, A720 Galaxy A7 2017, Black</t>
  </si>
  <si>
    <t>Стекло камеры Samsung A320 Galaxy A3 2017, A520 Galaxy A5 2017, A720 Galaxy A7 2017, Blue</t>
  </si>
  <si>
    <t>Стекло камеры Samsung A320 Galaxy A3 2017, A520 Galaxy A5 2017, A720 Galaxy A7 2017, Gold</t>
  </si>
  <si>
    <t>Стекло камеры Samsung A325 Galaxy A32, комплект 3 + 2 шт; Black</t>
  </si>
  <si>
    <t>Стекло камеры Samsung A505 Galaxy A50, с рамкой, Black</t>
  </si>
  <si>
    <t>Стекло камеры Samsung A505 Galaxy A50, с рамкой, Blue</t>
  </si>
  <si>
    <t>Стекло камеры Samsung A515 Galaxy A51, с рамкой, Black</t>
  </si>
  <si>
    <t>Стекло камеры Samsung A525 Galaxy A52, A526 Galaxy A52 5G, A725 Galaxy A72, комплект 3 + 2 шт; Black</t>
  </si>
  <si>
    <t>Стекло камеры Samsung A530 Galaxy A8 2018, A730 Galaxy A8 Plus 2018, с рамкой, Black</t>
  </si>
  <si>
    <t>Стекло камеры Samsung A600 Galaxy A6, с рамкой, Black</t>
  </si>
  <si>
    <t>Стекло камеры Samsung A605 Galaxy A6 Plus 2018, Black</t>
  </si>
  <si>
    <t>Стекло камеры Samsung A705 Galaxy A70, с рамкой, Black</t>
  </si>
  <si>
    <t>Стекло камеры Samsung A705 Galaxy A70, с рамкой, Blue</t>
  </si>
  <si>
    <t>Стекло камеры Samsung A705 Galaxy A70, с рамкой, Silver</t>
  </si>
  <si>
    <t>Стекло камеры Samsung A750 Galaxy A7 2018, с рамкой, Black</t>
  </si>
  <si>
    <t>Стекло камеры Samsung G780 Galaxy S20 FE, Black</t>
  </si>
  <si>
    <t>Стекло камеры Samsung G960 Galaxy S9, с рамкой, Black</t>
  </si>
  <si>
    <t>Стекло камеры Samsung G960 Galaxy S9, с рамкой, Grey</t>
  </si>
  <si>
    <t>Стекло камеры Samsung G965 Galaxy S9 Plus, с рамкой, Black</t>
  </si>
  <si>
    <t>Стекло камеры Samsung G965 Galaxy S9 Plus, с рамкой, Blue</t>
  </si>
  <si>
    <t>Стекло камеры Samsung G973 Galaxy S10, с рамкой, Black</t>
  </si>
  <si>
    <t>Стекло камеры Samsung G973 Galaxy S10, с рамкой, Blue</t>
  </si>
  <si>
    <t>Стекло камеры Samsung G975 Galaxy S10 Plus, с рамкой, Black</t>
  </si>
  <si>
    <t>Стекло камеры Samsung G975 Galaxy S10 Plus, с рамкой, Blue</t>
  </si>
  <si>
    <t>Стекло камеры Samsung G980 Galaxy S20, Black</t>
  </si>
  <si>
    <t>Стекло камеры Samsung G980 Galaxy S20, с рамкой, Black</t>
  </si>
  <si>
    <t>Стекло камеры Samsung G985 Galaxy S20 Plus, с рамкой, Black</t>
  </si>
  <si>
    <t>Стекло камеры Samsung G988 Galaxy S20 Ultra, Black</t>
  </si>
  <si>
    <t>Стекло камеры Samsung G991 Galaxy S21, комплект 3 шт; Black</t>
  </si>
  <si>
    <t>Стекло камеры Samsung G998 Galaxy S21 Ultra, комплект 3 + 1 + 1 шт; Black</t>
  </si>
  <si>
    <t>Стекло камеры Samsung I9500 Galaxy S4</t>
  </si>
  <si>
    <t>Стекло камеры Samsung J250 Galaxy J2 2018, Black</t>
  </si>
  <si>
    <t>Стекло камеры Samsung J250 Galaxy J2 2018, Gold</t>
  </si>
  <si>
    <t>Стекло камеры Samsung J250 Galaxy J2 2018, Pink</t>
  </si>
  <si>
    <t>Стекло камеры Samsung J250 Galaxy J2 2018, Silver</t>
  </si>
  <si>
    <t>Стекло камеры Samsung J400 Galaxy J4 2018, Black</t>
  </si>
  <si>
    <t>Стекло камеры Samsung J415 Galaxy J4 Plus 2018, Black</t>
  </si>
  <si>
    <t>Стекло камеры Samsung J510 Galaxy J5 2016, Black</t>
  </si>
  <si>
    <t>Стекло камеры Samsung J510 Galaxy J5 2016, Gold</t>
  </si>
  <si>
    <t>Стекло камеры Samsung J510 Galaxy J5 2016, White</t>
  </si>
  <si>
    <t>Стекло камеры Samsung J530 Galaxy J5 2017, J730 Galaxy J7 2017, J330 Galaxy J3 2017, Black</t>
  </si>
  <si>
    <t>Стекло камеры Samsung J600 Galaxy J6 2018, Black</t>
  </si>
  <si>
    <t>Стекло камеры Samsung J610 Galaxy J6 Plus 2018, с рамкой, Black</t>
  </si>
  <si>
    <t>Стекло камеры Samsung M105 Galaxy M10, M205 Galaxy M20, с рамкой, Black</t>
  </si>
  <si>
    <t>Стекло камеры Samsung M305 Galaxy M30, с рамкой, Black</t>
  </si>
  <si>
    <t>Стекло камеры Samsung N950 Galaxy Note 8, Black</t>
  </si>
  <si>
    <t>Стекло камеры Samsung N960 Galaxy Note 9, с рамкой, Black</t>
  </si>
  <si>
    <t>Стекло камеры Samsung N970 Galaxy Note 10, с рамкой, Black</t>
  </si>
  <si>
    <t>Стекло камеры Samsung N975 Galaxy Note 10 Plus, с рамкой, Black</t>
  </si>
  <si>
    <t>Стекло камеры Tecno Camon 19 (Ci6N), Camon 19 Pro (Ci8N), комплект 2 шт.</t>
  </si>
  <si>
    <t>Стекло камеры Tecno Spark 8C, (KG5n, KG5k, KG5j), комплект 2 шт.</t>
  </si>
  <si>
    <t>Стекло камеры Tecno Spark 9 Pro (KH7n), комплект 2 шт.</t>
  </si>
  <si>
    <t>Стекло камеры Tecno Spark Go 2023 (BF7), Pop 7 (BF6), Pop 7 Pro, комплект 2 шт.</t>
  </si>
  <si>
    <t>Стекло камеры Xiaomi 11T, 11T Pro, Black</t>
  </si>
  <si>
    <t>Стекло камеры Xiaomi Mi 10 Pro, Black</t>
  </si>
  <si>
    <t>Стекло камеры Xiaomi Mi 10, с рамкой, Black</t>
  </si>
  <si>
    <t>Стекло камеры Xiaomi Mi 11i, Black</t>
  </si>
  <si>
    <t>Стекло камеры Xiaomi Mi 8 Lite, с рамкой, Black</t>
  </si>
  <si>
    <t>Стекло камеры Xiaomi Mi 8 Pro, Black</t>
  </si>
  <si>
    <t>Стекло камеры Xiaomi Mi 8, Black</t>
  </si>
  <si>
    <t>Стекло камеры Xiaomi Mi 9 Lite, Black</t>
  </si>
  <si>
    <t>Стекло камеры Xiaomi Mi 9, Mi 9 SE, с рамкой, Black</t>
  </si>
  <si>
    <t>Стекло камеры Xiaomi Mi 9, Mi 9 SE, с рамкой, Lavender Violet</t>
  </si>
  <si>
    <t>Стекло камеры Xiaomi Mi 9, Mi 9 SE, с рамкой, Ocean Blue</t>
  </si>
  <si>
    <t>Стекло камеры Xiaomi Mi 9T, Redmi K20, Redmi K20 Pro, Black</t>
  </si>
  <si>
    <t>Стекло камеры Xiaomi MI A2 Lite, Redmi 6 Pro, Black</t>
  </si>
  <si>
    <t>Стекло камеры Xiaomi MI A2 Lite, Redmi 6 Pro, Blue</t>
  </si>
  <si>
    <t>Стекло камеры Xiaomi Mi A2, Black</t>
  </si>
  <si>
    <t>Стекло камеры Xiaomi Mi Note 10, Mi Note 10 Pro, Black</t>
  </si>
  <si>
    <t>Стекло камеры Xiaomi Mi Note 10, с рамкой, Black</t>
  </si>
  <si>
    <t>Стекло камеры Xiaomi Mi10T, Black</t>
  </si>
  <si>
    <t>Стекло камеры Xiaomi Redmi 10, Black</t>
  </si>
  <si>
    <t>Стекло камеры Xiaomi Redmi 10c, Black</t>
  </si>
  <si>
    <t>Стекло камеры Xiaomi Redmi 12; Poco F5, комплект 3 шт.</t>
  </si>
  <si>
    <t>Стекло камеры Xiaomi Redmi 12C, Black</t>
  </si>
  <si>
    <t>Стекло камеры Xiaomi Redmi 6, с рамкой, Black</t>
  </si>
  <si>
    <t>Стекло камеры Xiaomi Redmi 7, Black</t>
  </si>
  <si>
    <t>Стекло камеры Xiaomi Redmi 8, Black</t>
  </si>
  <si>
    <t>Стекло камеры Xiaomi Redmi 8A, Black</t>
  </si>
  <si>
    <t>Стекло камеры Xiaomi Redmi 9, Black</t>
  </si>
  <si>
    <t>Стекло камеры Xiaomi Redmi 9A, Redmi 9AT, Redmi 9i, Black</t>
  </si>
  <si>
    <t>Стекло камеры Xiaomi Redmi 9C, Poco C3, Black</t>
  </si>
  <si>
    <t>Стекло камеры Xiaomi Redmi 9T, Redmi 9 Power, Black</t>
  </si>
  <si>
    <t>Стекло камеры Xiaomi Redmi Note 10 5G, Redmi Note 10T 5G, Black</t>
  </si>
  <si>
    <t>Стекло камеры Xiaomi Redmi Note 10 Pro, Black</t>
  </si>
  <si>
    <t>Стекло камеры Xiaomi Redmi Note 10, Redmi Note 10S, Black</t>
  </si>
  <si>
    <t>Стекло камеры Xiaomi Redmi Note 11, (50 mp) Black</t>
  </si>
  <si>
    <t>Стекло камеры Xiaomi Redmi Note 11S, комплект 2 шт.</t>
  </si>
  <si>
    <t>Стекло камеры Xiaomi Redmi Note 5, Redmi Note 5 Pro, с рамкой, Black</t>
  </si>
  <si>
    <t>Стекло камеры Xiaomi Redmi Note 5, Redmi Note 5 Pro, с рамкой, Blue</t>
  </si>
  <si>
    <t>Стекло камеры Xiaomi Redmi Note 6 Pro, с рамкой, Black</t>
  </si>
  <si>
    <t>Стекло камеры Xiaomi Redmi Note 6 Pro, с рамкой, Blue</t>
  </si>
  <si>
    <t>Стекло камеры Xiaomi Redmi Note 7 Pro, Black</t>
  </si>
  <si>
    <t>Стекло камеры Xiaomi Redmi Note 7, с рамкой, Black</t>
  </si>
  <si>
    <t>Стекло камеры Xiaomi Redmi Note 7, с рамкой, Blue</t>
  </si>
  <si>
    <t>Стекло камеры Xiaomi Redmi Note 8 Pro, Black</t>
  </si>
  <si>
    <t>Стекло камеры Xiaomi Redmi Note 8, Redmi Note 8T, Black</t>
  </si>
  <si>
    <t>Стекло камеры Xiaomi Redmi Note 8, Redmi Note 8T, с рамкой, Blue</t>
  </si>
  <si>
    <t>Стекло камеры Xiaomi Redmi Note 8, Redmi Note 8T, с рамкой, Silver</t>
  </si>
  <si>
    <t>Стекло камеры Xiaomi Redmi Note 9, Redmi Note 9 Pro, Redmi Note 9S, Black</t>
  </si>
  <si>
    <t>Стекло камеры Xiaomi Redmi S2, с рамкой, Black</t>
  </si>
  <si>
    <t>Микросхемы для мобильных телефонов</t>
  </si>
  <si>
    <t>Микросхема памяти</t>
  </si>
  <si>
    <t>Микросхема памяти Samsung KLM8G2FE3B-B001</t>
  </si>
  <si>
    <t>Микросхема памяти Samsung KMF720012M-B214</t>
  </si>
  <si>
    <t>Микросхема памяти Samsung KMR820001M-B609</t>
  </si>
  <si>
    <t>Микросхема управления подсветкой</t>
  </si>
  <si>
    <t>Микросхема управления подсветкой LP8566, 36pin, Apple iPad Pro 12.9</t>
  </si>
  <si>
    <t>Микросхема управления подсветкой SGM3803DF, Doogee HT7, Huawei Honor 5A (CAM-AL00) 5.5, Honor 5C, Honor 5X</t>
  </si>
  <si>
    <t>Микросхемы управления зарядкой и USB</t>
  </si>
  <si>
    <t>Микросхема управления зарядкой U2 CBTL1610A1 36pin Apple iPhone 5C, iPhone 5S</t>
  </si>
  <si>
    <t>Микросхемы управления питанием</t>
  </si>
  <si>
    <t>Микросхема контроллер зарядки BQ27426, Lenovo, Huawei, Meizu, Xiaomi</t>
  </si>
  <si>
    <t>Микросхема контроллер питания PM8937 Xiaomi Redmi 3</t>
  </si>
  <si>
    <t>Микросхема контроллер питания PMD9645, Apple iPhone 7, iPhone 7 Plus</t>
  </si>
  <si>
    <t>Микросхема контроллер питания Qualcomm PM660L 004-01, Xiaomi Redmi Note 6 Pro, Redmi Note 7</t>
  </si>
  <si>
    <t>Микрофоны для мобильных телефонов</t>
  </si>
  <si>
    <t>HTC</t>
  </si>
  <si>
    <t>Микрофон Huawei Honor 10, Honor 10 Lite, Mate 20, Mate 20 lite, Mate 20 Pro, Nova 3i, P Smart Plus, P Smart 2019</t>
  </si>
  <si>
    <t>Микрофон LG 6 pins</t>
  </si>
  <si>
    <t>Микрофон Samsung (шлейф)</t>
  </si>
  <si>
    <t>Микрофон Samsung A315 Galaxy A31, Original</t>
  </si>
  <si>
    <t>Микрофон Samsung G950 Galaxy S8, G955 Galaxy S8 Plus, G960 Galaxy S9, G965 Galaxy S9 Plus, N960 Galaxy Note 9, Original</t>
  </si>
  <si>
    <t>Микрофон Xiaomi Mi3</t>
  </si>
  <si>
    <t>Разное</t>
  </si>
  <si>
    <t>Булавка для SIM карты Apple iPhone</t>
  </si>
  <si>
    <t>Розєм на зарядку Redmi 7 Micro-USB</t>
  </si>
  <si>
    <t>Разъемы, коннекторы для телефонов</t>
  </si>
  <si>
    <t>Коннектор зарядки Apple iPhone 2G</t>
  </si>
  <si>
    <t>Коннектор зарядки Asus FonePad 7 FE170CG; HTC S710e Incredible S; Sony D2004 Xperia E1, D2005 Xperia E1, D2104 Xperia E1 DS, D2105 Xperia E1 DS, D211</t>
  </si>
  <si>
    <t>Коннектор зарядки Asus Zenfone C ZC451CG</t>
  </si>
  <si>
    <t>Коннектор зарядки Asus Zenfone GO ZC500TG, Z00VD, ZB500KL</t>
  </si>
  <si>
    <t>Коннектор зарядки Fly DS103 | DS105 | DS107 | DS113 | DS120 | E130 | E145</t>
  </si>
  <si>
    <t>Коннектор зарядки Fly DS106 | DS125 | DS128 | DS130 | E141TV | E145 | E157 | IQ235 | IQ237 | IQ238 | IQ255 | IQ256 | IQ430 | IQ442 | IQ443 | IQ444 |</t>
  </si>
  <si>
    <t>Коннектор зарядки G3 D850, G3 D851, G3 D855, G3 F400, G3 LS990 for Sprint, G3 VS985, 11 pin</t>
  </si>
  <si>
    <t>Коннектор зарядки Google Pixel 3, Pixel 3XL, Pixel 3A, Pixel 3A XL USB type-C</t>
  </si>
  <si>
    <t>Коннектор зарядки Google Pixel 4, Pixel 4A, USB type-C</t>
  </si>
  <si>
    <t>Коннектор зарядки Google Pixel 5, USB type-C</t>
  </si>
  <si>
    <t>Коннектор зарядки Google Pixel 5A, USB type-C</t>
  </si>
  <si>
    <t>Коннектор зарядки Google Pixel 6 Pro, USB type-C</t>
  </si>
  <si>
    <t>Коннектор зарядки Google Pixel 6, USB type-C</t>
  </si>
  <si>
    <t>Коннектор зарядки Google Pixel 6A, USB type-C</t>
  </si>
  <si>
    <t>Коннектор зарядки Google Pixel 7 Pro, USB type-C</t>
  </si>
  <si>
    <t>Коннектор зарядки Google Pixel 7, USB type-C</t>
  </si>
  <si>
    <t>Коннектор зарядки Huawei G600</t>
  </si>
  <si>
    <t>Коннектор зарядки Huawei Mate 10, USB type-C</t>
  </si>
  <si>
    <t>Коннектор зарядки Huawei Nexus 6P, USB type-C</t>
  </si>
  <si>
    <t>Коннектор зарядки Huawei P Smart Z, Y9 Prime 2019, 18 pins, USB type-C</t>
  </si>
  <si>
    <t>Коннектор зарядки Huawei P Smart, P Smart Plus, P9 Lite, Y6 2019, Y7 2018; Honor 10 Lite, Honor 7A, Honor 7X, Honor 9 Lite, 5 pins, Micro USB</t>
  </si>
  <si>
    <t>Коннектор зарядки Huawei P10 (VTR-L29), P10 Plus, USB type-C</t>
  </si>
  <si>
    <t>Коннектор зарядки Huawei P9 Lite, Y3 2017, Y5 2017, Y6 II, Y7 2017; Samsung T290 Galaxy Tab A 8.0 WiFi, T295 Galaxy Tab A 8.0, 5 pin, micro-USB</t>
  </si>
  <si>
    <t>Коннектор зарядки Huawei Y210</t>
  </si>
  <si>
    <t>Коннектор зарядки IQ440, IQ436i Era Nano 9, IQ4404, IQ452, IQ456 Era Life 2, IQ4601 Era Style 2; Sony C1503, C1504, C1505, C1604, C1605</t>
  </si>
  <si>
    <t>Коннектор зарядки Lenovo A3000, A3300, A3500, A5000, A7000, A10-30, A10-70 (A7600), A7-50, 5 pin, micro-USB тип-B</t>
  </si>
  <si>
    <t>Коннектор зарядки Lenovo S850, Z90-7 Vibe Shot, 5 pin</t>
  </si>
  <si>
    <t>Коннектор зарядки LG B2000 | C3600 | KG130 | KG330</t>
  </si>
  <si>
    <t>Коннектор зарядки LG G4, H810, H815, H818, D380, D335</t>
  </si>
  <si>
    <t>Коннектор зарядки LG G5 H820, G5 H830, G5 H850, G5 LS992, G5 SE H840, G5 SE H845, G5 US992, G5 VS987, USB Type-C</t>
  </si>
  <si>
    <t>Коннектор зарядки LG G710 G7 ThinQ, LG G8X ThinQ, V50, H870 G6, H871, H872, H873, LS993, US997, VS998, 24 pin, USB Type-C</t>
  </si>
  <si>
    <t>Коннектор зарядки LG KM500</t>
  </si>
  <si>
    <t>Коннектор зарядки Meizu MX5 M575</t>
  </si>
  <si>
    <t>Коннектор зарядки Meizu MX5 Pro, USB Type-C</t>
  </si>
  <si>
    <t>Коннектор зарядки Motorola G8 Play (XT2015), G9 Play (XT2083), E7 Plus (XT2081), USB type-C</t>
  </si>
  <si>
    <t>Коннектор зарядки Motorola XT1650 Moto X, XT1635-02 Moto Z Play</t>
  </si>
  <si>
    <t>Коннектор зарядки Motorola XT1929 Moto Z3 Play, USB type-C</t>
  </si>
  <si>
    <t>Коннектор зарядки Motorola XT1941-2 Moto P30 Play, USB type-C</t>
  </si>
  <si>
    <t>Коннектор зарядки Motorola XT1952 Moto G7 Play, XT2045-2 Moto G8, XT2087 Moto G9 Plus, USB type-C</t>
  </si>
  <si>
    <t>Коннектор зарядки Motorola XT1962 Moto G7, XT1965 Moto G7 Plus, XT2019 Moto G8 Plus, USB type-C</t>
  </si>
  <si>
    <t>Коннектор зарядки Motorola XT2013-2 Moto One Action, USB type-C</t>
  </si>
  <si>
    <t>Коннектор зарядки Nokia 800 Lumia | N900</t>
  </si>
  <si>
    <t>Коннектор зарядки Nokia 8600, 6500с</t>
  </si>
  <si>
    <t>Коннектор зарядки Nokia 8800</t>
  </si>
  <si>
    <t>Коннектор зарядки Nokia 8800SE</t>
  </si>
  <si>
    <t>Коннектор зарядки Nokia E52 | E55 | N97</t>
  </si>
  <si>
    <t>Коннектор зарядки Nokia E7</t>
  </si>
  <si>
    <t>Коннектор зарядки Nokia N78 | N81 | N82 | C7</t>
  </si>
  <si>
    <t>Коннектор зарядки Samsung A205 Galaxy A20, A305 A30, A405 A40, A505 A50, A705 A70, USB type C</t>
  </si>
  <si>
    <t>Коннектор зарядки Samsung A207 Galaxy A20s, 16 pin, USB type C</t>
  </si>
  <si>
    <t>Коннектор зарядки Samsung A320 Galaxy A3 2017, A520 Galaxy A5 2017, A720F Galaxy A7 2017 Type-C</t>
  </si>
  <si>
    <t>Коннектор зарядки Samsung A530 Galaxy A8 2018, A730 Galaxy A8 Plus, USB type-C</t>
  </si>
  <si>
    <t>Коннектор зарядки Samsung C140 | C160 | C250 |C260</t>
  </si>
  <si>
    <t>Коннектор зарядки Samsung C170 | U100</t>
  </si>
  <si>
    <t>Коннектор зарядки Samsung C3312 | C3322 | C3330 | C3350 | C3520 | C3560 | C3752 | C3782 | E2222 | E2530 | I9250 | S5300 | S5360 | S5380 | S5570 | S56</t>
  </si>
  <si>
    <t>Коннектор зарядки Samsung E200</t>
  </si>
  <si>
    <t>Коннектор зарядки Samsung G930F Galaxy S7, G935F Galaxy S7 Edge</t>
  </si>
  <si>
    <t>Коннектор зарядки Samsung G950 Galaxy S8, G955 Galaxy S8 Plus, USB type-C</t>
  </si>
  <si>
    <t>Коннектор зарядки Samsung G970 Galaxy S10e, G973 Galaxy S10, G975 Galaxy S10 Plus, USB type-C</t>
  </si>
  <si>
    <t>Коннектор зарядки Samsung I8160</t>
  </si>
  <si>
    <t>Коннектор зарядки Samsung i8262 | i9190 | i9195 | s5310 | s6310</t>
  </si>
  <si>
    <t>Коннектор зарядки Samsung i9070 | S5310 | i9050 | i699 | s6108 | S6358 | i727 | S6102 | S6532</t>
  </si>
  <si>
    <t>Коннектор зарядки Samsung N950 Galaxy Note 8, USB type-C</t>
  </si>
  <si>
    <t>Коннектор зарядки Samsung P3200 Galaxy Tab3, P5200 Galaxy Tab3, P5210 Galaxy Tab3, T210, T2100 Galaxy Tab 3, T2110 Galaxy Tab 3, T230 Galaxy</t>
  </si>
  <si>
    <t>Коннектор зарядки Samsung T110 Galaxy Tab 3 Lite 7.0, T560 Galaxy Tab E 9.6, T561 Galaxy Tab E, G360 Galaxy Core Prime, G361H Galaxy Core Prime VE, I</t>
  </si>
  <si>
    <t>Коннектор зарядки Samsung T330 Galaxy Tab 4, T331, T335, T530, T531, T535</t>
  </si>
  <si>
    <t>Коннектор зарядки Sony C5502 M36h Xperia ZR, C5503 M36i Xperia ZR, C6902 L39h Xperia Z1, D6502 Xperia Z2, D6603 Xperia Z3, 5 pin, micro-USB тип-B</t>
  </si>
  <si>
    <t>Коннектор зарядки Sony E5603 Xperia M5, E5606 Xperia M5, E5633 Xperia M5, E5653 Xperia M5, E5663 Xperia M5 Dual</t>
  </si>
  <si>
    <t>Коннектор зарядки Sony E6533 Xperia Z3+ DS, E6553 Xperia Z3+, Xperia Z4</t>
  </si>
  <si>
    <t>Коннектор зарядки Sony F3111 Xperia XA, F3112 Xperia XA Dual, F3113 Xperia XA, F3115 Xperia XA, F3116 Xperia XA Dual</t>
  </si>
  <si>
    <t>Коннектор зарядки Sony F3212 Xperia XA Ultra Dual, F3215 Xperia XA Ultra Dual, F3216 Xperia XA Ultra Dual</t>
  </si>
  <si>
    <t>Коннектор зарядки Sony G3212 Xperia XA1 Ultra Dual, G3221 Xperia XA1 Ultra, G3223 Xperia XA1 Ultra, G3226 Xperia XA1 Ultra Dual, 10 pin, USB type-C</t>
  </si>
  <si>
    <t>Коннектор зарядки Xiaomi Mi 9, USB type-C</t>
  </si>
  <si>
    <t>Коннектор зарядки Xiaomi Mi A1; Lenovo Z6, USB type-C</t>
  </si>
  <si>
    <t>Коннектор зарядки Xiaomi Mi A2 Lite, Redmi 6 Pro; Samsung, 5 pin, micro-USB</t>
  </si>
  <si>
    <t>Коннектор зарядки Xiaomi Mi A2, Mi 6x, USB type-C</t>
  </si>
  <si>
    <t>Коннектор зарядки Xiaomi Mi A3, Mi 9T, Mi Note 10 Lite, Mi 8 Lite, Redmi Note 7, Redmi Note 8, Redmi Note 8 Pro, Redmi Note 9 Pro, 16 pin, USB type-C</t>
  </si>
  <si>
    <t>Коннектор зарядки Xiaomi Mi Mix 2, USB type-C</t>
  </si>
  <si>
    <t>Коннектор зарядки Xiaomi Mi Mix 3, USB type-C</t>
  </si>
  <si>
    <t>Коннектор зарядки Xiaomi Mi1, Mi1S; Alcatel One Touch 5020 Pop, One Touch 6030 Idol, One Touch 6032X Idol Alpha Slate, One Touch 7040 POP C7, One Tou</t>
  </si>
  <si>
    <t>Коннектор зарядки Xiaomi Redmi 5 Plus, Redmi Note 5 Pro; Lenovo K6 Power (k33a42), Micro-USB</t>
  </si>
  <si>
    <t>Коннектор зарядки Xiaomi Redmi 9A, Redmi 9C, 5 pin, micro-USB</t>
  </si>
  <si>
    <t>Коннектор зарядки Xiaomi Redmi Note 5, 5 pin, micro-USB</t>
  </si>
  <si>
    <t>Розєм на зарядку Sony C5302 M35h Xperia SP | C5303 M35i Xperia SP</t>
  </si>
  <si>
    <t>Розєм на зарядку Sony ST23i Xperia Miro / ST26i Xperia J / C2105 Xperia L / MT25i Xperia Neo L</t>
  </si>
  <si>
    <t>Шлейф Sony Xperia X F5121 / F5122 с разъемом зарядки</t>
  </si>
  <si>
    <t>Разъемы для SIM-карт</t>
  </si>
  <si>
    <t>Коннектор sim карты Lenovo A3300, A7-30</t>
  </si>
  <si>
    <t>Коннектор sim карты Lenovo A60 | A65 | A789 | P70 | P700i</t>
  </si>
  <si>
    <t>Коннектор SIM-карты Sony Ericsson MK16, ST18i; Sony MT27i Xperia Sola, ST26i Xperia J</t>
  </si>
  <si>
    <t>Розєм на Sim карту Asus Zenfone 5</t>
  </si>
  <si>
    <t>Розєм на Sim карту Huawei Y220</t>
  </si>
  <si>
    <t>Розєм на Sim карту Nokia Asha 202 | 203 | 300 | 311</t>
  </si>
  <si>
    <t>Розєм на Sim карту Nokia X Dual | XL Dual | X2 Dual | 502 Dual | 530</t>
  </si>
  <si>
    <t>Разъемы для батареи</t>
  </si>
  <si>
    <t>Розєм на батарею Lenovo</t>
  </si>
  <si>
    <t>Розєм на батарею LG KG800</t>
  </si>
  <si>
    <t>Розєм на батарею LG KP500</t>
  </si>
  <si>
    <t>Розєм на батарею Nokia 2680</t>
  </si>
  <si>
    <t>Розєм на батарею Nokia N81</t>
  </si>
  <si>
    <t>Розєм на батарею Nokia N95</t>
  </si>
  <si>
    <t>Разъемы для наушников</t>
  </si>
  <si>
    <t>Разъем на наушники Nokia 2720</t>
  </si>
  <si>
    <t>Разъем на наушники Nokia Asha 210 | 108 | 109 | 112 | 113 |  Asha 206 | Asha 300 | Asha 303 | Asha 308 | Asha 311 | C2-05 | C3-01 | C5-03 | C5-06 | C</t>
  </si>
  <si>
    <t>Разъем на наушники Nokia C2-01</t>
  </si>
  <si>
    <t>Разъемы на карту памяти</t>
  </si>
  <si>
    <t>Разъем на карту памяти Nokia 6300</t>
  </si>
  <si>
    <t>Разъем на карту памяти Samsung U600</t>
  </si>
  <si>
    <t>Сенсорные экраны (сенсоры) для мобильных телефонов</t>
  </si>
  <si>
    <t>Bravis</t>
  </si>
  <si>
    <t>Сенсор (тачскрин) Bravis A506 Crystal, Black</t>
  </si>
  <si>
    <t>Сенсор (тачскрин) Doogee S60, Black</t>
  </si>
  <si>
    <t>Homtom</t>
  </si>
  <si>
    <t>Сенсор (тачскрин) Homtom ZoJI Z8 IP68, Black</t>
  </si>
  <si>
    <t>Сенсор (тачскрин) Huawei P Smart (FIG-LX1), P Smart Dual SIM (FIG-L21, FIG-L23), Enjoy 7s, High Quality, Gold</t>
  </si>
  <si>
    <t>Сенсор (тачскрин) Huawei P20 Lite, Nova 3e (ANE-LX1, ANE-L21), High Quality, White</t>
  </si>
  <si>
    <t>Сенсор (тачскрин) Microsoft 535 Lumia Dual SIM (CT2C1607)</t>
  </si>
  <si>
    <t>Стекло дисплея OnePlus 10R, с пленкой OCA, Original (G+OCA Pro)</t>
  </si>
  <si>
    <t>Сенсор (тачскрин) Sony E6603 Xperia Z5, E6633, E6653, E6683 Xperia Z5, Black</t>
  </si>
  <si>
    <t>Шлейфа для мобильных телефонов</t>
  </si>
  <si>
    <t>Шлейф Apple  iPhone 14 Pro max, с кнопкой включения, с кнопками регулировки громкости, Original PRC</t>
  </si>
  <si>
    <t>Шлейф Apple  iPhone 14 Pro, с кнопкой включения, с кнопками регулировки громкости, Original PRC</t>
  </si>
  <si>
    <t>Шлейф Apple iPhone 11 Pro Max, для беспроводной зарядки, с датчиком NFC, с кнопками регулировки громкости, Original PRC</t>
  </si>
  <si>
    <t>Шлейф Apple iPhone 11 Pro Max, с динамиком, с датчиком приближения, с микрофоном, Original PRC</t>
  </si>
  <si>
    <t>Шлейф Apple iPhone 11 Pro Max, с кнопками регулировки громкости, Original PRC</t>
  </si>
  <si>
    <t>Шлейф Apple iPhone 11 Pro Max, с разъемом зарядки, микрофоном, Original PRC, Black</t>
  </si>
  <si>
    <t>Шлейф Apple iPhone 11 Pro Max, с разъемом зарядки, микрофоном, Original PRC, Gold</t>
  </si>
  <si>
    <t>Шлейф Apple iPhone 11 Pro Max, с разъемом зарядки, микрофоном, Original PRC, Midnight Green</t>
  </si>
  <si>
    <t>Шлейф Apple iPhone 11 Pro Max, с разъемом зарядки, микрофоном, Original PRC, Silver</t>
  </si>
  <si>
    <t>Шлейф Apple iPhone 11 Pro, для беспроводной зарядки, с датчиком NFC, с кнопками регулировки громкости, Original PRC</t>
  </si>
  <si>
    <t>Шлейф Apple iPhone 11 Pro, с динамиком, с датчиком приближения, с микрофоном, Original PRC</t>
  </si>
  <si>
    <t>Шлейф Apple iPhone 11 Pro, с кнопками регулировки громкости, Original PRC</t>
  </si>
  <si>
    <t>Шлейф Apple iPhone 11 Pro, с разъемом зарядки, микрофоном, Original PRC, Black</t>
  </si>
  <si>
    <t>Шлейф Apple iPhone 11 Pro, с разъемом зарядки, микрофоном, Original PRC, Silver</t>
  </si>
  <si>
    <t>Шлейф Apple iPhone 11, Wi-Fi антенны, с компонентами, Original PRC</t>
  </si>
  <si>
    <t>Шлейф Apple iPhone 11, для беспроводной зарядки, Original PRC</t>
  </si>
  <si>
    <t>Шлейф Apple iPhone 11, регулировки громкости, Original PRC</t>
  </si>
  <si>
    <t>Шлейф Apple iPhone 11, с динамиком, с датчиком приближения, с микрофоном, Original PRC</t>
  </si>
  <si>
    <t>Шлейф Apple iPhone 11, с разъемом зарядки, микрофоном, Original PRC, Black</t>
  </si>
  <si>
    <t>Шлейф Apple iPhone 11, с разъемом зарядки, микрофоном, Original PRC, Silver</t>
  </si>
  <si>
    <t>Шлейф Apple iPhone 12 Pro Max, для беспроводной зарядки, с датчиком NFC, с кнопками регулировки громкости, Original PRC</t>
  </si>
  <si>
    <t>Шлейф Apple iPhone 12 Pro Max, с вспышкой, Original PRC</t>
  </si>
  <si>
    <t>Шлейф Apple iPhone 12 Pro Max, с динамиком, с датчиком приближения, с микрофоном, Original PRC</t>
  </si>
  <si>
    <t>Шлейф Apple iPhone 12 Pro Max, с кнопкой включения, с кнопками регулировки громкости, Original PRC</t>
  </si>
  <si>
    <t>Шлейф Apple iPhone 12 Pro Max, с разъемом зарядки, микрофоном, Original PRC, Blue</t>
  </si>
  <si>
    <t>Шлейф Apple iPhone 12 Pro Max, с разъемом зарядки, микрофоном, Original PRC, Gold</t>
  </si>
  <si>
    <t>Шлейф Apple iPhone 12 Pro Max, с разъемом зарядки, микрофоном, Original PRC, Graphite</t>
  </si>
  <si>
    <t>Шлейф Apple iPhone 12 Pro Max, с разъемом зарядки, микрофоном, Original PRC, Silver</t>
  </si>
  <si>
    <t>Шлейф Apple iPhone 12 Pro, для беспроводной зарядки, с датчиком NFC, с кнопками регулировки громкости, Original PRC</t>
  </si>
  <si>
    <t>Шлейф Apple iPhone 12 Pro, с вспышкой, Original PRC</t>
  </si>
  <si>
    <t>Шлейф Apple iPhone 12 Pro, с кнопкой включения, с кнопками регулировки громкости, Original PRC</t>
  </si>
  <si>
    <t>Шлейф Apple iPhone 12 Pro, с разъемом зарядки, микрофоном, Original PRC, Blue</t>
  </si>
  <si>
    <t>Шлейф Apple iPhone 12 Pro, с разъемом зарядки, микрофоном, Original PRC, Gold</t>
  </si>
  <si>
    <t>Шлейф Apple iPhone 12 Pro, с разъемом зарядки, микрофоном, Original PRC, Graphite</t>
  </si>
  <si>
    <t>Шлейф Apple iPhone 12 Pro, с разъемом зарядки, микрофоном, Original PRC, Silver</t>
  </si>
  <si>
    <t>Шлейф Apple iPhone 12, iPhone 12 Pro, с динамиком, с датчиком приближения, с микрофоном, Original PRC</t>
  </si>
  <si>
    <t>Шлейф Apple iPhone 12, для беспроводной зарядки, с датчиком NFC, с кнопками регулировки громкости, Original PRC</t>
  </si>
  <si>
    <t>Шлейф Apple iPhone 12, с вспышкой, Original PRC</t>
  </si>
  <si>
    <t>Шлейф Apple iPhone 12, с кнопкой включения, с кнопками регулировки громкости, Original PRC</t>
  </si>
  <si>
    <t>Шлейф Apple iPhone 12, с разъемом зарядки, микрофоном, Original PRC, Blue</t>
  </si>
  <si>
    <t>Шлейф Apple iPhone 12, с разъемом зарядки, микрофоном, Original PRC, Gold</t>
  </si>
  <si>
    <t>Шлейф Apple iPhone 12, с разъемом зарядки, микрофоном, Original PRC, Graphite</t>
  </si>
  <si>
    <t>Шлейф Apple iPhone 12, с разъемом зарядки, микрофоном, Original PRC, Silver</t>
  </si>
  <si>
    <t>Шлейф Apple iPhone 13 Pro Max, с датчиком приближения, с микрофоном, (без динамика), Original PRC</t>
  </si>
  <si>
    <t>Шлейф Apple iPhone 13 Pro Max, с кнопкой включения, с кнопками регулировки громкости, Original PRC</t>
  </si>
  <si>
    <t>Шлейф Apple iPhone 13 Pro Max, с разъемом зарядки, с микрофонами, Original PRC, Black</t>
  </si>
  <si>
    <t>Шлейф Apple iPhone 13 Pro Max, с разъемом зарядки, с микрофонами, Original PRC, Blue</t>
  </si>
  <si>
    <t>Шлейф Apple iPhone 13 Pro Max, с разъемом зарядки, с микрофонами, Original PRC, Silver</t>
  </si>
  <si>
    <t>Шлейф Apple iPhone 13 Pro, с датчиком приближения, с микрофоном, (без динамика), Original PRC</t>
  </si>
  <si>
    <t>Шлейф Apple iPhone 13 Pro, с разъемом зарядки, с микрофонами, Original PRC, Black</t>
  </si>
  <si>
    <t>Шлейф Apple iPhone 13 Pro, с разъемом зарядки, с микрофонами, Original PRC, Silver</t>
  </si>
  <si>
    <t>Шлейф Apple iPhone 13, с датчиком приближения, с микрофоном, (без динамика), Original PRC</t>
  </si>
  <si>
    <t>Шлейф Apple iPhone 13, с кнопкой включения, с кнопками регулировки громкости, Original PRC</t>
  </si>
  <si>
    <t>Шлейф Apple iPhone 13, с разъемом зарядки, микрофоном, Original PRC, Black</t>
  </si>
  <si>
    <t>Шлейф Apple iPhone 13, с разъемом зарядки, микрофоном, Original PRC, Blue</t>
  </si>
  <si>
    <t>Шлейф Apple iPhone 13, с разъемом зарядки, микрофоном, Original PRC, Pink</t>
  </si>
  <si>
    <t>Шлейф Apple iPhone 13, с разъемом зарядки, микрофоном, Original PRC, Red</t>
  </si>
  <si>
    <t>Шлейф Apple iPhone 13, с разъемом зарядки, микрофоном, Original PRC, White</t>
  </si>
  <si>
    <t>Шлейф Apple iPhone 14 Plus, Wi-Fi антенны, с компонентами, Original PRC</t>
  </si>
  <si>
    <t>Шлейф Apple iPhone 14 Plus, для беспроводной зарядки, с датчиком NFC, Original PRC</t>
  </si>
  <si>
    <t>Шлейф Apple iPhone 14 Plus, с датчиком приближения, датчиком освещенности и микрофоном, Original PRC</t>
  </si>
  <si>
    <t>Шлейф Apple iPhone 14 Plus, с кнопкой включения Original PRC</t>
  </si>
  <si>
    <t>Шлейф Apple iPhone 14 Plus, с разъемом зарядки, с микрофонами, Original PRC, Black</t>
  </si>
  <si>
    <t>Шлейф Apple iPhone 14 Plus, с разъемом зарядки, с микрофонами, Original PRC, Blue</t>
  </si>
  <si>
    <t>Шлейф Apple iPhone 14 Plus, с разъемом зарядки, с микрофонами, Original PRC, Purple</t>
  </si>
  <si>
    <t>Шлейф Apple iPhone 14 Plus, с разъемом зарядки, с микрофонами, Original PRC, Red</t>
  </si>
  <si>
    <t>Шлейф Apple iPhone 14 Plus, с разъемом зарядки, с микрофонами, Original PRC, White</t>
  </si>
  <si>
    <t>Шлейф Apple iPhone 14 Pro Max, для беспроводной зарядки, с датчиком NFC, с кнопками регулировки громкости, Original PRC</t>
  </si>
  <si>
    <t>Шлейф Apple iPhone 14 Pro Max, с разъемом зарядки, с микрофонами, Original PRC, Black</t>
  </si>
  <si>
    <t>Шлейф Apple iPhone 14 Pro Max, с разъемом зарядки, с микрофонами, Original PRC, Deep Purple</t>
  </si>
  <si>
    <t>Шлейф Apple iPhone 14 Pro Max, с разъемом зарядки, с микрофонами, Original PRC, White</t>
  </si>
  <si>
    <t>Шлейф Apple iPhone 14 Pro, iPhone 14 Pro max, Bluetooth антенa, Original PRC</t>
  </si>
  <si>
    <t>Шлейф Apple iPhone 14 Pro, для беспроводной зарядки, с датчиком NFC, с кнопками регулировки громкости, Original PRC</t>
  </si>
  <si>
    <t>Шлейф Apple iPhone 14 Pro, с разъемом зарядки, с микрофонами, Original PRC, Black</t>
  </si>
  <si>
    <t>Шлейф Apple iPhone 14 Pro, с разъемом зарядки, с микрофонами, Original PRC, Deep Purple</t>
  </si>
  <si>
    <t>Шлейф Apple iPhone 14 Pro, с разъемом зарядки, с микрофонами, Original PRC, White</t>
  </si>
  <si>
    <t>Шлейф Apple iPhone 14, для беспроводной зарядки, с датчиком NFC, Original PRC</t>
  </si>
  <si>
    <t>Шлейф Apple iPhone 14, с датчиком приближения, датчиком освещенности и микрофоном, Original PRC</t>
  </si>
  <si>
    <t>Шлейф Apple iPhone 14, с кнопками регулировки громкости, Original PRC</t>
  </si>
  <si>
    <t>Шлейф Apple iPhone 14, с кнопкой включения Original PRC</t>
  </si>
  <si>
    <t>Шлейф Apple iPhone 14, с разъемом зарядки, с микрофонами, Original PRC, Black</t>
  </si>
  <si>
    <t>Шлейф Apple iPhone 14, с разъемом зарядки, с микрофонами, Original PRC, Blue</t>
  </si>
  <si>
    <t>Шлейф Apple iPhone 14, с разъемом зарядки, с микрофонами, Original PRC, Purple</t>
  </si>
  <si>
    <t>Шлейф Apple iPhone 14, с разъемом зарядки, с микрофонами, Original PRC, Red</t>
  </si>
  <si>
    <t>Шлейф Apple iPhone 14, с разъемом зарядки, с микрофонами, Original PRC, White</t>
  </si>
  <si>
    <t>Шлейф Apple iPhone 4S кнопка Меню + пластиковая кнопка, Black</t>
  </si>
  <si>
    <t>Шлейф Apple iPhone 4S кнопка Меню + пластиковая кнопка, White</t>
  </si>
  <si>
    <t>Шлейф Apple iPhone 5S, с разъемом зарядки, гарнитуры, Original PRC, Black</t>
  </si>
  <si>
    <t>Шлейф Apple iPhone 6 Plus, коннектор зарядки, разъем гарнитуры, с микрофоном, Original PRC, Black</t>
  </si>
  <si>
    <t>Шлейф Apple iPhone 6, кнопка Home, White</t>
  </si>
  <si>
    <t>Шлейф Apple iPhone 6, коннектор зарядки, разъем гарнитуры, с микрофоном, Original PRC, Black</t>
  </si>
  <si>
    <t>Шлейф Apple iPhone 6, коннектор зарядки, разъем гарнитуры, с микрофоном, Original PRC, White</t>
  </si>
  <si>
    <t>Шлейф Apple iPhone 6, с кнопкой включения, вспышкой, микрофоном, Original PRC</t>
  </si>
  <si>
    <t>Шлейф Apple iPhone 6S Plus, с разъемом зарядки, гарнитуры, Original PRC, Black</t>
  </si>
  <si>
    <t>Шлейф Apple iPhone 6S Plus, с разъемом зарядки, гарнитуры, Original PRC, White</t>
  </si>
  <si>
    <t>Шлейф Apple iPhone 6S Plus, с фронтальной камерой, датчиком приближения, микрофоном, Original PRC</t>
  </si>
  <si>
    <t>Шлейф Apple iPhone 6S, кнопка Home, Black</t>
  </si>
  <si>
    <t>Шлейф Apple iPhone 6S, с кнопкой включения и регулировки громкости, Original PRC</t>
  </si>
  <si>
    <t>Шлейф Apple iPhone 6S, с разъемом зарядки, гарнитуры, Original PRC, Black</t>
  </si>
  <si>
    <t>Шлейф Apple iPhone 6S, с разъемом зарядки, гарнитуры, Original PRC, White</t>
  </si>
  <si>
    <t>Шлейф Apple iPhone 6S, с фронтальной камерой, датчиком приближения, микрофоном, Original PRC</t>
  </si>
  <si>
    <t>Шлейф Apple iPhone 7 Plus, с кнопкой включения, с кнопками регулировки громкости, с вспышкой, с микрофоном, Original PRC</t>
  </si>
  <si>
    <t>Шлейф Apple iPhone 7 Plus, с разъемом на зарядку, микрофоном, Original PRC, Black</t>
  </si>
  <si>
    <t>Шлейф Apple iPhone 7 Plus, с разъемом на зарядку, микрофоном, Original PRC, White</t>
  </si>
  <si>
    <t>Шлейф Apple iPhone 7 Plus, с фронтальной камерой, датчиком приближения, микрофоном, Original</t>
  </si>
  <si>
    <t>Шлейф Apple iPhone 7, iPhone 8, Wi-Fi антенны, с компонентами, Original PRC</t>
  </si>
  <si>
    <t>Шлейф Apple iPhone 7, с кнопкой включения и регулировки громкости, Original PRC</t>
  </si>
  <si>
    <t>Шлейф Apple iPhone 7, с разъемом зарядки, гарнитуры, Original PRC, Black</t>
  </si>
  <si>
    <t>Шлейф Apple iPhone 7, с разъемом зарядки, гарнитуры, Original PRC, White</t>
  </si>
  <si>
    <t>Шлейф Apple iPhone 7, с фронтальной камерой, датчиком приближения, Original PRC</t>
  </si>
  <si>
    <t>Шлейф Apple iPhone 8 Plus, Wi-Fi антенны, с компонентами</t>
  </si>
  <si>
    <t>Шлейф Apple iPhone 8 Plus, с кнопкой включения, с кнопками регулировки громкости, с вспышкой, с микрофоном, Original PRC</t>
  </si>
  <si>
    <t>Шлейф Apple iPhone 8 Plus, с разъемом зарядки, микрофоном, Original PRC, Black</t>
  </si>
  <si>
    <t>Шлейф Apple iPhone 8 Plus, с разъемом зарядки, микрофоном, Original PRC, Gold</t>
  </si>
  <si>
    <t>Шлейф Apple iPhone 8 Plus, с разъемом зарядки, микрофоном, Original PRC, White</t>
  </si>
  <si>
    <t>Шлейф Apple iPhone 8 Plus, с фронтальной камерой, датчиком приближения, микрофоном, Original PRC</t>
  </si>
  <si>
    <t>Шлейф Apple iPhone 8, iPhone SE 2020, с кнопкой включения, с кнопками регулировки громкости, с вспышкой, Original PRC</t>
  </si>
  <si>
    <t>Шлейф Apple iPhone 8, iPhone SE 2020, с фронтальной камерой, датчиком приближения, Original PRC</t>
  </si>
  <si>
    <t>Шлейф Apple iPhone 8, с разъемом зарядки, Original PRC, Black</t>
  </si>
  <si>
    <t>Шлейф Apple iPhone 8, с разъемом зарядки, Original PRC, White</t>
  </si>
  <si>
    <t>Шлейф Apple iPhone X, Wi-Fi антенны, с компонентами, Original PRC</t>
  </si>
  <si>
    <t>Шлейф Apple iPhone X, для беспроводной зарядки, с кнопками регулировки громкости, Original PRC</t>
  </si>
  <si>
    <t>Шлейф Apple iPhone X, с динамиком, с датчиком приближения, с микрофоном, Original PRC</t>
  </si>
  <si>
    <t>Шлейф Apple iPhone X, с кнопками регулировки громкости, Original PRC</t>
  </si>
  <si>
    <t>Шлейф Apple iPhone X, с кнопкой включения, вспишкой, Original PRC</t>
  </si>
  <si>
    <t>Шлейф Apple iPhone X, с разъемом зарядки и микрофоном, Original PRC, Black</t>
  </si>
  <si>
    <t>Шлейф Apple iPhone X, с разъемом зарядки и микрофоном, Original PRC, White</t>
  </si>
  <si>
    <t>Шлейф Apple iPhone X, с фронтальной камерой, Face ID, Original PRC</t>
  </si>
  <si>
    <t>Шлейф Apple iPhone XR, для беспроводной зарядки, Original PRC</t>
  </si>
  <si>
    <t>Шлейф Apple iPhone XR, с динамиком, с датчиком приближения, с микрофоном, Original PRC</t>
  </si>
  <si>
    <t>Шлейф Apple iPhone XR, с кнопкой включения, с кнопками регулировки громкости, вспишкой, Original PRC</t>
  </si>
  <si>
    <t>Шлейф Apple iPhone XR, с разъемом зарядки, микрофоном, Original PRC, Black</t>
  </si>
  <si>
    <t>Шлейф Apple iPhone XR, с разъемом зарядки, микрофоном, Original PRC, White</t>
  </si>
  <si>
    <t>Шлейф Apple iPhone XS Max, Wi-Fi антенны, с компонентами, Original PRC</t>
  </si>
  <si>
    <t>Шлейф Apple iPhone XS Max, для беспроводной зарядки, с датчиком NFC, с кнопками регулировки громкости, Original PRC</t>
  </si>
  <si>
    <t>Шлейф Apple iPhone XS Max, с динамиком, с датчиком приближения, с микрофоном, Original PRC</t>
  </si>
  <si>
    <t>Шлейф Apple iPhone XS Max, с кнопками регулировки громкости, Original PRC</t>
  </si>
  <si>
    <t>Шлейф Apple iPhone XS Max, с разъемом зарядки, микрофоном, Original PRC, Black</t>
  </si>
  <si>
    <t>Шлейф Apple iPhone XS Max, с разъемом зарядки, микрофоном, Original PRC, Gold</t>
  </si>
  <si>
    <t>Шлейф Apple iPhone XS Max, с разъемом зарядки, микрофоном, Original PRC, White</t>
  </si>
  <si>
    <t>Шлейф Apple iPhone XS, iPhone XS Max, с кнопкой включения, вспышкой, Original PRC</t>
  </si>
  <si>
    <t>Шлейф Apple iPhone XS, Wi-Fi антенны, с компонентами, Original PRC</t>
  </si>
  <si>
    <t>Шлейф Apple iPhone XS, для беспроводной зарядки, с датчиком NFC, с кнопками регулировки громкости, Original PRC</t>
  </si>
  <si>
    <t>Шлейф Apple iPhone XS, регулировки громкости, Original PRC</t>
  </si>
  <si>
    <t>Шлейф Apple iPhone XS, с динамиком, с датчиком приближения, с микрофоном, Original PRC</t>
  </si>
  <si>
    <t>Шлейф Apple iPhone XS, с разъемом зарядки, микрофоном, Original PRC, Black</t>
  </si>
  <si>
    <t>Шлейф Apple iPhone XS, с разъемом зарядки, микрофоном, Original PRC, Gold</t>
  </si>
  <si>
    <t>Шлейф Apple iPhone XS, с разъемом зарядки, микрофоном, Original PRC, White</t>
  </si>
  <si>
    <t>Шлейф Google Pixel 5, со сканером отпечатка, Original PRC, Black</t>
  </si>
  <si>
    <t>Шлейф Google Pixel 5A, кнопка включения, регулировки громкости, Original PRC</t>
  </si>
  <si>
    <t>Шлейф Google Pixel 5A, со сканером отпечатка, Original PRC, Black</t>
  </si>
  <si>
    <t>Шлейф Google Pixel 6 Pro, кнопка включения, регулировки громкости, Original PRC</t>
  </si>
  <si>
    <t>Шлейф Google Pixel 6 Pro, со сканером отпечатка, Original</t>
  </si>
  <si>
    <t>Шлейф Google Pixel 6, кнопка включения, регулировки громкости, Original PRC</t>
  </si>
  <si>
    <t>Шлейф Google Pixel 6, со сканером отпечатка, Original</t>
  </si>
  <si>
    <t>Шлейф Google Pixel 6A, кнопка включения, регулировки громкости, Original PRC</t>
  </si>
  <si>
    <t>Шлейф Google Pixel 6A, со сканером отпечатка, Original</t>
  </si>
  <si>
    <t>Шлейф Google Pixel 7 Pro, кнопка включения, регулировки громкости, Original PRC</t>
  </si>
  <si>
    <t>Шлейф Google Pixel 7 Pro, со сканером отпечатка, Original</t>
  </si>
  <si>
    <t>Шлейф Google Pixel 7, кнопка включения, регулировки громкости, Original PRC</t>
  </si>
  <si>
    <t>Шлейф Google Pixel 7, со сканером отпечатка, Original</t>
  </si>
  <si>
    <t>Шлейф Huawei Ascend G610 кнопка включения, регулировки громкости, High Quality</t>
  </si>
  <si>
    <t>Шлейф Huawei Ascend G630 кнопка включения, регулировки громкости, High Quality</t>
  </si>
  <si>
    <t>Шлейф Huawei Ascend P7 (P7-L10, Sophia-L10) кнопка включения, регулировки громкости, High Quality</t>
  </si>
  <si>
    <t>Шлейф Huawei Ascend Y210 кнопка включения, High Quality</t>
  </si>
  <si>
    <t>Шлейф Huawei Ascend Y220 кнопка включения, High Quality</t>
  </si>
  <si>
    <t>Шлейф Huawei Ascend Y300 кнопка включения, High Quality</t>
  </si>
  <si>
    <t>Шлейф Huawei Ascend Y310 кнопка включения, High Quality</t>
  </si>
  <si>
    <t>Шлейф Huawei Ascend Y325 кнопка включения, регулировки громкости</t>
  </si>
  <si>
    <t>Шлейф Huawei Ascend Y511 кнопка включения, регулировки громкости</t>
  </si>
  <si>
    <t>Шлейф Huawei Ascend Y535 кнопка включения, регулировки громкости</t>
  </si>
  <si>
    <t>Шлейф Huawei Ascend Y550 кнопка включения, регулировки громкости</t>
  </si>
  <si>
    <t>Шлейф Huawei G510, кнопка включения и регулировки громкости, High Quality</t>
  </si>
  <si>
    <t>Шлейф Huawei Honor 8 (FRD-L09), Honor 8 Premium (FRD-L19), сканер отпечатка пальца, Black</t>
  </si>
  <si>
    <t>Шлейф Huawei Honor 8 (FRD-L09), Honor 8 Premium (FRD-L19), сканер отпечатка пальца, Blue</t>
  </si>
  <si>
    <t>Шлейф Huawei Honor 8 (FRD-L09), Honor 8 Premium (FRD-L19), сканер отпечатка пальца, Gold</t>
  </si>
  <si>
    <t>Шлейф Huawei Honor 8 (FRD-L09), Honor 8 Premium (FRD-L19), сканер отпечатка пальца, White</t>
  </si>
  <si>
    <t>Шлейф Huawei Honor 8 Lite, P8 Lite 2017, сканер отпечатка пальца, Blue</t>
  </si>
  <si>
    <t>Шлейф Huawei Honor 8 Lite, P8 Lite 2017, сканер отпечатка пальца, Gold</t>
  </si>
  <si>
    <t>Шлейф Huawei Honor 8 Lite, P8 Lite 2017, сканер отпечатка пальца, White</t>
  </si>
  <si>
    <t>Шлейф Huawei Honor V9 (DUK-AL20), кнопка включения, регулировки громкости</t>
  </si>
  <si>
    <t>Шлейф Huawei Mate 10 (ALP-L09, ALP-L29), сканер отпечатка пальца, Gold</t>
  </si>
  <si>
    <t>Шлейф Huawei Mate 10 Pro (BLA-L09, BLA-L29), кнопка включения, регулировки громкости</t>
  </si>
  <si>
    <t>Шлейф Huawei Mate 7 (JAZZ-L09), с разъемом зарядки, микрофоном</t>
  </si>
  <si>
    <t>Шлейф Huawei Mate 8 (NXT-L09/NXT-L29A), с разъемом зарядки, микрофонами</t>
  </si>
  <si>
    <t>Шлейф Huawei Nova (CAN-L01 CAN-L11), с разъемом зарядки, микрофоном</t>
  </si>
  <si>
    <t>Шлейф Huawei Nova 2  2017, сканер отпечатка пальца, F11435</t>
  </si>
  <si>
    <t>Шлейф Huawei Nova 2 2017 (PIC-L29), с разъемом зарядки, микрофоном</t>
  </si>
  <si>
    <t>Шлейф Huawei Nova 5T; Honor 20, 20 Pro, со сканером отпечатка, Original PRC, Black</t>
  </si>
  <si>
    <t>Шлейф Huawei Nova Lite 2017, Y6 Pro 2017, P9 Lite Mini, P10 Lite (SLA-L02, SLA-L03, SLA-L22), с разъемом зарядки, микрофоном</t>
  </si>
  <si>
    <t>Шлейф Huawei P Smart (FIG-L31, FIG-LX1, FIG-LX2, FIG-LX3, FIG-LA1), Enjoy 7s, коннектора наушников, коннектора зарядки, с микрофоном, плата зарядки</t>
  </si>
  <si>
    <t>Шлейф Huawei P Smart 2021 (PPA-LX2), Y7A, Honor 10X Lite, межплатный, High Quality</t>
  </si>
  <si>
    <t>Шлейф Huawei P Smart 2021, с разъемом зарядки, гарнитуры, микрофоном, High Quality</t>
  </si>
  <si>
    <t>Шлейф Huawei P Smart 2021, с разъемом зарядки, гарнитуры, микрофоном, Original</t>
  </si>
  <si>
    <t>Шлейф Huawei P Smart 2021, со сканером отпечатка, Original PRC, Black</t>
  </si>
  <si>
    <t>Шлейф Huawei P Smart Plus (INE-LX1), Nova 3 (PAR-LX1) Nova 3i, Nova 3is, коннектора наушников, коннектора зарядки, с микрофоном, High Quality</t>
  </si>
  <si>
    <t>Шлейф Huawei P Smart Plus (INE-LX1), Nova 3 (PAR-LX1) Nova 3i, Nova 3is, коннектора наушников, коннектора зарядки, с микрофоном, Original</t>
  </si>
  <si>
    <t>Шлейф Huawei P20 Lite (ANE-L21), Nova 3e, с разъемом зарядки, гарнитуры, микрофоном, Original PRC</t>
  </si>
  <si>
    <t>Шлейф Huawei P40 Lite, со сканером отпечатка, Original PRC, Black</t>
  </si>
  <si>
    <t>Шлейф Huawei P8 Lite (ALE L21), кнопка включения, регулировки громкости</t>
  </si>
  <si>
    <t>Шлейф Huawei Y320, кнопка включения и регулировка громкости</t>
  </si>
  <si>
    <t>Шлейф Huawei Y6 2018 ATU-L21, Y6 Prime 2018 (ATU-L31), Honor 7A Pro(AUM-L29,), коннектора зарядки, с микрофоном, плата зарядки</t>
  </si>
  <si>
    <t>Шлейф Infinix Hot 12 X6817, кнопка включения, регулировки громкости, Original PRC</t>
  </si>
  <si>
    <t>Шлейф Lenovo A516 кнопка включення, Original PRC</t>
  </si>
  <si>
    <t>Шлейф Lenovo A516 регулировки громкости, Original PRC</t>
  </si>
  <si>
    <t>Шлейф Lenovo A560 кнопка включення, Original PRC</t>
  </si>
  <si>
    <t>Шлейф Lenovo A7020 Vibe K5 Note, кнопка включения, регулировки громкости</t>
  </si>
  <si>
    <t>Шлейф Lenovo A850 регулировки громкости, High Quality</t>
  </si>
  <si>
    <t>Шлейф Lenovo S720 кнопка включення, High Quality</t>
  </si>
  <si>
    <t>Шлейф Lenovo S720 кнопки регулировки громкости, High Quality</t>
  </si>
  <si>
    <t>Шлейф Lenovo S820 кнопка включення, High Quality</t>
  </si>
  <si>
    <t>Шлейф Lenovo S960 кнопки регулировки громкости</t>
  </si>
  <si>
    <t>Шлейф LG D800 | G2 D801 | G2 D803 Optimus G2 с коннектором зарядки, наушников, микрофоном</t>
  </si>
  <si>
    <t>Шлейф LG KU580 (оригинал)</t>
  </si>
  <si>
    <t>Шлейф Motorola E6s (XT2053), со сканером отпечатка, Original PRC, Blue</t>
  </si>
  <si>
    <t>Шлейф Motorola E6s (XT2053), со сканером отпечатка, Original PRC, Grey</t>
  </si>
  <si>
    <t>Шлейф Motorola E7 Plus (XT2081), E7 Power (XT2097), со сканером отпечатка, Original PRC, Blue</t>
  </si>
  <si>
    <t>Шлейф Motorola E7 Plus (XT2081), нижняя плата с разъемом зарядки, микрофоном, High Quality</t>
  </si>
  <si>
    <t>Шлейф Motorola Edge 20, нижняя плата с разъемом зарядки, микрофоном, High Quality</t>
  </si>
  <si>
    <t>Шлейф Motorola Edge 30 Neo, (XT2245) нижняя плата с разъемом зарядки, разъемом Sim-карты, микрофоном</t>
  </si>
  <si>
    <t>Шлейф Motorola Edge 30, нижняя плата с разъемом зарядки, микрофоном, High Quality</t>
  </si>
  <si>
    <t>Шлейф Motorola G32 (XT2235), кнопка включения, регулировки громкости, Original PRC</t>
  </si>
  <si>
    <t>Шлейф Motorola G32 (XT2235), со сканером отпечатка, Original PRC, Black</t>
  </si>
  <si>
    <t>Шлейф Motorola G60 (XT2135-2, XT2135), G40 Fusion, с разъемом зарядки, микрофоном, Original</t>
  </si>
  <si>
    <t>Шлейф Motorola G60 (XT2135-2, XT2135), Moto G40 Fusion, кнопка включения, регулировки громкости, Original PRC</t>
  </si>
  <si>
    <t>Шлейф Motorola G60 (XT2135-2, XT2135), межплатный, Original PRC</t>
  </si>
  <si>
    <t>Шлейф Motorola G60 (XT2135-2, XT2135), со сканером отпечатка, Original PRC, Dynamic Gray</t>
  </si>
  <si>
    <t>Шлейф Motorola G8 Power (XT2041), со сканером отпечатка, Original PRC, Black</t>
  </si>
  <si>
    <t>Шлейф Motorola G9 Plus (XT2087), со сканером отпечатка, Original PRC, Blue</t>
  </si>
  <si>
    <t>Шлейф Motorola G9 Power (XT2091-3, XT2091-4), со сканером отпечатка, Original PRC, Green</t>
  </si>
  <si>
    <t>Шлейф Motorola Moto E20, (XT2155) нижняя плата с разъемом зарядки, микрофоном, High Quality</t>
  </si>
  <si>
    <t>Шлейф Motorola Moto E30, (XT2159-1) нижняя плата с разъемом зарядки, микрофоном, High Quality</t>
  </si>
  <si>
    <t>Шлейф Motorola Moto E40, (XT2159) нижняя плата с разъемом зарядки, микрофоном, High Quality</t>
  </si>
  <si>
    <t>Шлейф Motorola Moto E6S, (XT2053) нижняя плата с разъемом зарядки, микрофоном, High Quality</t>
  </si>
  <si>
    <t>Шлейф Motorola Moto E7 (XT2095), нижняя плата с разъемом зарядки, микрофоном, High Quality</t>
  </si>
  <si>
    <t>Шлейф Motorola Moto E7 Power (XT2097), Moto E7i Power, нижняя плата с разъемом зарядки, микрофоном, High Quality</t>
  </si>
  <si>
    <t>Шлейф Motorola Moto G22 (XT2231), нижняя плата с разъемом зарядки, микрофоном, High Quality</t>
  </si>
  <si>
    <t>Шлейф Motorola Moto G23, (XT2333) нижняя плата с разъемом зарядки, микрофоном, High Quality</t>
  </si>
  <si>
    <t>Шлейф Motorola Moto G72, (XT2255) нижняя плата с разъемом зарядки, микрофоном, High Quality</t>
  </si>
  <si>
    <t>Шлейф Motorola Moto G84, нижняя плата с разъемом зарядки, микрофоном, High Quality</t>
  </si>
  <si>
    <t>Шлейф Motorola One Action (XT2013), OneVision (XT1970), со сканером отпечатка, Original PRC, Black</t>
  </si>
  <si>
    <t>Шлейф Motorola XT1941-4 Moto One, XT1941-2 Moto P30 Play, с разъемом зарядки, микрофоном, High Quality</t>
  </si>
  <si>
    <t>Шлейф Motorola XT2013 Moto One Action, XT1970 Moto One Vision, с разъемом зарядки, микрофоном, High Quality</t>
  </si>
  <si>
    <t>Шлейф Nokia 3.1 Plus TA-1104, TA-1113, TA-1117, TA-1118, TA-1124, TA-1125, с разъемом зарядки, микрофоном, плата зарядки, Original PRC</t>
  </si>
  <si>
    <t>Шлейф Nokia 3.1 TA-1063, TA-1057, с разъемом зарядки, микрофоном, плата зарядки, Original PRC</t>
  </si>
  <si>
    <t>Шлейф Nokia 5 Dual Sim TA-1024, TA-1053, с разъемом зарядки, микрофоном, плата зарядки, Original PRC</t>
  </si>
  <si>
    <t>Шлейф Nokia 6 TA-1021, TA-1033, с разъемом зарядки, микрофоном, плата зарядки, Original PRC</t>
  </si>
  <si>
    <t>Шлейф Nokia 6.1 Plus TA-1103, с разъемом зарядки, микрофоном, плата зарядки, Original PRC</t>
  </si>
  <si>
    <t>Шлейф Nokia 6.1 TA-1043, TA-1050, с разъемом зарядки, микрофоном, плата зарядки, Original PRC</t>
  </si>
  <si>
    <t>Шлейф Oppo A12 (CPH2083, CPH2077), с разъемом зарядки, гарнитуры, микрофоном, High Quality</t>
  </si>
  <si>
    <t>Шлейф Oppo A15 (CPH2185), A15s (CPH2179), межплатный, High Quality</t>
  </si>
  <si>
    <t>Шлейф Oppo A15 (CPH2185), A15s (CPH2179), с кнопкой включения, регулировки громкости, High Quality</t>
  </si>
  <si>
    <t>Шлейф Oppo A15 (CPH2185), A15s (CPH2179), с разъемом зарядки, гарнитуры, микрофоном, High Quality</t>
  </si>
  <si>
    <t>Шлейф Oppo A15 (CPH2185), A15s (CPH2179), с разъемом зарядки, гарнитуры, микрофоном, Original</t>
  </si>
  <si>
    <t>Шлейф Oppo A5 2020, A9 2020, межплатный, High Quality</t>
  </si>
  <si>
    <t>Шлейф Oppo A5 2020, A9 2020, с разъемом зарядки, гарнитуры, микрофоном, High Quality</t>
  </si>
  <si>
    <t>Шлейф Oppo A5 2020, A9 2020, с разъемом зарядки, гарнитуры, микрофоном, Original</t>
  </si>
  <si>
    <t>Шлейф Oppo A52, A92, с разъемом зарядки, гарнитуры, микрофоном, High Quality</t>
  </si>
  <si>
    <t>Шлейф Oppo A52, A92, с разъемом зарядки, гарнитуры, микрофоном, Original</t>
  </si>
  <si>
    <t>Шлейф Oppo A52, со сканером отпечатка, Original PRC, Twilight Black</t>
  </si>
  <si>
    <t>Шлейф Oppo A53 (CPH2127, CPH2131), межплатный, High Quality</t>
  </si>
  <si>
    <t>Шлейф Oppo A53 (CPH2127, CPH2131), с разъемом зарядки, гарнитуры, микрофоном, High Quality</t>
  </si>
  <si>
    <t>Шлейф Oppo Realme 6 Pro, с разъемом зарядки, гарнитуры, микрофоном, High Quality</t>
  </si>
  <si>
    <t>Шлейф Oppo Realme 6 Pro, с разъемом зарядки, гарнитуры, микрофоном, Original</t>
  </si>
  <si>
    <t>Шлейф Oppo Realme 6, межплатный, High Quality</t>
  </si>
  <si>
    <t>Шлейф Oppo Realme 6, с разъемом зарядки, гарнитуры, микрофоном, High Quality</t>
  </si>
  <si>
    <t>Шлейф Oppo Realme 6, с разъемом зарядки, гарнитуры, микрофоном, Original</t>
  </si>
  <si>
    <t>Шлейф Oppo Realme 6, со сканером отпечатка, Original PRC, Black</t>
  </si>
  <si>
    <t>Шлейф Oppo Realme C20, Realme C21, с разъемом зарядки, гарнитуры, микрофоном, Original</t>
  </si>
  <si>
    <t>Шлейф Oppo Realme C21Y, с разъемом зарядки, гарнитуры, микрофоном, Original</t>
  </si>
  <si>
    <t>Шлейф Oppo Realme C25, с разъемом зарядки, гарнитуры, микрофоном, Original</t>
  </si>
  <si>
    <t>Шлейф Realme C11, Realme С12, Realme С15, межплатный, High Quality</t>
  </si>
  <si>
    <t>Шлейф Realme C11, Realme С12, Realme С15, с кнопкой включения, регулировки громкости, High Quality</t>
  </si>
  <si>
    <t>Шлейф Realme C11, Realme С12, Realme С15, с разъемом зарядки, гарнитуры, микрофоном, High Quality</t>
  </si>
  <si>
    <t>Poco</t>
  </si>
  <si>
    <t>Шлейф Poco X3, X3 NFC, X3 Pro, с разъемом зарядки, гарнитуры, микрофоном, High Quality</t>
  </si>
  <si>
    <t>Шлейф Samsung A022 Galaxy A02, межплатный, Original</t>
  </si>
  <si>
    <t>Шлейф Samsung A022 Galaxy A02, с разъемом зарядки, гарнитуры, микрофоном, High Quality</t>
  </si>
  <si>
    <t>Шлейф Samsung A022 Galaxy A02, с разъемом зарядки, гарнитуры, микрофоном, Original</t>
  </si>
  <si>
    <t>Шлейф Samsung A025 Galaxy A02s, с разъемом зарядки, гарнитуры, Original</t>
  </si>
  <si>
    <t>Шлейф Samsung A037 Galaxy A03s, со сканером отпечатка пальца, Original, Black</t>
  </si>
  <si>
    <t>Шлейф Samsung A037 Galaxy A03s, со сканером отпечатка пальца, Original, Blue</t>
  </si>
  <si>
    <t>Шлейф Samsung A042 Galaxy A04e, кнопка включения, регулировки громкости, Original PRC</t>
  </si>
  <si>
    <t>Шлейф Samsung A042 Galaxy A04e, с разъемом зарядки, гарнитуры, микрофоном, Original</t>
  </si>
  <si>
    <t>Шлейф Samsung A042 Galaxy A04e, с разъемом зарядки, гарнитуры, микрофоном, Original PRC</t>
  </si>
  <si>
    <t>Шлейф Samsung A045 Galaxy A04, кнопка включения, регулировки громкости, Original PRC</t>
  </si>
  <si>
    <t>Шлейф Samsung A045 Galaxy A04, с разъемом зарядки, гарнитуры, микрофоном, Original</t>
  </si>
  <si>
    <t>Шлейф Samsung A045 Galaxy A04, с разъемом зарядки, гарнитуры, микрофоном, Original PRC</t>
  </si>
  <si>
    <t>Шлейф Samsung A047 Galaxy A04s, с разъемом зарядки, гарнитуры, микрофоном, Original</t>
  </si>
  <si>
    <t>Шлейф Samsung A047 Galaxy A04s, с разъемом зарядки, гарнитуры, микрофоном, Original PRC</t>
  </si>
  <si>
    <t>Шлейф Samsung A047 Galaxy A04s, со сканером отпечатка пальца, кнопка включения, Original, Black</t>
  </si>
  <si>
    <t>Шлейф Samsung A105 Galaxy A10, M105 Galaxy M10, M205, M305, с кнопкой включения, регулировки громкости, Original PRC</t>
  </si>
  <si>
    <t>Шлейф Samsung A105 Galaxy A10, межплатный, Original PRC</t>
  </si>
  <si>
    <t>Шлейф Samsung A105 Galaxy A10, с разъемом зарядки, гарнитуры, Original PRC</t>
  </si>
  <si>
    <t>Шлейф Samsung A107 Galaxy A10s, межплатный, Original PRC</t>
  </si>
  <si>
    <t>Шлейф Samsung A107 Galaxy A10s, с кнопкой включения, Original PRC</t>
  </si>
  <si>
    <t>Шлейф Samsung A107 Galaxy A10s, с разъемом зарядки, гарнитуры, (M15), Original PRC</t>
  </si>
  <si>
    <t>Шлейф Samsung A107 Galaxy A10s, с разъемом зарядки, гарнитуры, (M16), Original PRC</t>
  </si>
  <si>
    <t>Шлейф Samsung A107 Galaxy A10s, со сканером отпечатка пальца, Black</t>
  </si>
  <si>
    <t>Шлейф Samsung A107 Galaxy A10s, со сканером отпечатка пальца, Blue</t>
  </si>
  <si>
    <t>Шлейф Samsung A115 Galaxy A11, с разъемом зарядки, микрофоном, Original PRC</t>
  </si>
  <si>
    <t>Шлейф Samsung A125 Galaxy A12, M127 Galaxy M12, со сканером отпечатка пальца, кнопка включения, High Quality, Black</t>
  </si>
  <si>
    <t>Шлейф Samsung A125 Galaxy A12, M127 Galaxy M12, со сканером отпечатка пальца, кнопка включения, Original, Black</t>
  </si>
  <si>
    <t>Шлейф Samsung A125 Galaxy A12, M127 Galaxy M12, со сканером отпечатка пальца, кнопка включения, Original, White</t>
  </si>
  <si>
    <t>Шлейф Samsung A125 Galaxy A12, с разъемом зарядки, гарнитуры, High Quality</t>
  </si>
  <si>
    <t>Шлейф Samsung A125 Galaxy A12, с разъемом зарядки, гарнитуры, Original</t>
  </si>
  <si>
    <t>Шлейф Samsung A125 Galaxy A12, с разъемом зарядки, гарнитуры, Original PRC</t>
  </si>
  <si>
    <t>Шлейф Samsung A135 Galaxy A13, регулировки громкости, Original PRC</t>
  </si>
  <si>
    <t>Шлейф Samsung A135, A137 Galaxy A13, с разъемом зарядки, гарнитуры, микрофоном, Original</t>
  </si>
  <si>
    <t>Шлейф Samsung A135, A137 Galaxy A13, с разъемом зарядки, гарнитуры, микрофоном, Original PRC</t>
  </si>
  <si>
    <t>Шлейф Samsung A135, A137 Galaxy A13, со сканером отпечатка пальца, кнопка включения, Original, Black</t>
  </si>
  <si>
    <t>Шлейф Samsung A145 Galaxy A14, M146 Galaxy M14, со сканером отпечатка пальца, кнопка включения, Original, Light Green</t>
  </si>
  <si>
    <t>Шлейф Samsung A145 Galaxy A14, с разъемом зарядки, гарнитуры, микрофоном, Original</t>
  </si>
  <si>
    <t>Шлейф Samsung A145 Galaxy A14, с разъемом зарядки, гарнитуры, микрофоном, Original PRC</t>
  </si>
  <si>
    <t>Шлейф Samsung A145 Galaxy A14, со сканером отпечатка пальца, кнопка включения, Original, Black</t>
  </si>
  <si>
    <t>Шлейф Samsung A145 Galaxy A14, со сканером отпечатка пальца, кнопка включения, Original, Green</t>
  </si>
  <si>
    <t>Шлейф Samsung A146B Galaxy A14 5G, M146 Galaxy M14, со сканером отпечатка пальца, кнопка включения, Original, Black</t>
  </si>
  <si>
    <t>Шлейф Samsung A146B Galaxy A14 5G, M146B Galaxy M14, с разъемом зарядки, гарнитуры, микрофоном, Original</t>
  </si>
  <si>
    <t>Шлейф Samsung A146B Galaxy A14 5G, M146B Galaxy M14, с разъемом зарядки, гарнитуры, микрофоном, Original PRC</t>
  </si>
  <si>
    <t>Шлейф Samsung A205 Galaxy A20, A305, A405, A505, A705, с кнопкой включения, регулировки громкости, Original PRC</t>
  </si>
  <si>
    <t>Шлейф Samsung A205 Galaxy A20, межплатный, Original PRC</t>
  </si>
  <si>
    <t>Шлейф Samsung A205 Galaxy A20, с разъемом зарядки, гарнитуры, Original PRC</t>
  </si>
  <si>
    <t>Шлейф Samsung A207 Galaxy A20s (ver.M12), межплатный, Original PRC</t>
  </si>
  <si>
    <t>Шлейф Samsung A207 Galaxy A20s, (M12) с разъемом зарядки, гарнитуры, микрофоном, High Quality</t>
  </si>
  <si>
    <t>Шлейф Samsung A207 Galaxy A20s, (M14) с разъемом зарядки, гарнитуры, микрофоном, High Quality</t>
  </si>
  <si>
    <t>Шлейф Samsung A207 Galaxy A20s, с кнопкой включения, Original PRC</t>
  </si>
  <si>
    <t>Шлейф Samsung A217 Galaxy A21s, с разъемом зарядки, гарнитуры, микрофоном, High Quality</t>
  </si>
  <si>
    <t>Шлейф Samsung A217 Galaxy A21s, с разъемом зарядки, гарнитуры, микрофоном, Original</t>
  </si>
  <si>
    <t>Шлейф Samsung A217 Galaxy A21s, со сканером отпечатка пальца, Black</t>
  </si>
  <si>
    <t>Шлейф Samsung A225 Galaxy A22, A325 Galaxy A32, межплатный, High Quality</t>
  </si>
  <si>
    <t>Шлейф Samsung A225 Galaxy A22, с разъемом зарядки, гарнитуры, микрофоном, Original</t>
  </si>
  <si>
    <t>Шлейф Samsung A225 Galaxy A22, с разъемом зарядки, гарнитуры, микрофоном, Original PRC</t>
  </si>
  <si>
    <t>Шлейф Samsung A225 Galaxy A22, со сканером отпечатка пальца, кнопка включения, Original, Black</t>
  </si>
  <si>
    <t>Шлейф Samsung A225 Galaxy A22, со сканером отпечатка пальца, кнопка включения, Original, Green</t>
  </si>
  <si>
    <t>Шлейф Samsung A225 Galaxy A22, со сканером отпечатка пальца, кнопка включения, Original, Purple</t>
  </si>
  <si>
    <t>Шлейф Samsung A225 Galaxy A22, со сканером отпечатка пальца, кнопка включения, Original, White</t>
  </si>
  <si>
    <t>Шлейф Samsung A226 Galaxy A22 5G, со сканером отпечатка пальца, Original, Black</t>
  </si>
  <si>
    <t>Шлейф Samsung A235 Galaxy A23, с разъемом зарядки, гарнитуры, микрофоном, Original</t>
  </si>
  <si>
    <t>Шлейф Samsung A235 Galaxy A23, с разъемом зарядки, гарнитуры, микрофоном, Original PRC</t>
  </si>
  <si>
    <t>Шлейф Samsung A305 Galaxy A30, с разъемом зарядки, гарнитуры, Original PRC</t>
  </si>
  <si>
    <t>Шлейф Samsung A307 Galaxy A30s, межплатный, Original PRC</t>
  </si>
  <si>
    <t>Шлейф Samsung A307 Galaxy A30s, с разъемом зарядки, гарнитуры, Original PRC</t>
  </si>
  <si>
    <t>Шлейф Samsung A315 Galaxy A31, A415 Galaxy A41, с кнопкой включения, регулировки громкости, Original PRC</t>
  </si>
  <si>
    <t>Шлейф Samsung A315 Galaxy A31, межплатный, Original PRC</t>
  </si>
  <si>
    <t>Шлейф Samsung A315 Galaxy A31, с разъемом зарядки, гарнитуры, Original PRC</t>
  </si>
  <si>
    <t>Шлейф Samsung A315 Galaxy A31, со сканером отпечатка пальца, Original</t>
  </si>
  <si>
    <t>Шлейф Samsung A325 Galaxy A32 4G, A525 Galaxy A52, A725 Galaxy A72, со сканером отпечатка пальца, Original</t>
  </si>
  <si>
    <t>Шлейф Samsung A325 Galaxy A32, с кнопкой включения, регулировки громкости, High Quality</t>
  </si>
  <si>
    <t>Шлейф Samsung A325 Galaxy A32, с разъемом зарядки, гарнитуры, микрофоном, Original</t>
  </si>
  <si>
    <t>Шлейф Samsung A325 Galaxy A32, с разъемом зарядки, гарнитуры, микрофоном, Original PRC</t>
  </si>
  <si>
    <t>Шлейф Samsung A336 Galaxy a33 5G, со сканером отпечатка пальца, Original PRC</t>
  </si>
  <si>
    <t>Шлейф Samsung A336 Galaxy A33, (L-A336B_5G, REV 0.3) Межплатный, Original PRC</t>
  </si>
  <si>
    <t>Шлейф Samsung A336B Galaxy A33 5G, A736 Galaxy A73 5G, кнопка включения, регулировки громкости, Original PRC</t>
  </si>
  <si>
    <t>Шлейф Samsung A336B Galaxy A33 5G, с разъемом зарядки, микрофоном, Original</t>
  </si>
  <si>
    <t>Шлейф Samsung A336B Galaxy A33 5G, с разъемом зарядки, микрофоном, Original PRC</t>
  </si>
  <si>
    <t>Шлейф Samsung A346 Galaxy A34, A546 Galaxy A54, кнопка включения, регулировки громкости, Original PRC</t>
  </si>
  <si>
    <t>Шлейф Samsung A346 Galaxy A34, с разъемом зарядки, микрофоном, Original</t>
  </si>
  <si>
    <t>Шлейф Samsung A346 Galaxy A34, с разъемом зарядки, микрофоном, Original PRC</t>
  </si>
  <si>
    <t>Шлейф Samsung A405 Galaxy A40, с разъемом зарядки, гарнитуры, Original PRC</t>
  </si>
  <si>
    <t>Шлейф Samsung A505 Galaxy A50, межплатный, Original PRC</t>
  </si>
  <si>
    <t>Шлейф Samsung A505 Galaxy A50, с разъемом зарядки, гарнитуры, Original</t>
  </si>
  <si>
    <t>Шлейф Samsung A505 Galaxy A50, с разъемом зарядки, гарнитуры, Original PRC</t>
  </si>
  <si>
    <t>Шлейф Samsung A515 Galaxy A51, A715 Galaxy A71, с кнопкой включения, регулировки громкости</t>
  </si>
  <si>
    <t>Шлейф Samsung A515 Galaxy A51, A715 Galaxy A71, со сканером отпечатка пальца, Original</t>
  </si>
  <si>
    <t>Шлейф Samsung A515 Galaxy A51, межплатный, Original PRC</t>
  </si>
  <si>
    <t>Шлейф Samsung A515 Galaxy A51, с разъемом зарядки, гарнитуры, Original</t>
  </si>
  <si>
    <t>Шлейф Samsung A515 Galaxy A51, с разъемом зарядки, гарнитуры, Original PRC</t>
  </si>
  <si>
    <t>Шлейф Samsung A606 Galaxy A60, M405 Galaxy M40, с разъемом зарядки, микрофоном, Original PRC</t>
  </si>
  <si>
    <t>Шлейф Samsung A700, A700H, A700F Galaxy A7 с разъемом зарядки, гарнитуры Original</t>
  </si>
  <si>
    <t>Шлейф Samsung A705 Galaxy A70, межплатный, Original PRC</t>
  </si>
  <si>
    <t>Шлейф Samsung A705 Galaxy A70, с разъемом зарядки, гарнитуры, Original</t>
  </si>
  <si>
    <t>Шлейф Samsung A705 Galaxy A70, с разъемом зарядки, гарнитуры, Original PRC</t>
  </si>
  <si>
    <t>Шлейф Samsung A710 Galaxy A7 2016 с кнопкой меню (Home) Original Gold</t>
  </si>
  <si>
    <t>Шлейф Samsung A710 Galaxy A7 Duos с разъемом зарядки, гарнитуры, с микрофоном Original</t>
  </si>
  <si>
    <t>Шлейф Samsung A715 Galaxy A71, межплатный, High Quality</t>
  </si>
  <si>
    <t>Шлейф Samsung A715 Galaxy A71, с разъемом зарядки, гарнитуры, Original</t>
  </si>
  <si>
    <t>Шлейф Samsung A715 Galaxy A71, с разъемом зарядки, гарнитуры, Original PRC</t>
  </si>
  <si>
    <t>Шлейф Samsung A750 Galaxy A7 2018, с разъемом зарядки, гарнитуры, Original</t>
  </si>
  <si>
    <t>Шлейф Samsung A750 Galaxy A7 2018, с разъемом зарядки, гарнитуры, Original PRC</t>
  </si>
  <si>
    <t>Шлейф Samsung G610 Galaxy J7 Prime, кнопки меню, коннектора наушников, с компонентами</t>
  </si>
  <si>
    <t>Шлейф Samsung G928F Galaxy S6 Edge Plus с разъемом зарядки, гарнитуры Original</t>
  </si>
  <si>
    <t>Шлейф Samsung G930F Galaxy S7 с датчиком приближения, вспышкой Original</t>
  </si>
  <si>
    <t>Шлейф Samsung G930F Galaxy S7 с кнопкой меню (Home) Black</t>
  </si>
  <si>
    <t>Шлейф Samsung G930F Galaxy S7 с кнопкой меню (Home) Gold</t>
  </si>
  <si>
    <t>Шлейф Samsung G935F Galaxy S7 Edge, с разъемом зарядки, микрофоном, Original PRC</t>
  </si>
  <si>
    <t>Шлейф Samsung G950 Galaxy S8, с разъемом зарядки, микрофоном, Original PRC</t>
  </si>
  <si>
    <t>Шлейф Samsung G955 Galaxy S8 Plus, с разъемом зарядки, микрофоном</t>
  </si>
  <si>
    <t>Шлейф Samsung G960 Galaxy S9, G965 Galaxy S9 Plus, со сканером отпечатка пальца, Original, Black</t>
  </si>
  <si>
    <t>Шлейф Samsung G960 Galaxy S9, G965 Galaxy S9 Plus, со сканером отпечатка пальца, Original, Blue</t>
  </si>
  <si>
    <t>Шлейф Samsung G960 Galaxy S9, с разъемом зарядки, микрофоном, Original</t>
  </si>
  <si>
    <t>Шлейф Samsung G965 Galaxy S9 Plus, с разъемом зарядки, микрофоном, Original</t>
  </si>
  <si>
    <t>Шлейф Samsung G980 Galaxy S20, с разъемом зарядки, микрофоном, Original PRC</t>
  </si>
  <si>
    <t>Шлейф Samsung G985 Galaxy S20 Plus, с разъемом зарядки, микрофоном, Original PRC</t>
  </si>
  <si>
    <t>Шлейф Samsung G988 Galaxy S20 Ultra, с разъемом зарядки, микрофоном, Original PRC</t>
  </si>
  <si>
    <t>Шлейф Samsung I9003 с разъемом на батарею, вибро, микрофон</t>
  </si>
  <si>
    <t>Шлейф Samsung I9220 | N7000 с микрофоном и разъемом на зарядку</t>
  </si>
  <si>
    <t>Шлейф Samsung I9305 на sim</t>
  </si>
  <si>
    <t>Шлейф Samsung J250 Galaxy J2 2018, с кнопкой меню (Home)</t>
  </si>
  <si>
    <t>Шлейф Samsung J320 Galaxy J3 2016, кнопки меню, коннектора наушников, с компонентами</t>
  </si>
  <si>
    <t>Шлейф Samsung J330 Galaxy J3 2017, коннектора наушников, с микрофоном</t>
  </si>
  <si>
    <t>Шлейф Samsung J400 Galaxy J4 2018, с кнопкой меню (Home), Original PRC</t>
  </si>
  <si>
    <t>Шлейф Samsung M105 Galaxy M10, с разъемом зарядки, гарнитуры, Original</t>
  </si>
  <si>
    <t>Шлейф Samsung M135 Galaxy M13, с разъемом зарядки, гарнитуры, микрофоном, Original</t>
  </si>
  <si>
    <t>Шлейф Samsung M135 Galaxy M13, с разъемом зарядки, гарнитуры, микрофоном, Original PRC</t>
  </si>
  <si>
    <t>Шлейф Samsung M205 Galaxy M20, с разъемом зарядки, гарнитуры, Original</t>
  </si>
  <si>
    <t>Шлейф Samsung M215 Galaxy M21, M307 Galaxy M30s, M315 Galaxy M31, с разъемом зарядки, гарнитуры, Original</t>
  </si>
  <si>
    <t>Шлейф Samsung M317 Galaxy M31s, с разъемом зарядки, гарнитуры, микрофоном, Original</t>
  </si>
  <si>
    <t>Шлейф Samsung M325 Galaxy M32, со сканером отпечатка пальца, кнопка включения, Original, Black</t>
  </si>
  <si>
    <t>Шлейф Samsung M526 Galaxy M52, со сканером отпечатка пальца, кнопка включения, Original, Black</t>
  </si>
  <si>
    <t>Шлейф Samsung M526 Galaxy M52, со сканером отпечатка пальца, кнопка включения, Original, Silver</t>
  </si>
  <si>
    <t>Шлейф Samsung M536 Galaxy M53, со сканером отпечатка пальца, кнопка включения, Original, Brown</t>
  </si>
  <si>
    <t>Шлейф Samsung N920 Galaxy Note 5, с разъемом зарядки, гарнитуры, микрофоном, Original</t>
  </si>
  <si>
    <t>Шлейф Samsung N950 Galaxy Note 8, с разъемом зарядки, микрофоном, Original PRC</t>
  </si>
  <si>
    <t>Шлейф Samsung N960 Galaxy Note 9, с разъемом зарядки, с микрофоном, Original</t>
  </si>
  <si>
    <t>Шлейф Samsung N970 Galaxy Note 10, с разъемом зарядки, микрофоном, Original PRC</t>
  </si>
  <si>
    <t>Шлейф Samsung N975 Galaxy Note 10 Plus, с разъемом зарядки, микрофоном, Original PRC</t>
  </si>
  <si>
    <t>Шлейф Samsung N985 Galaxy Note 20 Ultra, с разъемом зарядки, Original PRC</t>
  </si>
  <si>
    <t>Шлейф Samsung S5260 с разъемом на наушнике</t>
  </si>
  <si>
    <t>Шлейф для Samsung A346 Galaxy A34 5G, A546 Galaxy A54 5G, межплатный, Original PRC</t>
  </si>
  <si>
    <t>Шлейф Sony C6602 Xperia Z | C6603 Xperia Z кнопка включения, регулировки громкости, с микрофоном, Original PRC</t>
  </si>
  <si>
    <t>Шлейф Sony Xperia 10 II (XQ-AU51, XQ-AU52), со сканером отпечатка, Original, Black</t>
  </si>
  <si>
    <t>Шлейф Tecno Camon 19 (Ci6N), Camon 19 Pro (Ci8N), кнопка включения, регулировки громкости, Original PRC</t>
  </si>
  <si>
    <t>Шлейф Tecno Camon 19 Neo (CH6i), со сканером отпечатка пальца, Original, Black</t>
  </si>
  <si>
    <t>Шлейф Tecno Camon 19 Neo (CH6i), со сканером отпечатка пальца, Original, Blue</t>
  </si>
  <si>
    <t>Шлейф Tecno Camon 19 Pro (CI6), межплатный, Original PRC</t>
  </si>
  <si>
    <t>Шлейф Tecno Camon 19 Pro (CI8n), с разъемом зарядки, гарнитуры, микрофоном, Original</t>
  </si>
  <si>
    <t>Шлейф Tecno Camon 19 Pro (CI8n), с разъемом зарядки, гарнитуры, микрофоном, Original PRC</t>
  </si>
  <si>
    <t>Шлейф Tecno Camon 19 Pro (CI8n), со сканером отпечатка пальца, Original, Black</t>
  </si>
  <si>
    <t>Шлейф Tecno Camon 19 Pro (CI8n), со сканером отпечатка пальца, Original, Blue</t>
  </si>
  <si>
    <t>Шлейф Tecno Camon 19 Pro (CI8n), со сканером отпечатка пальца, Original, Gold</t>
  </si>
  <si>
    <t>Шлейф Tecno Pova 4 (LG7n), Pova Neo 2 (LG6n), со сканером отпечатка пальца, Original, Black</t>
  </si>
  <si>
    <t>Шлейф Tecno Pova 4 (LG7n), Pova Neo 2 (LG6n), со сканером отпечатка пальца, Original, Blue</t>
  </si>
  <si>
    <t>Шлейф Tecno Pova Neo 2 (LG7n), с разъемом зарядки, гарнитуры, микрофоном, Original</t>
  </si>
  <si>
    <t>Шлейф Tecno Pova Neo 2 (LG7n), с разъемом зарядки, гарнитуры, микрофоном, Original PRC</t>
  </si>
  <si>
    <t>Шлейф Tecno Spark 10 (Ki5q) кнопка включения, регулировки громкости, Original PRC</t>
  </si>
  <si>
    <t>Шлейф Tecno Spark 10 (Ki5q), с разъемом зарядки, гарнитуры, микрофоном, Original</t>
  </si>
  <si>
    <t>Шлейф Tecno Spark 10 (Ki5q), с разъемом зарядки, гарнитуры, микрофоном, Original PRC</t>
  </si>
  <si>
    <t>Шлейф Tecno Spark 10 (Ki5q), со сканером отпечатка пальца, Original PRC, Silver</t>
  </si>
  <si>
    <t>Шлейф Tecno Spark 10 (Ki5q), со сканером отпечатка пальца, Original, Black</t>
  </si>
  <si>
    <t>Шлейф Tecno Spark 10 Pro (KL7), кнопка включения, регулировки громкости, Original PRC</t>
  </si>
  <si>
    <t>Шлейф Tecno Spark 10 Pro (KL7), с разъемом зарядки, гарнитуры, микрофоном, High Quality</t>
  </si>
  <si>
    <t>Шлейф Tecno Spark 10 Pro, межплатный, Original PRC</t>
  </si>
  <si>
    <t>Шлейф Tecno Spark 6 (KE7), Spark 7 (KF6n), Spark 8C, (KG5n, KG5k, KG5j), Spark Go 2022, (KG5m), со сканером отпечатка пальца, Original, Black</t>
  </si>
  <si>
    <t>Шлейф Tecno Spark 6 Go (KE5), с разъемом зарядки, гарнитуры, микрофоном, Original PRC</t>
  </si>
  <si>
    <t>Шлейф Tecno Spark 8c (KG5n), Spark Go 2022 (KG5m), Spark 9, с разъемом зарядки, гарнитуры, микрофоном, Original PRC</t>
  </si>
  <si>
    <t>Шлейф Tecno Spark 8c (KG5n), Spark Go 2022 (KG5m), кнопка включения, регулировки громкости, Original PRC</t>
  </si>
  <si>
    <t>Шлейф Tecno Spark 8c (KG5n), с разъемом зарядки, гарнитуры, микрофоном, Original</t>
  </si>
  <si>
    <t>Шлейф Tecno Spark 9 Pro (KH7n) кнопка включения, регулировки громкости, Original PRC</t>
  </si>
  <si>
    <t>Шлейф Tecno Spark 9 Pro (KH7n), межплатный, Original PRC</t>
  </si>
  <si>
    <t>Шлейф Tecno Spark 9 Pro (KH7n), с разъемом зарядки, гарнитуры, микрофоном, High Quality</t>
  </si>
  <si>
    <t>Шлейф Tecno Spark 9 Pro (KH7n), с разъемом зарядки, гарнитуры, микрофоном, Original</t>
  </si>
  <si>
    <t>Шлейф Tecno Spark 9 Pro (KH7n), со сканером отпечатка, Original PRC, Black</t>
  </si>
  <si>
    <t>Шлейф Tecno Spark 9 Pro (KH7n), со сканером отпечатка, Original PRC, Blue</t>
  </si>
  <si>
    <t>Шлейф Tecno Spark 9 Pro (KH7n), со сканером отпечатка, Original PRC, Gold</t>
  </si>
  <si>
    <t>Шлейф Tecno Spark Go 2022 (KG5m), Spark 9, с разъемом зарядки, гарнитуры, микрофоном, Original</t>
  </si>
  <si>
    <t>Шлейф Tecno Spark Go 2023 (BF7n), кнопка включения, регулировки громкости, Original PRC</t>
  </si>
  <si>
    <t>Шлейф Tecno Spark Go 2023 (BF7n), с разъемом зарядки, гарнитуры, микрофоном, Original PRC</t>
  </si>
  <si>
    <t>Шлейф Tecno Spark Go 2023 (BF7n), со сканером отпечатка пальца, Original, Black</t>
  </si>
  <si>
    <t>Шлейф Xiaomi 11T, 11T Pro, со сканером отпечатка пальца, кнопка включения, Original, Black</t>
  </si>
  <si>
    <t>Шлейф Xiaomi 11T, 11T Pro, со сканером отпечатка пальца, кнопка включения, Original, Blue</t>
  </si>
  <si>
    <t>Шлейф Xiaomi 11T, нижняя плата с разъемом зарядки, разъемом Sim-карты, микрофоном, Original</t>
  </si>
  <si>
    <t>Шлейф Xiaomi 12, 12x, нижняя плата с разъемом зарядки, разъемом Sim-карты, микрофоном, Original</t>
  </si>
  <si>
    <t>Шлейф Xiaomi 13 Lite, кнопка включения, регулировки громкости, Original PRC</t>
  </si>
  <si>
    <t>Шлейф Xiaomi 13 Lite, межплатный, Original PRC</t>
  </si>
  <si>
    <t>Шлейф Xiaomi Mi 11 Lite, нижняя плата с разъемом зарядки, микрофоном, High Quality</t>
  </si>
  <si>
    <t>Шлейф Xiaomi Mi 11 Lite, нижняя плата с разъемом зарядки, микрофоном, Original</t>
  </si>
  <si>
    <t>Шлейф Xiaomi Mi 11 Lite, со сканером отпечатка пальца, кнопка включения, Original, Black</t>
  </si>
  <si>
    <t>Шлейф Xiaomi Mi 11 Lite, со сканером отпечатка пальца, кнопка включения, Original, Blue</t>
  </si>
  <si>
    <t>Шлейф Xiaomi Mi 11 Lite, со сканером отпечатка пальца, кнопка включения, Original, Pink</t>
  </si>
  <si>
    <t>Шлейф Xiaomi Mi 11 Pro, Mi 11 Ultra, с разъемом зарядки, High Quality</t>
  </si>
  <si>
    <t>Шлейф Xiaomi Mi 11, нижняя плата с разъемом зарядки, разъемом Sim-карты, микрофоном, High Quality</t>
  </si>
  <si>
    <t>Шлейф Xiaomi Mi 11, нижняя плата с разъемом зарядки, разъемом Sim-карты, микрофоном, Original</t>
  </si>
  <si>
    <t>Шлейф Xiaomi Mi 11i, нижняя плата с разъемом зарядки, микрофоном, Original</t>
  </si>
  <si>
    <t>Шлейф Xiaomi Mi 11i, нижняя плата с разъемом зарядки, микрофоном, Original PRC</t>
  </si>
  <si>
    <t>Шлейф Xiaomi Mi 8 Lite, нижняя плата с разъемом зарядки, микрофоном</t>
  </si>
  <si>
    <t>Шлейф Xiaomi Mi 8 SE, нижняя плата с разъемом зарядки, микрофоном, Original PRC</t>
  </si>
  <si>
    <t>Шлейф Xiaomi Mi 8, нижняя плата с разъемом зарядки, микрофоном</t>
  </si>
  <si>
    <t>Шлейф Xiaomi Mi 9 Lite, нижняя плата с разъемом зарядки, микрофоном, Original PRC</t>
  </si>
  <si>
    <t>Шлейф Xiaomi Mi 9 SE, межплатный, Original PRC</t>
  </si>
  <si>
    <t>Шлейф Xiaomi Mi 9T, Mi 9T Pro, Redmi K20, Redmi K20 Pro, межплатный, Original</t>
  </si>
  <si>
    <t>Шлейф Xiaomi Mi 9T, Mi 9T Pro, Redmi K20, Redmi K20 Pro, нижняя плата с разъемом зарядки, Sim коннектор, Original</t>
  </si>
  <si>
    <t>Шлейф Xiaomi Mi A2 Lite, Redmi 6 Pro, нижняя плата с разъемом зарядки, микрофоном</t>
  </si>
  <si>
    <t>Шлейф Xiaomi Mi A2, Redmi 6x, нижняя плата с разъемом зарядки, микрофоном</t>
  </si>
  <si>
    <t>Шлейф Xiaomi Mi Max, нижняя плата с разъемом зарядки, микрофоном</t>
  </si>
  <si>
    <t>Шлейф Xiaomi Mi Mix, нижняя плата с разъемом зарядки, микрофоном</t>
  </si>
  <si>
    <t>Шлейф Xiaomi Mi Note 10, Mi Note 10 Lite, Mi Note 10 Pro, межплатный, High Quality</t>
  </si>
  <si>
    <t>Шлейф Xiaomi Mi Note 10, Mi Note 10 Pro, межплатный, Original</t>
  </si>
  <si>
    <t>Шлейф Xiaomi Mi4c, с кнопкой включения, регулировки громкости</t>
  </si>
  <si>
    <t>Шлейф Xiaomi Mi4i межплатный</t>
  </si>
  <si>
    <t>Шлейф Xiaomi Mi4i с кнопкой включения, регулировки громкости</t>
  </si>
  <si>
    <t>Шлейф Xiaomi Note 10 5G, нижняя плата с разъемом зарядки, микрофоном, Original</t>
  </si>
  <si>
    <t>Шлейф Xiaomi Redmi 10, Redmi 10 2022, Redmi 10 Prime, Redmi 10 Prime 2022, со сканером отпечатка пальца, Black</t>
  </si>
  <si>
    <t>Шлейф Xiaomi Redmi 10, нижняя плата с разъемом зарядки, микрофоном, Original PRC</t>
  </si>
  <si>
    <t>Шлейф Xiaomi Redmi 10c, нижняя плата с разъемом зарядки, микрофоном, Original PRC</t>
  </si>
  <si>
    <t>Шлейф Xiaomi Redmi 12, кнопка включения, регулировки громкости, Original PRC</t>
  </si>
  <si>
    <t>Шлейф Xiaomi Redmi 12, нижняя плата с разъемом зарядки, микрофоном, Original</t>
  </si>
  <si>
    <t>Шлейф Xiaomi Redmi 12, нижняя плата с разъемом зарядки, микрофоном, Original PRC</t>
  </si>
  <si>
    <t>Шлейф Xiaomi Redmi 12, со сканером отпечатка пальца, Original, Midnight Black</t>
  </si>
  <si>
    <t>Шлейф Xiaomi Redmi 12, со сканером отпечатка пальца, Original, Sky Blue</t>
  </si>
  <si>
    <t>Шлейф Xiaomi Redmi 12C, кнопка включения, регулировки громкости, Original PRC</t>
  </si>
  <si>
    <t>Шлейф Xiaomi Redmi 12C, нижняя плата с разъемом зарядки, микрофоном, Original</t>
  </si>
  <si>
    <t>Шлейф Xiaomi Redmi 12C, нижняя плата с разъемом зарядки, микрофоном, Original PRC</t>
  </si>
  <si>
    <t>Шлейф Xiaomi Redmi 12C, со сканером отпечатка пальца, Black</t>
  </si>
  <si>
    <t>Шлейф Xiaomi Redmi 3 межплатный</t>
  </si>
  <si>
    <t>Шлейф Xiaomi Redmi 4x, нижняя плата с разъемом зарядки, микрофоном</t>
  </si>
  <si>
    <t>Шлейф Xiaomi Redmi 7, нижняя плата с разъемом зарядки, микрофоном, High Quality</t>
  </si>
  <si>
    <t>Шлейф Xiaomi Redmi 7, нижняя плата с разъемом зарядки, микрофоном, Original</t>
  </si>
  <si>
    <t>Шлейф Xiaomi Redmi 8, Redmi 8A, межплатный, Original PRC</t>
  </si>
  <si>
    <t>Шлейф Xiaomi Redmi 8, Redmi 8A, с разъемом зарядки, микрофоном, High Quality</t>
  </si>
  <si>
    <t>Шлейф Xiaomi Redmi 8, Redmi 8A, с разъемом зарядки, микрофоном, Original</t>
  </si>
  <si>
    <t>Шлейф Xiaomi Redmi 9, межплатный, Original</t>
  </si>
  <si>
    <t>Шлейф Xiaomi Redmi 9, нижняя плата с разъемом зарядки, микрофоном, High Quality</t>
  </si>
  <si>
    <t>Шлейф Xiaomi Redmi 9, нижняя плата с разъемом зарядки, микрофоном, Original</t>
  </si>
  <si>
    <t>Шлейф Xiaomi Redmi 9a, Redmi 9c, нижняя плата с разъемом зарядки, микрофоном, High Quality</t>
  </si>
  <si>
    <t>Шлейф Xiaomi Redmi 9a, Redmi 9c, нижняя плата с разъемом зарядки, микрофоном, Original</t>
  </si>
  <si>
    <t>Шлейф Xiaomi Redmi 9C, со сканером отпечатка пальца, Black</t>
  </si>
  <si>
    <t>Шлейф Xiaomi Redmi 9C, со сканером отпечатка пальца, Blue</t>
  </si>
  <si>
    <t>Шлейф Xiaomi Redmi 9C, со сканером отпечатка пальца, Red</t>
  </si>
  <si>
    <t>Шлейф Xiaomi Redmi 9T; Poco M3, нижняя плата с разъемом зарядки, микрофоном, High Quality</t>
  </si>
  <si>
    <t>Шлейф Xiaomi Redmi 9T; Poco M3, нижняя плата с разъемом зарядки, микрофоном, Original</t>
  </si>
  <si>
    <t>Шлейф Xiaomi Redmi 9T; Poco M3, со сканером отпечатка, Original PRC, Black</t>
  </si>
  <si>
    <t>Шлейф Xiaomi Redmi 9T; Poco M3, со сканером отпечатка, Original PRC, Blue</t>
  </si>
  <si>
    <t>Шлейф Xiaomi Redmi 9T; Poco M3, со сканером отпечатка, Original PRC, Green</t>
  </si>
  <si>
    <t>Шлейф Xiaomi Redmi Note 10 5G, нижняя плата с разъемом зарядки, микрофоном, Original PRC</t>
  </si>
  <si>
    <t>Шлейф Xiaomi Redmi Note 10 5G; Poco M3 Pro, со сканером отпечатка пальца, Gray</t>
  </si>
  <si>
    <t>Шлейф Xiaomi Redmi Note 10 Pro, межплатный, Original PRC</t>
  </si>
  <si>
    <t>Шлейф Xiaomi Redmi Note 10 Pro, нижняя плата с разъемом зарядки, микрофоном, High Quality</t>
  </si>
  <si>
    <t>Шлейф Xiaomi Redmi Note 10 Pro, нижняя плата с разъемом зарядки, микрофоном, Original</t>
  </si>
  <si>
    <t>Шлейф Xiaomi Redmi Note 10 Pro, со сканером отпечатка пальца, Original, Black</t>
  </si>
  <si>
    <t>Шлейф Xiaomi Redmi Note 10 Pro, со сканером отпечатка пальца, Original, Blue</t>
  </si>
  <si>
    <t>Шлейф Xiaomi Redmi Note 10, Redmi Note 10s, межплатный, High Quality</t>
  </si>
  <si>
    <t>Шлейф Xiaomi Redmi Note 10, Redmi Note 10s, нижняя плата с разъемом зарядки, наушников, микрофоном, High Quality</t>
  </si>
  <si>
    <t>Шлейф Xiaomi Redmi Note 10, Redmi Note 10s, нижняя плата с разъемом зарядки, наушников, микрофоном, Original</t>
  </si>
  <si>
    <t>Шлейф Xiaomi Redmi Note 10, Redmi Note 10s, со сканером отпечатка пальца, Original, Black</t>
  </si>
  <si>
    <t>Шлейф Xiaomi Redmi Note 11 Pro, Redmi Note 11 Pro 5G; Poco X4 Pro 5G, со сканером отпечатка пальца, Silver</t>
  </si>
  <si>
    <t>Шлейф Xiaomi Redmi Note 11, Redmi Note 11S, Poco M4 Pro 4G, нижняя плата с разъемом зарядки, микрофоном, Original</t>
  </si>
  <si>
    <t>Шлейф Xiaomi Redmi Note 11, Redmi Note 11S, Redmi Note 12s, Poco M4 Pro 4G, нижняя плата с разъемом зарядки, микрофоном, Original PRC</t>
  </si>
  <si>
    <t>Шлейф Xiaomi Redmi Note 11, Redmi Note 11S, межплатный, High Quality</t>
  </si>
  <si>
    <t>Шлейф Xiaomi Redmi Note 11, Redmi Note 11S; Poco M4 Pro, со сканером отпечатка пальца, Black</t>
  </si>
  <si>
    <t>Шлейф Xiaomi Redmi Note 11, Redmi Note 11S; Poco M4 Pro, со сканером отпечатка пальца, Blue</t>
  </si>
  <si>
    <t>Шлейф Xiaomi Redmi Note 11, Redmi Note 11S; Poco M4 Pro, со сканером отпечатка пальца, Silver</t>
  </si>
  <si>
    <t>Шлейф Xiaomi Redmi Note 12 4G, Redmi Note 12S, нижняя плата с разъемом зарядки, микрофоном, Original</t>
  </si>
  <si>
    <t>Шлейф Xiaomi Redmi Note 12 4G, кнопка включения, регулировки громкости, Original PRC</t>
  </si>
  <si>
    <t>Шлейф Xiaomi Redmi Note 12 4G, нижняя плата с разъемом зарядки, микрофоном, Original PRC</t>
  </si>
  <si>
    <t>Шлейф Xiaomi Redmi Note 12 5G, Poco X5,  нижняя плата с разъемом зарядки, микрофоном, Original</t>
  </si>
  <si>
    <t>Шлейф Xiaomi Redmi Note 12 5G, со сканером отпечатка пальца, Original, Matte Black</t>
  </si>
  <si>
    <t>Шлейф Xiaomi Redmi Note 12 5G, со сканером отпечатка пальца, Original, Mystique Blue</t>
  </si>
  <si>
    <t>Шлейф Xiaomi Redmi Note 12 Pro, Poco X5 Pro, нижняя плата с разъемом зарядки, разъемом Sim-карты, микрофоном, Original</t>
  </si>
  <si>
    <t>Шлейф Xiaomi Redmi Note 12 Pro, Poco X5 Pro, нижняя плата с разъемом зарядки, разъемом Sim-карты, микрофоном, Original PRC</t>
  </si>
  <si>
    <t>Шлейф Xiaomi Redmi Note 12 Pro, межплатный, Original PRC</t>
  </si>
  <si>
    <t>Шлейф Xiaomi Redmi Note 12 Pro, со сканером отпечатка пальца, Original, Matte Black</t>
  </si>
  <si>
    <t>Шлейф Xiaomi Redmi Note 12 Pro, со сканером отпечатка пальца, Original, Mystique Blue</t>
  </si>
  <si>
    <t>Шлейф Xiaomi Redmi Note 12, Redmi Note 12 Pro 5G, кнопка включения, регулировки громкости, Original PRC</t>
  </si>
  <si>
    <t>Шлейф Xiaomi Redmi Note 12s, межплатный, Original PRC</t>
  </si>
  <si>
    <t>Шлейф Xiaomi Redmi Note 2 межплатный</t>
  </si>
  <si>
    <t>Шлейф Xiaomi Redmi Note 4 с сканером отпчетака пальца, Silver</t>
  </si>
  <si>
    <t>Шлейф Xiaomi Redmi Note 4x, нижняя плата с разъемом зарядки, микрофоном (широкий коннектор)</t>
  </si>
  <si>
    <t>Шлейф Xiaomi Redmi Note 5, нижняя плата с разъемом зарядки, наушников, микрофоном, High Quality</t>
  </si>
  <si>
    <t>Шлейф Xiaomi Redmi Note 5, нижняя плата с разъемом зарядки, наушников, микрофоном, Original PRC</t>
  </si>
  <si>
    <t>Шлейф Xiaomi Redmi Note 7, нижняя плата с разъемом зарядки, микрофоном, High Quality</t>
  </si>
  <si>
    <t>Шлейф Xiaomi Redmi Note 7, нижняя плата с разъемом зарядки, микрофоном, Original</t>
  </si>
  <si>
    <t>Шлейф Xiaomi Redmi Note 8 Pro, с разъемом зарядки, гарнитуры, микрофоном, High Quality</t>
  </si>
  <si>
    <t>Шлейф Xiaomi Redmi Note 8 Pro, с разъемом зарядки, гарнитуры, микрофоном, Original</t>
  </si>
  <si>
    <t>Шлейф Xiaomi Redmi Note 8, межплатный, Original PRC</t>
  </si>
  <si>
    <t>Шлейф Xiaomi Redmi Note 8, с разъемом зарядки, гарнитуры, микрофоном, Original PRC</t>
  </si>
  <si>
    <t>Шлейф Xiaomi Redmi Note 8, со сканером отпечатка пальца, Black</t>
  </si>
  <si>
    <t>Шлейф Xiaomi Redmi Note 8T, с разъемом зарядки, гарнитуры, микрофоном, Original PRC</t>
  </si>
  <si>
    <t>Шлейф Xiaomi Redmi Note 9 Pro, Redmi Note 9S, межплатный, Original PRC</t>
  </si>
  <si>
    <t>Шлейф Xiaomi Redmi Note 9 Pro, Redmi Note 9S, с разъемом зарядки, гарнитуры, микрофоном, High Quality</t>
  </si>
  <si>
    <t>Шлейф Xiaomi Redmi Note 9 Pro, Redmi Note 9S, с разъемом зарядки, гарнитуры, микрофоном, Original</t>
  </si>
  <si>
    <t>Шлейф Xiaomi Redmi Note 9, межплатный, Original PRC</t>
  </si>
  <si>
    <t>Шлейф Xiaomi Redmi Note 9, с разъемом зарядки, гарнитуры, микрофоном, High Quality</t>
  </si>
  <si>
    <t>Шлейф Xiaomi Redmi Note 9, с разъемом зарядки, гарнитуры, микрофоном, Original</t>
  </si>
  <si>
    <t>Шлейф Xiaomi Redmi Note 9, со сканером отпечатка пальца, Black</t>
  </si>
  <si>
    <t>Шлейф Xiaomi Redmi Note 9S, Note 9 Pro, Note 9 Pro Max, со сканером отпечатка, Original PRC, Black</t>
  </si>
  <si>
    <t>Шлейф Xiaomi Redmi S2, с разъемом зарядки, микрофоном, Original PRC</t>
  </si>
  <si>
    <t>Шлейф ZTE Blade A7s 2020, V10 Vita, со сканером отпечатка, Original PRC, Black</t>
  </si>
  <si>
    <t>Шлейф ZTE Blade A7s 2020, V10 Vita, со сканером отпечатка, Original PRC, Blue</t>
  </si>
  <si>
    <t>Шлейфа программируемые JCID для акумулятора iPhone</t>
  </si>
  <si>
    <t>Шлейф программируемый JCID для акумулятора Apple iPhone 11 Pro, iPhone 11 Pro Max, (Ver. 3.0)</t>
  </si>
  <si>
    <t>Шлейф программируемый JCID для акумулятора Apple iPhone 11, (Ver. 3.0)</t>
  </si>
  <si>
    <t>Шлейф программируемый JCID для акумулятора Apple iPhone 12 Pro Max, (Ver. 3.0)</t>
  </si>
  <si>
    <t>Шлейф программируемый JCID для акумулятора Apple iPhone 12, iPhone 12 Mini, iPhone 12 Pro, (Ver. 3.0)</t>
  </si>
  <si>
    <t>Шлейф программируемый JCID для акумулятора Apple iPhone 13 Pro, iPhone 13 Pro Max, (Ver. 1.0)</t>
  </si>
  <si>
    <t>Шлейф программируемый JCID для акумулятора Apple iPhone 13, iPhone 13 Mini, (Ver. 1.0)</t>
  </si>
  <si>
    <t>Шлейф программируемый JCID для акумулятора Apple iPhone 14 Pro, iPhone 14 Pro Max, (HH-V1.0)</t>
  </si>
  <si>
    <t>Шлейф программируемый JCID для акумулятора Apple iPhone 14, iPhone 14 Plus, (HH-V1.0)</t>
  </si>
  <si>
    <t>Шлейфа программируемые JCID для ремонта Face ID (Face ID Tag-On Repair FPC)</t>
  </si>
  <si>
    <t>Шлейф для iPhone 11 Pro, iPhone 11 Pro Max, JCID Face ID Tag-On Repair FPC (ver. 1.1), без разборки</t>
  </si>
  <si>
    <t>Шлейф для iPhone 11, JCID Face ID Tag-On Repair FPC (ver. 1.1), без разборки</t>
  </si>
  <si>
    <t>Шлейф для iPhone 12 Pro Max, JCID Face ID Tag-On Repair FPC (ver. 1.1), без разборки</t>
  </si>
  <si>
    <t>Шлейф для iPhone 12, iPhone 12 Pro, JCID Face ID Tag-On Repair FPC (ver. 1.1), без разборки</t>
  </si>
  <si>
    <t>Шлейф для iPhone X, JCID Face ID Tag-On Repair FPC (ver. 1.1), без разборки</t>
  </si>
  <si>
    <t>Шлейф для iPhone XR, iPhone XS, iPhone XS Max, JCID Face ID Tag-On Repair FPC (ver. 1.1), без разборки</t>
  </si>
  <si>
    <t>Запчасти для фотоапаратов</t>
  </si>
  <si>
    <t>Запчасти для объективов фотоаппаратов</t>
  </si>
  <si>
    <t>Байонеты</t>
  </si>
  <si>
    <t>Байонет для объективов Nikon 18-55 | 18-105 | 18-135 | 55-200</t>
  </si>
  <si>
    <t>Кольца для объективов</t>
  </si>
  <si>
    <t>Кольцо (баррель) объектива Canon A3200 | Canon A3300 | Canon A3350 | Canon PC1589 | Canon PC1590 внешнее</t>
  </si>
  <si>
    <t>Кольцо (баррель) объектива Nikon S3100 Original</t>
  </si>
  <si>
    <t>Кольцо-сепаратор для объективов Canon A2300 | Canon A1300 | Canon PC1740 | Canon PC1732 | Canon A810 | PC1741 | Canon A1400 | Canon PC1900 | Canon A2</t>
  </si>
  <si>
    <t>Шестерни объективов</t>
  </si>
  <si>
    <t>Шестерни для цифрового фотоаппарата Canon A2500 комплект 2 шт.</t>
  </si>
  <si>
    <t>Шестерни объектива Canon A4000 | Canon A4050 | Canon PC1730 комплект 3 шт.</t>
  </si>
  <si>
    <t>Шестерня автофокуса объектива Nikon S3000 | Samsung ST60</t>
  </si>
  <si>
    <t>Шестерня объектива Canon A480 | Canon A490 | Canon A495 | Canon A800 | Canon PC1351 | Canon PC1471 | Canon PC1470 | Canon PC1592</t>
  </si>
  <si>
    <t>Шестерня фокусировки объектива Nikon 18-55</t>
  </si>
  <si>
    <t>Матрицы фотоаппаратов</t>
  </si>
  <si>
    <t>Матрица (Panasonic MN39670) для фотоапарата Olympus FE-340</t>
  </si>
  <si>
    <t>Шлейфы фотоаппаратов</t>
  </si>
  <si>
    <t>Шлейфы объектива</t>
  </si>
  <si>
    <t>Шлейф объектива Olympus FE170 | FE210 | Nikon S220</t>
  </si>
  <si>
    <t>Шлейф фокусировки объектива Canon 18-55 IS</t>
  </si>
  <si>
    <t>Комплектующие для электротранспорта</t>
  </si>
  <si>
    <t>Дисплеи для электротранспорта</t>
  </si>
  <si>
    <t>Дисплей для электротранспорта, под универсальный контроллер (круглый), 36V-72V</t>
  </si>
  <si>
    <t>Дисплей для электротранспорта, под универсальный контроллер (прямоугольный), 36V-72V</t>
  </si>
  <si>
    <t>Дисплей для электротранспорта, совместимый с КТ контроллером 24V-48V, LED880</t>
  </si>
  <si>
    <t>Дисплей для электротранспорта, совместимый с КТ контроллером, LCD3U</t>
  </si>
  <si>
    <t>Дисплей для электротранспорта, совместимый с КТ контроллером, LCD4</t>
  </si>
  <si>
    <t>Дисплей для электротранспорта, совместимый с КТ контроллером, LCD7C</t>
  </si>
  <si>
    <t>Зарядные устройства</t>
  </si>
  <si>
    <t>Зарядное устройство Li-ion 12V 2A, штекер 5.5/2.5, выходное напряжение 12,6V</t>
  </si>
  <si>
    <t>Зарядное устройство Li-ion 24V 2A, штекер 5.5/2.5, выходное напряжение 29,4V</t>
  </si>
  <si>
    <t>Зарядное устройство Li-ion 24V 2A, штекер XLR, выходное напряжение 29,4V</t>
  </si>
  <si>
    <t>Зарядное устройство Li-ion 24V 3A, штекер 5.5/2.5, выходное напряжение 29,4V</t>
  </si>
  <si>
    <t>Зарядное устройство Li-ion 24V 5A, штекер 5.5/2.5, выходное напряжение 29,4V</t>
  </si>
  <si>
    <t>Зарядное устройство Li-ion 25.2V 10A, 6S, штекер XT60, с вольтметром, амперметром</t>
  </si>
  <si>
    <t>Зарядное устройство Li-ion 36V 2A, для самоката Xiaomi Mijia M365, выходное напряжение 42V</t>
  </si>
  <si>
    <t>Зарядное устройство Li-ion 36V 2A, для самоката Xiaomi Mijia M365, выходное напряжение 42V, с индикацией заряда</t>
  </si>
  <si>
    <t>Зарядное устройство Li-ion 36V 2A, штекер 5.5/2.5, выходное напряжение 42V</t>
  </si>
  <si>
    <t>Зарядное устройство Li-ion 36V 2A, штекер 5.5/2.5, выходное напряжение 42V, с индикацией заряда</t>
  </si>
  <si>
    <t>Зарядное устройство Li-ion 36V 2A, штекер C13, выходное напряжение 42V</t>
  </si>
  <si>
    <t>Зарядное устройство Li-ion 36V 2A, штекер C13, выходное напряжение 42V, с индикацией заряда</t>
  </si>
  <si>
    <t>Зарядное устройство Li-ion 36V 2A, штекер RCA, выходное напряжение 42V</t>
  </si>
  <si>
    <t>Зарядное устройство Li-ion 36V 2A, штекер XLR, выходное напряжение 42V</t>
  </si>
  <si>
    <t>Зарядное устройство Li-ion 36V 2A, штекер XLR, выходное напряжение 42V, с индикацией заряда</t>
  </si>
  <si>
    <t>Зарядное устройство Li-ion 36V 3A, штекер 5.5/2.5, выходное напряжение 42V</t>
  </si>
  <si>
    <t>Зарядное устройство Li-ion 36V 3A, штекер RCA, выходное напряжение 42V</t>
  </si>
  <si>
    <t>Зарядное устройство Li-ion 36V 3A, штекер XLR, выходное напряжение 42V</t>
  </si>
  <si>
    <t>Зарядное устройство Li-ion 36V 5A, штекер 5.5/2.5, выходное напряжение 42V</t>
  </si>
  <si>
    <t>Зарядное устройство Li-ion 48V 10A, штекер XT60, выходное напряжение 54.6V (с вентелятором)</t>
  </si>
  <si>
    <t>Зарядное устройство Li-ion 48V 2A, штекер 5.5/2.5, выходное напряжение 54.6V</t>
  </si>
  <si>
    <t>Зарядное устройство Li-ion 48V 2A, штекер C13, выходное напряжение 54.6V</t>
  </si>
  <si>
    <t>Зарядное устройство Li-ion 48V 2A, штекер GX12M, выходное напряжение 54.6V</t>
  </si>
  <si>
    <t>Зарядное устройство Li-ion 48V 2A, штекер GX12M, выходное напряжение 58.8V (с вентелятором)</t>
  </si>
  <si>
    <t>Зарядное устройство Li-ion 48V 3A, штекер 5.5/2.5, выходное напряжение 54.6V</t>
  </si>
  <si>
    <t>Зарядное устройство Li-ion 48V 3A, штекер GX12M, выходное напряжение 54.6V (с вентелятором)</t>
  </si>
  <si>
    <t>Зарядное устройство Li-ion 48V 3A, штекер GX12M, выходное напряжение 58.8V (с вентелятором)</t>
  </si>
  <si>
    <t>Зарядное устройство Li-ion 48V 5A, штекер 5.5/2.5, выходное напряжение 54.6V</t>
  </si>
  <si>
    <t>Зарядное устройство Li-ion 48V 5A, штекер GX12M, выходное напряжение 58.8V (с вентелятором)</t>
  </si>
  <si>
    <t>Зарядное устройство Li-ion 48V 8A, штекер 5.5/2.5, выходное напряжение 54.6V</t>
  </si>
  <si>
    <t>Зарядное устройство Li-ion 48V 8A, штекер GX12M, выходное напряжение 58.8V (с вентелятором)</t>
  </si>
  <si>
    <t>Зарядное устройство Li-ion 58.8V 3A, штекер 5.5/2.5, выходное напряжение 58.8V, 14S, (с вентелятором)</t>
  </si>
  <si>
    <t>Зарядное устройство Li-ion 60V 10A, штекер XT60, выходное напряжение 67.2V (с вентелятором)</t>
  </si>
  <si>
    <t>Зарядное устройство Li-ion 60V 3A, штекер 5.5/2.5, выходное напряжение 67.2V</t>
  </si>
  <si>
    <t>Зарядное устройство Li-ion 60V 3A, штекер C13, выходное напряжение 67.2V</t>
  </si>
  <si>
    <t>Зарядное устройство Li-ion 60V 3A, штекер GX12M, выходное напряжение 67.2V</t>
  </si>
  <si>
    <t>Зарядное устройство Li-ion 60V 5A, штекер 5.5/2.5, выходное напряжение 67.2V</t>
  </si>
  <si>
    <t>Зарядное устройство Li-ion 60V 5A, штекер C13, выходное напряжение 67.2V</t>
  </si>
  <si>
    <t>Зарядное устройство Li-ion 60V 5A, штекер GX12M, выходное напряжение 67.2V</t>
  </si>
  <si>
    <t>Зарядное устройство Li-ion 60V 8A, штекер C13, выходное напряжение 67.2V</t>
  </si>
  <si>
    <t>Зарядное устройство Li-ion 60V 8A, штекер GX12M, выходное напряжение 67.2V</t>
  </si>
  <si>
    <t>Зарядное устройство Li-ion 63V 3A, штекер 5.5/2.5, выходное напряжение 63V, 15S, (с вентелятором)</t>
  </si>
  <si>
    <t>Зарядное устройство Li-ion 63V 5A, штекер 5.5/2.5, выходное напряжение 63V, 15S, (с вентелятором)</t>
  </si>
  <si>
    <t>Зарядное устройство Li-ion 67.2V 2A, штекер C13, выходное напряжение 67.2V, 16S, (с вентелятором)</t>
  </si>
  <si>
    <t>Зарядное устройство Li-ion 72V 10A, штекер C13, выходное напряжение 84V (с вентелятором)</t>
  </si>
  <si>
    <t>Зарядное устройство Li-ion 72V 3A, штекер 5.5/2.5, выходное напряжение 84V</t>
  </si>
  <si>
    <t>Зарядное устройство Li-ion 72V 3A, штекер C13, выходное напряжение 84V</t>
  </si>
  <si>
    <t>Зарядное устройство Li-ion 72V 5A, штекер 5.5/2.5, выходное напряжение 84V</t>
  </si>
  <si>
    <t>Зарядное устройство Li-ion 72V 5A, штекер C13, выходное напряжение 84V</t>
  </si>
  <si>
    <t>Зарядное устройство Li-ion 72V 8A, штекер C13, выходное напряжение 84V</t>
  </si>
  <si>
    <t>Зарядное устройство LiFePo4 48V 3A, штекер 5.5/2.5, выходное напряжение 58.4V, 16S, (с вентелятором)</t>
  </si>
  <si>
    <t>Зарядное устройство LiFePo4 48V 5A, штекер 5.5/2.5, выходное напряжение 58.4V, 16S, (с вентелятором)</t>
  </si>
  <si>
    <t>Комплектующие для KUGOO</t>
  </si>
  <si>
    <t>Заднее крыло с задним фонарем, для электросамоката KUGOO M4</t>
  </si>
  <si>
    <t>Заднее крыло с задним фонарем, для электросамоката KUGOO S3</t>
  </si>
  <si>
    <t>Контроллер 36V, для электросамоката Kugoo S3</t>
  </si>
  <si>
    <t>Передняя вилка, для электросамоката KUGOO S1, S2, S3</t>
  </si>
  <si>
    <t>Подножка, для электросамоката Kugoo S1 S2 S3</t>
  </si>
  <si>
    <t>Ручка тормоза, для электросамоката KUGOO M4 (левая)</t>
  </si>
  <si>
    <t>Ручка тормоза, для электросамоката KUGOO M4 (правая)</t>
  </si>
  <si>
    <t>Комплектующие для Ninebot</t>
  </si>
  <si>
    <t>Аккумулятор для электросамоката Ninebot MAX G30, (36V, 15,3 Ah)</t>
  </si>
  <si>
    <t>Держатель передней панели, для электросамоката Ninebot Max G30</t>
  </si>
  <si>
    <t>Заднее крыло, для электросамоката Ninebot Max G30</t>
  </si>
  <si>
    <t>Задний фонарь для Ninebot MAX G30, G30D</t>
  </si>
  <si>
    <t>Задний фонарь, для электросамоката Ninebot MAX G30</t>
  </si>
  <si>
    <t>Зарядный порт электро скутера Ninebot MAX G30</t>
  </si>
  <si>
    <t>Комплект подшипников для рулевой стойки Ninebot Max G30</t>
  </si>
  <si>
    <t>Механизм складывания рулевой колонки для электросамоката Ninebot MAX G30, G30D</t>
  </si>
  <si>
    <t>Мотор колесо, 500W, для электросамоката Ninebot Max G30</t>
  </si>
  <si>
    <t>Переднее крыло, для электросамоката Ninebot Max G30</t>
  </si>
  <si>
    <t>Передняя вилка для Ninebot Max G30</t>
  </si>
  <si>
    <t>Подножка, для электросамоката Ninebot Max G30</t>
  </si>
  <si>
    <t>Провод переднего колеса двигателя, для электросамоката Ninebot Max G30</t>
  </si>
  <si>
    <t>Противоугонная сигнализация (коннектор XT-60), для электросамоката Ninebot Max G30</t>
  </si>
  <si>
    <t>Рулевая труба (стойка), с механизмом складывания, для электросамоката Ninebot Max G30</t>
  </si>
  <si>
    <t>Ручка газа, для электросамоката Ninebot Max G30</t>
  </si>
  <si>
    <t>Ручка тормоза, для электросамоката Ninebot MAX G30</t>
  </si>
  <si>
    <t>Рычаг складного механизма Ninebot Max G30</t>
  </si>
  <si>
    <t>Шина бескамерная 10x2,5, для электросамоката Ninebot Max G30</t>
  </si>
  <si>
    <t>Комплектующие для Xiaomi M365, 1S, Pro, Pro 2</t>
  </si>
  <si>
    <t>BMS плата аккумулятора Xiaomi M365</t>
  </si>
  <si>
    <t>BMS плата аккумулятора Xiaomi Mi Scooter Pro, Mi Scooter Pro 2</t>
  </si>
  <si>
    <t>Аккумулятор для электросамоката Xiaomi M365, 1S, на елементах 18650 от Eve, (7.8 Ah, 36V)</t>
  </si>
  <si>
    <t>Аккумулятор для электросамоката Xiaomi M365, 1S, на елементах 18650 от LG, (7.8 Ah, 36V)</t>
  </si>
  <si>
    <t>Аккумулятор для электросамоката Xiaomi Mi Pro, Mi Pro 2, (12.8 Ah, 36V)</t>
  </si>
  <si>
    <t>Антипрокольная шина 8.5*2.0 для электросамокатов Xiaomi</t>
  </si>
  <si>
    <t>Боковые отражатели колес для электросамоката Xiaomi Mi Pro 2, 1S</t>
  </si>
  <si>
    <t>Винт крепления заднего колеса Xiaomi M365, Pro, 1S, Pro 2</t>
  </si>
  <si>
    <t>Винты переднего мотор колеса для Xiaomi M365, Pro, 1S, Pro 2</t>
  </si>
  <si>
    <t>Внутренняя камера 8.5 дюймов с прямым клапаном</t>
  </si>
  <si>
    <t>Декоративный световозвращатель переднего колеса для электросамоката Xiaomi M365, Pro</t>
  </si>
  <si>
    <t>Держатель батареи для электросамоката Xiaomi Mi Electric Scooter M365</t>
  </si>
  <si>
    <t>Держатель передней панели, для электросамоката Xiaomi M365</t>
  </si>
  <si>
    <t>Диск заднего колеса (с втулкой, подшипниками) для электросамоката Xiaomi M365, 1S</t>
  </si>
  <si>
    <t>Жесткая шина 8.1*2.2 для электросамокатов Xiaomi</t>
  </si>
  <si>
    <t>Заднее крыло с крючком для заднего фонаря электросамоката Xiaomi M365, Pro</t>
  </si>
  <si>
    <t>Задний фонарь, стоп-сигнал для электросамоката Xiaomi M365, M365 Pro</t>
  </si>
  <si>
    <t>Задний фонарь, стоп-сигнал для электросамоката Xiaomi Mi 1S, Mi Pro 2</t>
  </si>
  <si>
    <t>Защита деки для электросамоката Xiaomi M365, 1S</t>
  </si>
  <si>
    <t>Защита деки для электросамоката Xiaomi Mi Pro, Pro 2</t>
  </si>
  <si>
    <t>Кабель двигателя для Xiaomi M365 Pro, Pro 2, 1S</t>
  </si>
  <si>
    <t>Кабель питания и передачи данных для Хіаомі M365, Pro, Pro 2, 1S</t>
  </si>
  <si>
    <t>Кабель подключения заднего фонаря для Xiaomi M365, Pro</t>
  </si>
  <si>
    <t>Колесо заднее с антипрокольной шиной (с втулкой, подшипниками), для Xiaomi Mi Pro, Pro 2, (Red)</t>
  </si>
  <si>
    <t>Колесо заднее с внутренней камерой (с втулкой, подшипниками), для Xiaomi M365, 1S</t>
  </si>
  <si>
    <t>Колесо заднее с внутренней камерой (с втулкой, подшипниками), для Xiaomi Mi Pro, Pro 2</t>
  </si>
  <si>
    <t>Комплект материнской платы, приборной панели, переднего фонаря, дроссельной заслонки для Xiaomi M365</t>
  </si>
  <si>
    <t>Комплект материнской платы, приборной панели, переднего фонаря, дроссельной заслонки для Xiaomi Mi Pro</t>
  </si>
  <si>
    <t>Материнская плата для электросамоката Xiaomi M365, Mi 1S</t>
  </si>
  <si>
    <t>Материнская плата для электросамоката Xiaomi Mi Pro, Mi Pro 2</t>
  </si>
  <si>
    <t>Механизм складывания рулевой колонки для электросамоката Xiaomi M365, Pro, 1S, Pro 2</t>
  </si>
  <si>
    <t>Мотор колесо для Xiaomi M365, 1S, 350W, с бескамерной покрышкой</t>
  </si>
  <si>
    <t>Мотор колесо для Xiaomi M365, 1S, 350W, с покрышкой</t>
  </si>
  <si>
    <t>Мотор колесо для Xiaomi Mi Pro, Pro 2, 350W, с бескамерной покрышкой</t>
  </si>
  <si>
    <t>Мотор колесо для Xiaomi Mi Pro, Pro 2, 350W, с покрышкой</t>
  </si>
  <si>
    <t>Накладка вилки пластиковая для электросамоката Xiaomi M365, Pro, 1S, Pro 2</t>
  </si>
  <si>
    <t>Основа механизма складывания рулевой колонки для электросамоката Xiaomi M365, Mi Pro, Pro 2, 1S</t>
  </si>
  <si>
    <t>Переднее крыло для электросамоката Xiaomi M365, Pro</t>
  </si>
  <si>
    <t>Передний фонарь для электросамоката Xiaomi M365, Mi Pro</t>
  </si>
  <si>
    <t>Передняя вилка с пластмассовой защитой, для электроскутера Xiaomi M365</t>
  </si>
  <si>
    <t>Пластиковая крышка винта заднего колеса для Xiaomi M365, Pro</t>
  </si>
  <si>
    <t>Плата BMS для батарейного блока Xiaomi Mi Electric Scooter M365, Mi 1S</t>
  </si>
  <si>
    <t>Плата BMS для батарейного блока Xiaomi Mi Electric Scooter Mi Pro, Pro 2</t>
  </si>
  <si>
    <t>Плата панели приборов с кнопкой управления для электросамоката Xiaomi M365</t>
  </si>
  <si>
    <t>Подножка для электросамоката Xiaomi M365, Pro, 1S, Pro 2</t>
  </si>
  <si>
    <t>Подшипник заднего колеса 6001RS</t>
  </si>
  <si>
    <t>Порт зарядки с резиновой защитой, для электросамоката Xiaomi M365</t>
  </si>
  <si>
    <t>Порт зарядки, для электросамоката Xiaomi M365</t>
  </si>
  <si>
    <t>Противоугонная сигнализация (коннектор XT-30), для электросамокатов Xiaomi M365, 1S, Pro, Pro 2</t>
  </si>
  <si>
    <t>Пряжка механизма складывания рулевой колонки для электросамоката Xiaomi M365, Pro, 1S, Pro 2</t>
  </si>
  <si>
    <t>Резиновая ручка руля для электросамоката Xiaomi M365, Black</t>
  </si>
  <si>
    <t>Резиновая ручка руля для электросамоката Xiaomi M365, Gray</t>
  </si>
  <si>
    <t>Рулевая труба (стойка) для электросамоката Xiaomi M365, 1S, (63 см)</t>
  </si>
  <si>
    <t>Рулевая труба (стойка) для электросамоката Xiaomi Mi Pro, Pro 2, (67 см)</t>
  </si>
  <si>
    <t>Ручка газа (ускоритель) для электросамоката Xiaomi Mi 3</t>
  </si>
  <si>
    <t>Ручка газа (ускоритель) для электросамокатов Xiaomi M365, 1S</t>
  </si>
  <si>
    <t>Ручка газа (ускоритель) для электросамокатов Xiaomi Mi Pro, Pro 2</t>
  </si>
  <si>
    <t>Ручка тормоза для электросамоката Xiaomi Mi M365 (широкая фишка)</t>
  </si>
  <si>
    <t>Ручка тормоза для электросамоката Xiaomi Mi M365, M365 Pro (узкая фишка)</t>
  </si>
  <si>
    <t>Светодиодная индикаторная панель для электросамоката Xiaomi M365</t>
  </si>
  <si>
    <t>Стопорный винт вилки для Xiaomi M365, Pro, 1S, Pro 2</t>
  </si>
  <si>
    <t>Тормозной диск (110 мм) для Xiaomi M365, 1S</t>
  </si>
  <si>
    <t>Тормозной суппорт для Xiaomi M365, Pro, 1S, Pro 2</t>
  </si>
  <si>
    <t>Тормозной трос для электросамоката Xiaomi M365, Pro, Pro 2, 1S</t>
  </si>
  <si>
    <t>Тормозной трос для электросамоката Xiaomi Mi Pro, Pro 2</t>
  </si>
  <si>
    <t>Тормозные колодки для Xiaomi M365, 1S (пара)</t>
  </si>
  <si>
    <t>Тормозные колодки для Xiaomi Mi Pro, Pro 2 (пара)</t>
  </si>
  <si>
    <t>Холдер аккумулятора для Xiaomi M365, (под 18650)</t>
  </si>
  <si>
    <t>Шина бескамерная 10x2 для электросамоката Xiaomi M365</t>
  </si>
  <si>
    <t>Контроллеры в сборе</t>
  </si>
  <si>
    <t>Комплект из контроллера и LCD дисплея 22A 350W Kugoo</t>
  </si>
  <si>
    <t>Комплект с контроллером и LCD дисплеем 17A</t>
  </si>
  <si>
    <t>Комплект с контроллером и LCD дисплеем 17A 350W</t>
  </si>
  <si>
    <t>Комплект с контроллером и LCD дисплеем 26A</t>
  </si>
  <si>
    <t>Комплект с контроллером и LCD дисплеем 36V-48V 15A 350W</t>
  </si>
  <si>
    <t>Комплект с контроллером и LCD дисплеем 36V-48V, 22A, 500W</t>
  </si>
  <si>
    <t>Комплект с контроллером и LED дисплеем 17A 350W</t>
  </si>
  <si>
    <t>Контроллеры для электротранспорта</t>
  </si>
  <si>
    <t>Кабель USB для программирования контроллеров Votol</t>
  </si>
  <si>
    <t>Контроллер для електротранспорта Votol EM-100-4 ( Max +- 150A), синусный, программируемый, с функцией самообучения</t>
  </si>
  <si>
    <t>Контроллер для електротранспорта Votol EM-150-2 48V-96V ( Max +- 150A), синусный, программируемый</t>
  </si>
  <si>
    <t>Контроллер для електротранспорта Votol EM-50-4 ( Max +- 75A), синусный, программируемый, с функцией самообучения</t>
  </si>
  <si>
    <t>Контроллер для електротранспорта Votol EM-50s, синусный, программируемый</t>
  </si>
  <si>
    <t>Контроллер для електротранспорта Votol EM-70, синусный, программируемый</t>
  </si>
  <si>
    <t>Контроллер для электротранспорта с напряжением 36V-48V, 15A, 720W</t>
  </si>
  <si>
    <t>Контроллер для электротранспорта с напряжением 36V-48V, 17A, 816W</t>
  </si>
  <si>
    <t>Контроллер для электротранспорта с напряжением 36V-48V, 22A, 1056W</t>
  </si>
  <si>
    <t>Контроллер универсальный для электротранспорта 36V-48V, 17A, 816W SM</t>
  </si>
  <si>
    <t>Контроллер универсальный для электротранспорта с напряжением 36V-48V, 15A, 720W, SM</t>
  </si>
  <si>
    <t>Контроллер универсальный, 36V – 48V, 17A, 350W</t>
  </si>
  <si>
    <t>Контроллер универсальный, 36V – 48V, 17A, 350W, синусный</t>
  </si>
  <si>
    <t>Контроллер универсальный, 48V - 60V, 45A, 1200W, синусный</t>
  </si>
  <si>
    <t>Контроллер универсальный, 48V - 60V, 60A, 2500W, синусный</t>
  </si>
  <si>
    <t>Контроллер универсальный, 48V - 64V, 30A, 500W, синусный</t>
  </si>
  <si>
    <t>Контроллер универсальный, 48V - 64V, 35A, 800W</t>
  </si>
  <si>
    <t>Контроллер универсальный, 48V - 64V, 35A, 800W, синусный</t>
  </si>
  <si>
    <t>Контроллер универсальный, 48V - 64V, 40A, 1000W</t>
  </si>
  <si>
    <t>Контроллер универсальный, 48V - 64V, 40A, 1000W, синусный</t>
  </si>
  <si>
    <t>Контроллер универсальный, 48V - 64V, 45A, 1200W</t>
  </si>
  <si>
    <t>Контроллер универсальный, 48V – 60V, 60A, 2500W</t>
  </si>
  <si>
    <t>Контроллер универсальный, 48V – 64V, 25A, 450W</t>
  </si>
  <si>
    <t>Контроллер универсальный, 48V – 64V, 25A, 450W, синусный</t>
  </si>
  <si>
    <t>Контроллер универсальный, 48V – 64V, 30A, 600W</t>
  </si>
  <si>
    <t>Контроллер универсальный, 72V, 50A, 1500W</t>
  </si>
  <si>
    <t>Контроллер универсальный, 72V, 50A, 1500W, синусный</t>
  </si>
  <si>
    <t>Модуль Bluetooth для настройки контроллеров Votol</t>
  </si>
  <si>
    <t>Мотор колесо</t>
  </si>
  <si>
    <t>Мотор колесо (заднее)</t>
  </si>
  <si>
    <t>Мотор колесо заднее в сборе, с ободом 26 дюймов, 36v 350W для велосипеда (втулка)</t>
  </si>
  <si>
    <t>Мотор колесо заднее в сборе, с ободом 26 дюймов, 36v 350W для велосипеда (резьба)</t>
  </si>
  <si>
    <t>Мотор колесо заднее в сборе, с ободом 26 дюймов, 36v 500W для велосипеда (втулка)</t>
  </si>
  <si>
    <t>Мотор колесо заднее в сборе, с ободом 26 дюймов, 36v 500W для велосипеда (резьба)</t>
  </si>
  <si>
    <t>Мотор колесо заднее в сборе, с ободом 28 дюймов, 36v 350W для велосипеда (втулка)</t>
  </si>
  <si>
    <t>Мотор колесо заднее в сборе, с ободом 28 дюймов, 36v 350W для велосипеда (резьба)</t>
  </si>
  <si>
    <t>Мотор колесо заднее в сборе, с ободом 28 дюймов, 36v 500W для велосипеда (втулка)</t>
  </si>
  <si>
    <t>Мотор колесо заднее в сборе, с ободом 28 дюймов, 36v 500W для велосипеда (резьба)</t>
  </si>
  <si>
    <t>Мотор колесо заднее, 36V, 350W для велосипеда (втулка)</t>
  </si>
  <si>
    <t>Мотор колесо заднее, 36V, 350W для велосипеда (резьба)</t>
  </si>
  <si>
    <t>Мотор колесо заднее, 48V, 500W для велосипеда (втулка)</t>
  </si>
  <si>
    <t>Мотор колесо заднее, 48V, 500W для велосипеда (резьба)</t>
  </si>
  <si>
    <t>Мотор колесо (переднее)</t>
  </si>
  <si>
    <t>Мотор колесо переднее в сборе, с ободом 26 дюймов, 36V 350W для велосипеда</t>
  </si>
  <si>
    <t>Мотор колесо переднее в сборе, с ободом 28 дюймов, 36V 350W для велосипеда</t>
  </si>
  <si>
    <t>Мотор колесо переднее, 36V, 350W для велосипеда</t>
  </si>
  <si>
    <t>Ручки и замки для электротранспорта</t>
  </si>
  <si>
    <t>Акселератор для электротранспорта с кнопкой включения</t>
  </si>
  <si>
    <t>Вольтметр для электротранспорта с зеленой LED подсветкой</t>
  </si>
  <si>
    <t>Вольтметр для электротранспорта с синей LED подсветкой</t>
  </si>
  <si>
    <t>Замок включения для электрического транспорта</t>
  </si>
  <si>
    <t>Замок включения для электрического транспорта с трехстадийной кнопкой</t>
  </si>
  <si>
    <t>Зарядное устройство для USB 2A</t>
  </si>
  <si>
    <t>Комплект курка газа для электротранспорта с замком зажигания и вольтметром</t>
  </si>
  <si>
    <t>Комплект ручки газа для электротранспорта с замком зажигания и вольтметром</t>
  </si>
  <si>
    <t>Комплект ручки газа с замком включения и вольтметром (красным) для электротранспорта</t>
  </si>
  <si>
    <t>Комплект ручки газа с замком включения и вольтметром (синим) для электротранспорта</t>
  </si>
  <si>
    <t>Комплект ручки газа с замком включения и вольтметром для электротранспорта</t>
  </si>
  <si>
    <t>Комплект ручки газа с замком включения, вольтметром и кнопкой на 3 положения для электротранспорта</t>
  </si>
  <si>
    <t>Комплект ручки газа с кнопкой включения для электротранспорта</t>
  </si>
  <si>
    <t>Комплект ручки газа с кнопкой включения и кнопкой без фиксации для электротранспорта</t>
  </si>
  <si>
    <t>Комплект ручки газа с кнопкой включения на 3 положения и кнопкой без фиксации для электротранспорта</t>
  </si>
  <si>
    <t>Курок акселератора 300Х для электротранспорта</t>
  </si>
  <si>
    <t>Курок акселератора LH 108X для электротранспорта</t>
  </si>
  <si>
    <t>Курок акселератора RH 108X для электротранспорта</t>
  </si>
  <si>
    <t>Курок газа для электротранспорта на 36V, оснащен замком запуска, индикатором состояния и кнопкой</t>
  </si>
  <si>
    <t>Курок газа для электротранспорта на 36V, оснащен индикатором и кнопкой без фиксации</t>
  </si>
  <si>
    <t>Курок газа для электротранспорта на 36V, оснащен индикатором и кнопкой включения</t>
  </si>
  <si>
    <t>Курок газа для электротранспорта на 48V, оснащен замком запуска, индикатором состояния и кнопкой</t>
  </si>
  <si>
    <t>Курок газа для электротранспорта на 48V, оснащен индикатором и кнопкой без фиксации</t>
  </si>
  <si>
    <t>Курок газа для электротранспорта на 48V, оснащен индикатором и кнопкой включения</t>
  </si>
  <si>
    <t>Многофункциональная кнопка включения с трехпозиционным регулятором</t>
  </si>
  <si>
    <t>Ручка газа для электротранспорта на 36V, оснащен замком запуска, индикатором состояния</t>
  </si>
  <si>
    <t>Ручка газа для электротранспорта на 48V, оснащен замком запуска, индикатором состояния</t>
  </si>
  <si>
    <t>Тормозной датчик для электротранспорта</t>
  </si>
  <si>
    <t>Универсальный держатель телефона на руль, для электросамоката или велосипеда</t>
  </si>
  <si>
    <t>Усилитель дропаутов 12-14 мм</t>
  </si>
  <si>
    <t>Усилитель дропаутов 16 мм</t>
  </si>
  <si>
    <t>Компоненты для средст РЭБ</t>
  </si>
  <si>
    <t>Адаптер переходник N (Female) - N (Female), с гайкой, 50 Ом</t>
  </si>
  <si>
    <t>Анализатор спектра частот TinySA Ultra, 0.1 MHz - 5.3 GHz</t>
  </si>
  <si>
    <t>Векторный анализатор GS-320, 23 MHz - 6.2 GHz</t>
  </si>
  <si>
    <t>Векторный анализатор LiteVNA 64, 50 kHz-6.3 GHz</t>
  </si>
  <si>
    <t>Векторный анализатор Nano VNA-F V3, 1 MHz-6 GHz</t>
  </si>
  <si>
    <t>Коаксиальний кабель RG-405, синий, 1м</t>
  </si>
  <si>
    <t>Коаксиальний фидерный кабель (фидер) HCAAYZ-50-12 (1/2), 1м</t>
  </si>
  <si>
    <t>Магнитное крепление антенны для систем РЭБ, N-J | N-K, кабель 1.4м</t>
  </si>
  <si>
    <t>Пигтейл, кабель переходник SMA - N-J, 24 см</t>
  </si>
  <si>
    <t>Пигтейл, кабель переходник SMA - N-J, 34 см</t>
  </si>
  <si>
    <t>Пигтейл, кабель переходник SMA - N-J, с контргайкой, 20 см</t>
  </si>
  <si>
    <t>Пигтейл, кабель переходник SMA - N-Male, 23 см</t>
  </si>
  <si>
    <t>Преобразователь напряжения, повышающий DC-DC, 8-32В на 50-390В</t>
  </si>
  <si>
    <t>Разъем N (male) для фидера 1/2</t>
  </si>
  <si>
    <t>РЭБ FPV четырехдиапазонный (420-450mHz 50W; 720-850mHz 50W; 850-970mHz 50W; 970-1100mHz 50W)</t>
  </si>
  <si>
    <t>Антенна для антидронового ружья</t>
  </si>
  <si>
    <t>Антенна для антидронового ружья 1160-1280 MHz, 50W, SMA</t>
  </si>
  <si>
    <t>Антенна для антидронового ружья 1560-1620 MHz, 50W, SMA</t>
  </si>
  <si>
    <t>Антенна для антидронового ружья 2400-2500 MHz, 50W, SMA</t>
  </si>
  <si>
    <t>Антенна для антидронового ружья 428-438 MHz, 50W, SMA</t>
  </si>
  <si>
    <t>Антенна для антидронового ружья 5150-5350 MHz, 50W, SMA</t>
  </si>
  <si>
    <t>Антенна для антидронового ружья 5700-5900 MHz, 50W, SMA</t>
  </si>
  <si>
    <t>Антенна для антидронового ружья 860-930 MHz, 50W, SMA</t>
  </si>
  <si>
    <t>Антенна для антидронового ружья двухдиапазонная 5150-5350 MHz, 5700-5900 MHz, 50W, SMA</t>
  </si>
  <si>
    <t>Антенна для антидронового ружья двухдиапазонная 860-930 MHz, 5700-5900 MHz, 50W, SMA</t>
  </si>
  <si>
    <t>Антенна для антидронового ружья пяти диапазонная 900, 1.2, 1.5, 2.4, 5.8 G, 50W, SMA</t>
  </si>
  <si>
    <t>Антенна для антидронового ружья семи диапазонная 433, 900, 1.2, 1.5, 2.4, 5.2, 5.8 G, 50W, SMA</t>
  </si>
  <si>
    <t>Антенна для антидронового ружья четырех диапазонная 900, 1.5, 2.4, 5.8 G, 50W, SMA</t>
  </si>
  <si>
    <t>Антенна для антидронового ружья шести диапазонная 900, 1.2, 1.5, 2.4, 5.2, 5.8 G, 50W, SMA</t>
  </si>
  <si>
    <t>Антенны РЭБ</t>
  </si>
  <si>
    <t>Антена панельная четырехдиапазонная, 720-850 MHz, 860-930 MHz, 970-1000 MHz, 5725-5850 MHz, 50W, N-J, для jamming оборудования</t>
  </si>
  <si>
    <t>Антена панельная четырехчастотная, 1160-1300 MHz,2400-2500 MHz,5100-5300 MHz,5725-5850 MHz, 50W</t>
  </si>
  <si>
    <t>Антенна всенаправленная, 1.2 GHz (1170-1280 MHz), 100W, 3-8 dBi, Ø25 mm, 30 см, N-J, для jamming оборудования</t>
  </si>
  <si>
    <t>Антенна всенаправленная, 1.2 GHz (1170-1280 MHz), 100W, 3-8 dBi, Ø25 mm, 60 см, N-J, для jamming оборудования</t>
  </si>
  <si>
    <t>Антенна всенаправленная, 1.2 GHz (1170-1280 MHz), 100W, 5-8 dBi, Ø32 mm, 30 см, N-J, для jamming оборудования</t>
  </si>
  <si>
    <t>Антенна всенаправленная, 1.5 GHz (1550-1620 MHz), 100W, 3-6 dBi, Ø20 mm, 60 см, N-J, для jamming оборудования</t>
  </si>
  <si>
    <t>Антенна всенаправленная, 1.5 GHz (1550-1620 MHz), 100W, 3-7 dBi, Ø25 mm, 30 см, N-J, для jamming оборудования</t>
  </si>
  <si>
    <t>Антенна всенаправленная, 1.5 GHz (1550-1620 MHz), 100W, 3-8 dBi, Ø25 mm, 60 см, N-J, для jamming оборудования</t>
  </si>
  <si>
    <t>Антенна всенаправленная, 1.5 GHz (1550-1620 MHz), 100W, 5-7 dBi, Ø32 mm, 60 см, N-J, для jamming оборудования</t>
  </si>
  <si>
    <t>Антенна всенаправленная, 1.5 GHz (1550-1620 MHz), 100W, 5-8 dBi, Ø32 mm, 30 см, N-J, для jamming оборудования</t>
  </si>
  <si>
    <t>Антенна всенаправленная, 1.5 GHz (1550-1620 MHz), 50W, 3-5 dBi, Ø20 mm, 60 см, N-J, для jamming оборудования</t>
  </si>
  <si>
    <t>Антенна всенаправленная, 1.5 GHz (1550-1620 MHz), 50W, 3-7 dBi, Ø25 mm, 60 см, N-J, для jamming оборудования</t>
  </si>
  <si>
    <t>Антенна всенаправленная, 1.5 GHz (1550-1620 MHz), 50W, 5-7 dBi, Ø32 mm, 60 см, N-J, для jamming оборудования</t>
  </si>
  <si>
    <t>Антенна всенаправленная, 2.4 GHz (2400-2500 MHz), 100W, 3-6 dBi, Ø20 mm, 60 см, N-J, для jamming оборудования</t>
  </si>
  <si>
    <t>Антенна всенаправленная, 2.4 GHz (2400-2500 MHz), 100W, 3-7 dBi, Ø25 mm, 30 см, N-J, для jamming оборудования</t>
  </si>
  <si>
    <t>Антенна всенаправленная, 2.4 GHz (2400-2500 MHz), 100W, 3-8 dBi, Ø25 mm, 60 см, N-J, для jamming оборудования</t>
  </si>
  <si>
    <t>Антенна всенаправленная, 2.4 GHz (2400-2500 MHz), 100W, 5-7 dBi, Ø32 mm, 30 см, N-J, для jamming оборудования</t>
  </si>
  <si>
    <t>Антенна всенаправленная, 2.4 GHz (2400-2500 MHz), 100W, 5-7 dBi, Ø32 mm, 60 см, N-J, для jamming оборудования</t>
  </si>
  <si>
    <t>Антенна всенаправленная, 2.4 GHz (2400-2500 MHz), 50W, 3-5 dBi, Ø20 mm, 30 см, N-J, для jamming оборудования</t>
  </si>
  <si>
    <t>Антенна всенаправленная, 2.4 GHz (2400-2500 MHz), 50W, 3-5 dBi, Ø20 mm, 60 см, N-J, для jamming оборудования</t>
  </si>
  <si>
    <t>Антенна всенаправленная, 2.4 GHz (2400-2500 MHz), 50W, 3-7 dBi, Ø25 mm, 60 см, N-J, для jamming оборудования</t>
  </si>
  <si>
    <t>Антенна всенаправленная, 2.4 GHz (2400-2500 MHz), 50W, 5-7 dBi, Ø32 mm, 60 см, N-J, для jamming оборудования</t>
  </si>
  <si>
    <t>Антенна всенаправленная, 200-280 MHz, 100W, 5-8 dBi, Ø32 mm, 60 см, N-J, для jamming оборудования</t>
  </si>
  <si>
    <t>Антенна всенаправленная, 200-300 MHz, 100W, 5-7 dBi, Ø32 mm, 30 см, N-J, для jamming оборудования</t>
  </si>
  <si>
    <t>Антенна всенаправленная, 3.3 GHz (3200-3400 MHz), 100W, 8±1dBi, Ø25 mm, 60 см, N-J, для jamming оборудования</t>
  </si>
  <si>
    <t>Антенна всенаправленная, 300-400 MHz, 100W, 5-7 dBi, Ø32 mm, 30 см, N-J, для jamming оборудования</t>
  </si>
  <si>
    <t>Антенна всенаправленная, 300-400 MHz, 100W, 5-8 dBi, Ø32 mm, 60 см, N-J, для jamming оборудования</t>
  </si>
  <si>
    <t>Антенна всенаправленная, 433 MHz (415-485 MHz), 100W, 3-8 dBi, Ø25 mm, 30 см, N-J, для jamming оборудования</t>
  </si>
  <si>
    <t>Антенна всенаправленная, 433 mHz (415-485 MHz), 100W, 5-8 dBi, Ø32 mm, 30 см, N-J, для jamming оборудования</t>
  </si>
  <si>
    <t>Антенна всенаправленная, 433 mHz (420-450 MHz), 100W, 3-8 dBi, Ø25 mm, 60 см, N-J, для jamming оборудования</t>
  </si>
  <si>
    <t>Антенна всенаправленная, 5.2 GHz (5150-5350 MHz), 100W, 3-6 dBi, Ø20 mm, 60 см, N-J, для jamming оборудования</t>
  </si>
  <si>
    <t>Антенна всенаправленная, 5.2 GHz (5150-5350 MHz), 100W, 3-7 dBi, Ø25 mm, 30 см, N-J, для jamming оборудования</t>
  </si>
  <si>
    <t>Антенна всенаправленная, 5.2 GHz (5150-5350 MHz), 100W, 3-8 dBi, Ø25 mm, 60 см, N-J, для jamming оборудования</t>
  </si>
  <si>
    <t>Антенна всенаправленная, 5.2 GHz (5150-5350 MHz), 100W, 5-7 dBi, Ø32 mm, 60 см, N-J, для jamming оборудования</t>
  </si>
  <si>
    <t>Антенна всенаправленная, 5.2 GHz (5150-5350 MHz), 100W, 5-8 dBi, Ø32 mm, 30 см, N-J, для jamming оборудования</t>
  </si>
  <si>
    <t>Антенна всенаправленная, 5.2 GHz (5150-5350 MHz), 50W, 3-5 dBi, Ø20 mm, 60 см, N-J, для jamming оборудования</t>
  </si>
  <si>
    <t>Антенна всенаправленная, 5.2 GHz (5150-5350 MHz), 50W, 3-7 dBi, Ø25 mm, 60 см, N-J, для jamming оборудования</t>
  </si>
  <si>
    <t>Антенна всенаправленная, 5.2 GHz (5150-5350 MHz), 50W, 5-7 dBi, Ø32 mm, 60 см, N-J, для jamming оборудования</t>
  </si>
  <si>
    <t>Антенна всенаправленная, 5.8 GHz (5725-5850 MHz), 100W, 3-6 dBi, Ø20 mm, 60 см, N-J, для jamming оборудования</t>
  </si>
  <si>
    <t>Антенна всенаправленная, 5.8 GHz (5725-5850 MHz), 100W, 3-7 dBi, Ø25 mm, 30 см, N-J, для jamming оборудования</t>
  </si>
  <si>
    <t>Антенна всенаправленная, 5.8 GHz (5725-5850 MHz), 100W, 3-8 dBi, Ø25 mm, 60 см, N-J, для jamming оборудования</t>
  </si>
  <si>
    <t>Антенна всенаправленная, 5.8 GHz (5725-5850 MHz), 100W, 5-7 dBi, Ø32 mm, 60 см, N-J, для jamming оборудования</t>
  </si>
  <si>
    <t>Антенна всенаправленная, 5.8 GHz (5725-5850 MHz), 100W, 5-8 dBi, Ø32 mm, 30 см, N-J, для jamming оборудования</t>
  </si>
  <si>
    <t>Антенна всенаправленная, 5.8 GHz (5725-5850 MHz), 50W, 3-5 dBi, Ø20 mm, 30 см, N-J, для jamming оборудования</t>
  </si>
  <si>
    <t>Антенна всенаправленная, 5.8 GHz (5725-5850 MHz), 50W, 3-5 dBi, Ø20 mm, 60 см, N-J, для jamming оборудования</t>
  </si>
  <si>
    <t>Антенна всенаправленная, 5.8 GHz (5725-5850 MHz), 50W, 3-7 dBi, Ø25 mm, 60 см, N-J, для jamming оборудования</t>
  </si>
  <si>
    <t>Антенна всенаправленная, 5.8 GHz (5725-5850 MHz), 50W, 5-7 dBi, Ø32 mm, 60 см, N-J, для jamming оборудования</t>
  </si>
  <si>
    <t>Антенна всенаправленная, 500-600 MHz, 100W, 3-7 dBi, Ø25 mm, 30 см, N-J, для jamming оборудования</t>
  </si>
  <si>
    <t>Антенна всенаправленная, 600-700 MHz, 100W, 5-7 dBi, Ø32 mm, 30 см, N-J, для jamming оборудования</t>
  </si>
  <si>
    <t>Антенна всенаправленная, 650-750 MHz, 100W, 3-8 dBi, Ø25 mm, 60 см, N-J, для jamming оборудования</t>
  </si>
  <si>
    <t>Антенна всенаправленная, 650-750 MHz, 50W, 3-7 dBi, Ø25 mm, 30 см, N-J, для jamming оборудования</t>
  </si>
  <si>
    <t>Антенна всенаправленная, 700-1000 MHz, 100W, 3-8 dBi, Ø25 mm, 60 см, N-J, для jamming оборудования</t>
  </si>
  <si>
    <t>Антенна всенаправленная, 700-800 MHz, 100W, 3-8 dBi, Ø25 mm, 60 см, N-J, для jamming оборудования</t>
  </si>
  <si>
    <t>Антенна всенаправленная, 700-800 MHz, 50W, 3-5 dBi, Ø20 mm, 60 см, N-J, для jamming оборудования</t>
  </si>
  <si>
    <t>Антенна всенаправленная, 700-800 MHz, 50W, 3-7 dBi, Ø25 mm, 30 см, N-J, для jamming оборудования</t>
  </si>
  <si>
    <t>Антенна всенаправленная, 700-860 MHz, 100W, 5-7 dBi, Ø32 mm, 30 см, N-J, для jamming оборудования</t>
  </si>
  <si>
    <t>Антенна всенаправленная, 720-850 MHz, 100W, 3-7 dBi, Ø25 mm, 30 см, N-J, для jamming оборудования</t>
  </si>
  <si>
    <t>Антенна всенаправленная, 720-850 MHz, 100W, 3-8 dBi, Ø25 mm, 60 см, N-J, для jamming оборудования</t>
  </si>
  <si>
    <t>Антенна всенаправленная, 720-850 MHz, 100W, 5-8 dBi, Ø32 mm, 30 см, N-J, для jamming оборудования</t>
  </si>
  <si>
    <t>Антенна всенаправленная, 720-850 MHz, 100W, 5-8 dBi, Ø32 mm, 60 см, N-J, для jamming оборудования</t>
  </si>
  <si>
    <t>Антенна всенаправленная, 720-850 MHz, 50W, 2-5 dBi, Ø20 mm, 30 см, N-J, для jamming оборудования</t>
  </si>
  <si>
    <t>Антенна всенаправленная, 800-900 MHz, 50W, 2-5 dBi, Ø20 mm, 30 см, N-J, для jamming оборудования</t>
  </si>
  <si>
    <t>Антенна всенаправленная, 800-900 MHz, 50W, 3-5 dBi, Ø20 mm, 60 см, N-J, для jamming оборудования</t>
  </si>
  <si>
    <t>Антенна всенаправленная, 800-900 MHz, 50W, 3-7 dBi, Ø25 mm, 30 см, N-J, для jamming оборудования</t>
  </si>
  <si>
    <t>Антенна всенаправленная, 800-920 MHz, 100W, 5-8 dBi, Ø32 mm, 30 см, N-J, для jamming оборудования</t>
  </si>
  <si>
    <t>Антенна всенаправленная, 860-1000 MHz, 100W, 5-7 dBi, Ø32 mm, 30 см, N-J, для jamming оборудования</t>
  </si>
  <si>
    <t>Антенна всенаправленная, 900 MHz (840-930 MHz), 100W, 3-6 dBi, Ø20 mm, 60 см, N-J, для jamming оборудования</t>
  </si>
  <si>
    <t>Антенна всенаправленная, 900 MHz (840-930 MHz), 100W, 3-8 dBi, Ø25 mm, 60 см, N-J, для jamming оборудования</t>
  </si>
  <si>
    <t>Антенна всенаправленная, 900 MHz (840-930 MHz), 50W, 3-7 dBi, Ø25 mm, 30 см, N-J, для jamming оборудования</t>
  </si>
  <si>
    <t>Антенна всенаправленная, 900 MHz (860-930 MHz), 100W, 5-7 dBi, Ø32 mm, 60 см, N-J, для jamming оборудования</t>
  </si>
  <si>
    <t>Антенна всенаправленная, 900 MHz (860-930 MHz), 100W, 5-8 dBi, Ø32 mm, 30 см, N-J, для jamming оборудования</t>
  </si>
  <si>
    <t>Антенна всенаправленная, 900 MHz (860-930 MHz), 50W, 3-5 dBi, Ø20 mm, 60 см, N-J, для jamming оборудования</t>
  </si>
  <si>
    <t>Антенна всенаправленная, 900 MHz (860-930 MHz), 50W, 5-7 dBi, Ø32 mm, 60 см, N-J, для jamming оборудования</t>
  </si>
  <si>
    <t>Антенна всенаправленная, 900-1050 MHz, 100W, 3-8 dBi, Ø25 mm, 60 см, N-J, для jamming оборудования</t>
  </si>
  <si>
    <t>Антенна всенаправленная, 900-1050 MHz, 50W, 3-5 dBi, Ø20 mm, 30 см, N-J, для jamming оборудования</t>
  </si>
  <si>
    <t>Антенна всенаправленная, 900-1050 MHz, 50W, 3-5 dBi, Ø20 mm, 60 см, N-J, для jamming оборудования</t>
  </si>
  <si>
    <t>Антенна всенаправленная, 900-1050 MHz, 50W, 3-7 dBi, Ø25 mm, 30 см, N-J, для jamming оборудования</t>
  </si>
  <si>
    <t>Антенна всенаправленная, 970-1100 MHz, 100W, 3-8 dBi, Ø25 mm, 30 см, N-J, для jamming оборудования</t>
  </si>
  <si>
    <t>Антенна всенаправленная, 970-1100 MHz, 100W, 3-8 dBi, Ø25 mm, 60 см, N-J, для jamming оборудования</t>
  </si>
  <si>
    <t>Антенна всенаправленная, 970-1100 MHz, 100W, 5-8 dBi, Ø32 mm, 30 см, N-J, для jamming оборудования</t>
  </si>
  <si>
    <t>Антенна всенаправленная, 970-1100 MHz, 50W, 3-5 dBi, Ø25 mm, 30 см, N-J, для jamming оборудования</t>
  </si>
  <si>
    <t>Антенны клеверные для РЭБ</t>
  </si>
  <si>
    <t>Антенна клеверная для средств РЭБ, 1020-1170 MHz, 100W, N-J</t>
  </si>
  <si>
    <t>Антенна клеверная для средств РЭБ, 1160-1280 MHz, 100W, N-J</t>
  </si>
  <si>
    <t>Антенна клеверная для средств РЭБ, 385-485 MHz, 100W, N-J</t>
  </si>
  <si>
    <t>Антенна клеверная для средств РЭБ, 415-485 MHz, 100W, N-J</t>
  </si>
  <si>
    <t>Антенна клеверная для средств РЭБ, 450-560 MHz, 100W, N-J</t>
  </si>
  <si>
    <t>Антенна клеверная для средств РЭБ, 500-600 MHz, 100W, N-J</t>
  </si>
  <si>
    <t>Антенна клеверная для средств РЭБ, 700-800 MHz, 100W, N-J</t>
  </si>
  <si>
    <t>Антенна клеверная для средств РЭБ, 700-810 MHz, 100W, N-J</t>
  </si>
  <si>
    <t>Антенна клеверная для средств РЭБ, 720-850 MHz, 100W, N-J</t>
  </si>
  <si>
    <t>Антенна клеверная для средств РЭБ, 800-900 MHz, 100W, N-J</t>
  </si>
  <si>
    <t>Антенна клеверная для средств РЭБ, 800-920 MHz, 100W, N-J</t>
  </si>
  <si>
    <t>Антенна клеверная для средств РЭБ, 840-930 MHz, 100W, N-J</t>
  </si>
  <si>
    <t>Антенна клеверная для средств РЭБ, 900-1050 MHz, 100W, N-J</t>
  </si>
  <si>
    <t>Антенна клеверная для средств РЭБ, 970-1100 MHz, 100W, N-J</t>
  </si>
  <si>
    <t>Аттенюаторы</t>
  </si>
  <si>
    <t>Аттенюатор 0 - 6 GHz, 100w, 40 dB, in: N-Male; out: N-Female</t>
  </si>
  <si>
    <t>Коннекторы и переходники</t>
  </si>
  <si>
    <t>Конектор N-Female</t>
  </si>
  <si>
    <t>Конектор N-Female1</t>
  </si>
  <si>
    <t>Конектор N-Female2</t>
  </si>
  <si>
    <t>Конектор N-Female3</t>
  </si>
  <si>
    <t>Конектор N-Female4</t>
  </si>
  <si>
    <t>Конектор N-Male</t>
  </si>
  <si>
    <t>Конектор N-Male1</t>
  </si>
  <si>
    <t>Конектор RP-SMA-Female</t>
  </si>
  <si>
    <t>Конектор RP-SMA-Male</t>
  </si>
  <si>
    <t>Конектор SMA-Female</t>
  </si>
  <si>
    <t>Конектор SMA-Male</t>
  </si>
  <si>
    <t>Конектор SMA-Male (right angle)</t>
  </si>
  <si>
    <t>Корпуса для РЭБ</t>
  </si>
  <si>
    <t>Корпус для РЕБ, алюминиевый, IP65, внутренний размер 158 x 110 x 60 мм.</t>
  </si>
  <si>
    <t>Корпус для РЕБ, алюминиевый, IP65, внутренний размер 169 x 83 x 84 мм.</t>
  </si>
  <si>
    <t>Корпус для РЕБ, алюминиевый, IP65, внутренний размер 202 x 168 x 113 мм.</t>
  </si>
  <si>
    <t>Корпус для РЕБ, алюминиевый, IP65, внутренний размер 300 x 212 x 80 мм.</t>
  </si>
  <si>
    <t>Корпус для РЕБ, алюминиевый, IP65, внутренний размер 304 x 184 x 77 мм.</t>
  </si>
  <si>
    <t>Корпус для РЕБ, алюминиевый, IP65, внутренний размер 338 x 264 x 82 мм.</t>
  </si>
  <si>
    <t>Модуля помех (jammer)</t>
  </si>
  <si>
    <t>Модуль помех (jammer) 1.2 GHz (1170-1280 MHz), Gan 40W, 45-46 dBm, SMA</t>
  </si>
  <si>
    <t>Модуль помех (jammer) 1.2 GHz (1170-1280 MHz), Gan 50W, 47 dBm, SMA</t>
  </si>
  <si>
    <t>Модуль помех (jammer) 1.2 GHz (1180-1280 MHz), Gan 30W, SMA</t>
  </si>
  <si>
    <t>Модуль помех (jammer) 1.2 GHz (1200-1300 MHz), Gan 100W, N-J</t>
  </si>
  <si>
    <t>Модуль помех (jammer) 1.5 GHz (1550-1620 MHz), Gan 100W, N-J</t>
  </si>
  <si>
    <t>Модуль помех (jammer) 1.5 GHz (1550-1620 MHz), Gan 40W, 45-46 dBm, SMA</t>
  </si>
  <si>
    <t>Модуль помех (jammer) 1.5 GHz (1550-1620 MHz), Gan 50W, SMA</t>
  </si>
  <si>
    <t>Модуль помех (jammer) 1.7 GHz (1680-1980 MHz), Gan 50W, 47 dBm, SMA</t>
  </si>
  <si>
    <t>Модуль помех (jammer) 100-400 MHz, Gan 60W, 52 dBm, 32V, SMA</t>
  </si>
  <si>
    <t>Модуль помех (jammer) 1020-1170 MHz, Gan 50W, 47 dBm, SMA</t>
  </si>
  <si>
    <t>Модуль помех (jammer) 2.4 GHz (2400-2500 MHz), Gan 100W, N-J</t>
  </si>
  <si>
    <t>Модуль помех (jammer) 2.4 GHz (2400-2500 MHz), Gan 30W, 44 dBm, SMA</t>
  </si>
  <si>
    <t>Модуль помех (jammer) 2.4 GHz (2400-2500 MHz), Gan 40W, 45-46 dBm, SMA</t>
  </si>
  <si>
    <t>Модуль помех (jammer) 2.4 GHz (2400-2500 MHz), Gan 50W, 47 dBm, SMA</t>
  </si>
  <si>
    <t>Модуль помех (jammer) 2.4 GHz (2400-2500 MHz), Gan 50W, 47 dBm, SMA, (цыфровой микроконтроллер ARM, LoRa)</t>
  </si>
  <si>
    <t>Модуль помех (jammer) 200-280 MHz, Gan 50W, 47 dBm, SMA</t>
  </si>
  <si>
    <t>Модуль помех (jammer) 2100-2300 MHz, Gan 100W, 50 dBm Max, с циркулятором, N-J, (цыфровой микроконтроллер ARM, LoRa)</t>
  </si>
  <si>
    <t>Модуль помех (jammer) 2100-2300 MHz, Gan 100W, 50 dBm, N_J</t>
  </si>
  <si>
    <t>Модуль помех (jammer) 2100-2300 MHz, Gan 50W, 47 dBm, SMA</t>
  </si>
  <si>
    <t>Модуль помех (jammer) 2500-2700 MHz, Gan 100W, 50 dBm, N_J</t>
  </si>
  <si>
    <t>Модуль помех (jammer) 2500-2700 MHz, Gan 50W, 47 dBm, SMA</t>
  </si>
  <si>
    <t>Модуль помех (jammer) 3.3 GHz (3200–3400 MHz), Gan 50W, 47 dBm, SMA</t>
  </si>
  <si>
    <t>Модуль помех (jammer) 300-400 MHz, Gan 50W, 47 dBm, N_J</t>
  </si>
  <si>
    <t>Модуль помех (jammer) 385-485 MHz, Gan 50W, 47 dBm, SMA, без циркулятора</t>
  </si>
  <si>
    <t>Модуль помех (jammer) 4.9 GHz (4800-5000 MHz), Gan 50W, 47 dBm, SMA</t>
  </si>
  <si>
    <t>Модуль помех (jammer) 433 MHz (415-485 MHz), Gan 100W, SMA</t>
  </si>
  <si>
    <t>Модуль помех (jammer) 433 MHz (415-485 MHz), Gan 50W, 47 dBm, SMA</t>
  </si>
  <si>
    <t>Модуль помех (jammer) 433 MHz (415-485 MHz), Gan 50W, 47 dBm, SMA, (цыфровой микроконтроллер ARM, LoRa)</t>
  </si>
  <si>
    <t>Модуль помех (jammer) 433 MHz (420-450 MHz), Gan 100W, N-J</t>
  </si>
  <si>
    <t>Модуль помех (jammer) 433 MHz (420-450 MHz), Gan 30W, 44 dBm, SMA</t>
  </si>
  <si>
    <t>Модуль помех (jammer) 433 MHz (420-450 MHz), Gan 40W, 45 dBm, SMA</t>
  </si>
  <si>
    <t>Модуль помех (jammer) 450-560 MHz, Gan 50W, 47 dBm, SMA</t>
  </si>
  <si>
    <t>Модуль помех (jammer) 5.2 GHz (5150-5350 MHz), Gan 100W, N-J</t>
  </si>
  <si>
    <t>Модуль помех (jammer) 5.2 GHz (5150-5350 MHz), Gan 40W, 45-46 dBm, SMA</t>
  </si>
  <si>
    <t>Модуль помех (jammer) 5.2 GHz (5150-5350 MHz), Gan 50W, 47 dBm, SMA</t>
  </si>
  <si>
    <t>Модуль помех (jammer) 5.2 GHz (5150-5350 MHz), Gan 50W, 47 dBm, SMA, (цыфровой микроконтроллер ARM, LoRa)</t>
  </si>
  <si>
    <t>Модуль помех (jammer) 5.8 GHz (5700-5900 MHz), Gan 50W, 47 dBm, SMA, без циркулятора</t>
  </si>
  <si>
    <t>Модуль помех (jammer) 5.8 GHz (5725-5850 MHz), Gan 100W, 50 dBm Max, с циркулятором, N-J</t>
  </si>
  <si>
    <t>Модуль помех (jammer) 5.8 GHz (5725-5850 MHz), Gan 100W, N-J.</t>
  </si>
  <si>
    <t>Модуль помех (jammer) 5.8 GHz (5725-5850 MHz), Gan 150W, 52 dBm Max, N-J</t>
  </si>
  <si>
    <t>Модуль помех (jammer) 5.8 GHz (5725-5850 MHz), Gan 30W, 44 dBm, SMA</t>
  </si>
  <si>
    <t>Модуль помех (jammer) 5.8 GHz (5725-5850 MHz), Gan 40W, 45-46 dBm, SMA</t>
  </si>
  <si>
    <t>Модуль помех (jammer) 500-600 MHz, Gan 50W, 47 dBm, SMA</t>
  </si>
  <si>
    <t>Модуль помех (jammer) 500-600 MHz, Gan 50W, 47 dBm, SMA, (цыфровой микроконтроллер ARM, LoRa)</t>
  </si>
  <si>
    <t>Модуль помех (jammer) 600-700 MHz, Gan 50W, 47 dBm, SMA</t>
  </si>
  <si>
    <t>Модуль помех (jammer) 650-750 MHz, Gan 50W, 47 dBm, SMA</t>
  </si>
  <si>
    <t>Модуль помех (jammer) 700-1000 MHz, Gan 50W, 47 dBm, SMA</t>
  </si>
  <si>
    <t>Модуль помех (jammer) 700-800 MHz, Gan 30W, 44 dBm, SMA</t>
  </si>
  <si>
    <t>Модуль помех (jammer) 700-800 MHz, Gan 50W, 47 dBm, SMA</t>
  </si>
  <si>
    <t>Модуль помех (jammer) 700-810 MHz, Gan 50W, 47 dBm, SMA</t>
  </si>
  <si>
    <t>Модуль помех (jammer) 700-860 MHz, Gan 50W, 47 dBm, SMA</t>
  </si>
  <si>
    <t>Модуль помех (jammer) 720-850 MHz, Gan 30W, 44 dBm, SMA</t>
  </si>
  <si>
    <t>Модуль помех (jammer) 720-850 MHz, Gan 50W, 47 dBm, SMA</t>
  </si>
  <si>
    <t>Модуль помех (jammer) 800-900 MHz, Gan 50W, 47 dBm, SMA</t>
  </si>
  <si>
    <t>Модуль помех (jammer) 800-920 MHz, Gan 50W, 47 dBm, SMA</t>
  </si>
  <si>
    <t>Модуль помех (jammer) 800-920 MHz, Gan 50W, 47 dBm, SMA, (цыфровой микроконтроллер ARM, LoRa)</t>
  </si>
  <si>
    <t>Модуль помех (jammer) 860-1000 MHz, Gan 50W, 47 dBm, SMA</t>
  </si>
  <si>
    <t>Модуль помех (jammer) 900 MHz (840-930 MHz), Gan 50W, 47 dBm, SMA</t>
  </si>
  <si>
    <t>Модуль помех (jammer) 900 MHz (860-930 MHz), Gan 100W, N-J</t>
  </si>
  <si>
    <t>Модуль помех (jammer) 900 MHz (860-930 MHz), Gan 30W, SMA</t>
  </si>
  <si>
    <t>Модуль помех (jammer) 900 MHz (860-930 MHz), Gan 40W, 45-46 dBm, SMA</t>
  </si>
  <si>
    <t>Модуль помех (jammer) 900-1050 MHz, Gan 50W, 47 dBm, SMA</t>
  </si>
  <si>
    <t>Модуль помех (jammer) 970-1100 MHz, Gan 50W, 47 dBm, SMA</t>
  </si>
  <si>
    <t>Усилитель сигнала, 2400-2500MHz, без генератора частот, 47±1dBm, input=3~5dbm</t>
  </si>
  <si>
    <t>Усилитель сигнала, 5100-5900MHz, без генератора частот, 47±1dBm, input=3~5dbm</t>
  </si>
  <si>
    <t>Усилитель сигнала, 840-930MHz, без генератора частот, 47±1dBm, input=3~5dbm</t>
  </si>
  <si>
    <t>Модуля помех (jammer) LDMOS</t>
  </si>
  <si>
    <t>Модуль помех (jammer) 100-200 MHz, LDMOS, 47 dBm, 50w, с внешним циркулятором</t>
  </si>
  <si>
    <t>Модуль помех (jammer) 200-300 MHz, LDMOS, 47 dBm, 50w, с внешним циркулятором</t>
  </si>
  <si>
    <t>Модуль помех (jammer) 315-525 MHz, LDMOS, 47 dBm, 50w, с внешним циркулятором</t>
  </si>
  <si>
    <t>Силовые разъемы</t>
  </si>
  <si>
    <t>Силовой разъем MS3106 D 18-10, 4 контактов</t>
  </si>
  <si>
    <t>Силовой разъем Y21M-7TK/ZJ, 7 контактов</t>
  </si>
  <si>
    <t>Силовой разъем Y28M-8TK/ZJ, 8 контактов</t>
  </si>
  <si>
    <t>Силовой разъем Y36M-16TK/ZJ, 16 контактов</t>
  </si>
  <si>
    <t>Системы РЕБ</t>
  </si>
  <si>
    <t>Система РЕБ</t>
  </si>
  <si>
    <t>Электронные компоненти</t>
  </si>
  <si>
    <t>Блок питания регулируемый MWKG MS-1000W-36V, output: 0-36V, 27A; input: 200-264V</t>
  </si>
  <si>
    <t>Блок питания регулируемый MWKG MS-1200W-36V, output: 0-36V, 33.3A; input: 200-264V</t>
  </si>
  <si>
    <t>Повышающий преобразователь (DC-DC) с регулировкой напряжения от 10-60V до 12-90V, 40A, 1800W</t>
  </si>
  <si>
    <t>Понижающий преобразователь (DC-DC) с регулировкой напряжения от 6-40V до 1.2-35V, 20A, 300W</t>
  </si>
  <si>
    <t>Задняя крышка Apple iPhone 11, большой вырез под камеру, High Quality, Red</t>
  </si>
  <si>
    <t>Задняя крышка Apple iPhone 12 Pro, большой вырез под камеру, Original PRC, White</t>
  </si>
  <si>
    <t>Задняя крышка Apple iPhone 12, большой вырез под камеру, Red</t>
  </si>
  <si>
    <t>Задняя крышка Apple iPhone 13 Pro Max, большой вырез под камеру, High Quality, Silver</t>
  </si>
  <si>
    <t>Задняя крышка Apple iPhone 13 Pro Max, большой вырез под камеру, Original, Graphite</t>
  </si>
  <si>
    <t>Задняя крышка Apple iPhone 13 Pro, большой вырез под камеру, High Quality, Blue</t>
  </si>
  <si>
    <t>Задняя крышка Apple iPhone 13 Pro, большой вырез под камеру, High Quality, Silver</t>
  </si>
  <si>
    <t>Задняя крышка Apple iPhone 14 Plus, большой вырез под камеру, Original, Blue</t>
  </si>
  <si>
    <t>Задняя крышка Apple iPhone 14 Plus, большой вырез под камеру, Original, Midnight</t>
  </si>
  <si>
    <t>Задняя крышка Apple iPhone 14 Plus, большой вырез под камеру, Original, Purple</t>
  </si>
  <si>
    <t>Задняя крышка Apple iPhone 14 Plus, большой вырез под камеру, Original, Red</t>
  </si>
  <si>
    <t>Задняя крышка Apple iPhone 14 Plus, большой вырез под камеру, Original, Starlight</t>
  </si>
  <si>
    <t>Задняя крышка Apple iPhone 14 Pro Max, большой вырез под камеру, Original, Gold</t>
  </si>
  <si>
    <t>Задняя крышка Apple iPhone 14 Pro Max, большой вырез под камеру, Original, Space Black</t>
  </si>
  <si>
    <t>Задняя крышка Apple iPhone 14 Pro Max, большой вырез под камеру, Original, White</t>
  </si>
  <si>
    <t>Задняя крышка Apple iPhone 14 Pro, большой вырез под камеру, Original, Gold</t>
  </si>
  <si>
    <t>Задняя крышка Apple iPhone 14 Pro, большой вырез под камеру, Original, Space Black</t>
  </si>
  <si>
    <t>Задняя крышка Apple iPhone 14 Pro, большой вырез под камеру, Original, White</t>
  </si>
  <si>
    <t>Задняя крышка Apple iPhone 14, большой вырез под камеру, Original, Blue</t>
  </si>
  <si>
    <t>Задняя крышка Apple iPhone 14, большой вырез под камеру, Original, Midnight</t>
  </si>
  <si>
    <t>Задняя крышка Apple iPhone 14, большой вырез под камеру, Original, Purple</t>
  </si>
  <si>
    <t>Задняя крышка Apple iPhone 14, большой вырез под камеру, Original, Red</t>
  </si>
  <si>
    <t>Задняя крышка Apple iPhone 14, большой вырез под камеру, Original, Starlight</t>
  </si>
  <si>
    <t>Корпус Apple iPhone 11 Pro Max, в сборе, Original PRC, Green Midnight</t>
  </si>
  <si>
    <t>Корпус Apple iPhone 11 Pro Max, в сборе, Original PRC, Space Gray</t>
  </si>
  <si>
    <t>Корпус Apple iPhone 11 Pro Max, в сборе, Original PRC, White</t>
  </si>
  <si>
    <t>Корпус Apple iPhone 11 Pro, в сборе, Original PRC, Green Midnight</t>
  </si>
  <si>
    <t>Корпус Apple iPhone 11 Pro, в сборе, Original PRC, Space Gray</t>
  </si>
  <si>
    <t>Корпус Apple iPhone 11, в сборе, Original PRC, Black</t>
  </si>
  <si>
    <t>Корпус Apple iPhone 11, в сборе, Original PRC, Purple</t>
  </si>
  <si>
    <t>Корпус Apple iPhone 11, в сборе, Original PRC, White</t>
  </si>
  <si>
    <t>Корпус Apple iPhone 6 Plus, Original PRC, Gold</t>
  </si>
  <si>
    <t>Корпус Apple iPhone 6 Plus, Original PRC, Silver</t>
  </si>
  <si>
    <t>Корпус Apple iPhone 6, Original PRC, Gold</t>
  </si>
  <si>
    <t>Корпус Apple iPhone 6S, Gold</t>
  </si>
  <si>
    <t>Задняя крышка Google Pixel 6 Pro, Original, Stormy Black</t>
  </si>
  <si>
    <t>Задняя крышка Google Pixel 6, Original, Kinda Coral (Pink)</t>
  </si>
  <si>
    <t>Задняя крышка Google Pixel 6, Original, Sorta Seafoam (Green)</t>
  </si>
  <si>
    <t>Задняя крышка Google Pixel 6A, Original, Chalk (White)</t>
  </si>
  <si>
    <t>Задняя крышка Google Pixel 6A, Original, Charcoal (Black)</t>
  </si>
  <si>
    <t>Задняя крышка Google Pixel 6A, Original, Sage (Green)</t>
  </si>
  <si>
    <t>Задняя крышка Google Pixel 7 Pro, Original, Obsidian (Black)</t>
  </si>
  <si>
    <t>Задняя крышка Google Pixel 7, Original, Obsidian (Black)</t>
  </si>
  <si>
    <t>Задняя крышка Huawei Honor 10 Lite (HRY-LX1), Sky Blue</t>
  </si>
  <si>
    <t>Задняя крышка Huawei Honor 8x JSN-L11, JSN-L21, JSN-L22, Original PRC, Red</t>
  </si>
  <si>
    <t>Задняя крышка Huawei P Smart 2021 (PPA-LX2), Original PRC, Blush Gold</t>
  </si>
  <si>
    <t>Задняя крышка Huawei P Smart 2021 (PPA-LX2), Original PRC, Green</t>
  </si>
  <si>
    <t>Задняя крышка Huawei P Smart Z (STK-LX1), Original PRC, Black</t>
  </si>
  <si>
    <t>Задняя крышка Huawei P Smart Z (STK-LX1), Original PRC, Blue</t>
  </si>
  <si>
    <t>Задняя крышка Huawei P30 Lite (MAR-L21, MAR-LX1A, MAR-L21A, MAR-L01A), Nova 4e, Original PRC, White</t>
  </si>
  <si>
    <t>Задняя крышка Huawei P40 Lite, Original PRC, Crush Green</t>
  </si>
  <si>
    <t>Задняя крышка Huawei P40 Lite, Original PRC, Sakura Pink</t>
  </si>
  <si>
    <t>Задняя крышка Huawei P40 Lite, Original PRC, Skyline Grey</t>
  </si>
  <si>
    <t>Задняя крышка Huawei Y5 2019 (AMN-LX9/AMN-LX1/AMN-LX2/AMN-LX30), со стеклом камеры, High Quality, Amber Brown</t>
  </si>
  <si>
    <t>Задняя крышка Huawei Y5 2019 (AMN-LX9/AMN-LX1/AMN-LX2/AMN-LX30), со стеклом камеры, High Quality, Modern Black</t>
  </si>
  <si>
    <t>Задняя крышка Huawei Y9 Prime 2019 (STK-L21, STK-L22, STK-LX3), Original PRC, Black</t>
  </si>
  <si>
    <t>Задняя крышка Huawei Y9 Prime 2019 (STK-L21, STK-L22, STK-LX3), Original PRC, Blue</t>
  </si>
  <si>
    <t>Задняя крышка Huawei Y9 Prime 2019 (STK-L21, STK-L22, STK-LX3), Original PRC, Green</t>
  </si>
  <si>
    <t>Задняя крышка OnePlus 10 Pro (NE2210, NE2211, NE2213, NE2215), со стеклом камеры, Original, Black</t>
  </si>
  <si>
    <t>Задняя крышка OnePlus 10T, со стеклом камеры, Original, Black</t>
  </si>
  <si>
    <t>Задняя крышка OnePlus 10T, со стеклом камеры, Original, Green</t>
  </si>
  <si>
    <t>Задняя крышка OnePlus 8 (IN2013, IN2017, IN2010, IN2019), со стеклом камеры, Original, Glacial Green</t>
  </si>
  <si>
    <t>Задняя крышка OnePlus 8 (IN2013, IN2017, IN2010, IN2019), со стеклом камеры, Original, Interstellar Glow (Pink)</t>
  </si>
  <si>
    <t>Задняя крышка OnePlus 8 (IN2013, IN2017, IN2010, IN2019), со стеклом камеры, Original, Onyx Black</t>
  </si>
  <si>
    <t>Задняя крышка OnePlus 8T (KB2003, KB2001, KB2000), со стеклом камеры, Original, Aquamarine Green</t>
  </si>
  <si>
    <t>Задняя крышка OnePlus 8T (KB2003, KB2001, KB2000), со стеклом камеры, Original, Lunar Silver</t>
  </si>
  <si>
    <t>Задняя крышка OnePlus 9 (LE2113, LE2111, LE2110), со стеклом камеры, Original, Arctic Sky (Blue)</t>
  </si>
  <si>
    <t>Задняя крышка OnePlus 9 (LE2113, LE2111, LE2110), со стеклом камеры, Original, Astral Black</t>
  </si>
  <si>
    <t>Задняя крышка OnePlus 9 (LE2113, LE2111, LE2110), со стеклом камеры, Original, Winter Mist (Purple)</t>
  </si>
  <si>
    <t>Задняя крышка OnePlus 9 Pro (LE2123, LE2121, LE2125, LE2120, LE2127), со стеклом камеры, Original, Morning Mist (Silver)</t>
  </si>
  <si>
    <t>Задняя крышка OnePlus Nord (AC2001, AC2003), со стеклом камеры, Original, Blue Marble</t>
  </si>
  <si>
    <t>Задняя крышка OnePlus Nord (AC2001, AC2003), со стеклом камеры, Original, Gray Onyx</t>
  </si>
  <si>
    <t>Задняя крышка OnePlus Nord 2 (DN2103, DN2101), со стеклом камеры, Original, Blue Haze</t>
  </si>
  <si>
    <t>Задняя крышка OnePlus Nord 2 (DN2103, DN2101), со стеклом камеры, Original, Gray Sierra</t>
  </si>
  <si>
    <t>Задняя крышка OnePlus Nord CE 2 Lite 5G, Original, Bahama Blue</t>
  </si>
  <si>
    <t>Задняя крышка OnePlus Nord CE 2 Lite 5G, Original, Black Dusk</t>
  </si>
  <si>
    <t>Задняя крышка Oppo A12, Original PRC, Black</t>
  </si>
  <si>
    <t>Задняя крышка Oppo A12, Original PRC, Blue</t>
  </si>
  <si>
    <t>Задняя крышка Oppo A31, Original PRC, Black</t>
  </si>
  <si>
    <t>Задняя крышка Oppo A31, Original PRC, Green</t>
  </si>
  <si>
    <t>Задняя крышка Oppo A5 2020, Original PRC, Black</t>
  </si>
  <si>
    <t>Задняя крышка Oppo A5 2020, Original PRC, Blue</t>
  </si>
  <si>
    <t>Задняя крышка Oppo A52, Original PRC, Black</t>
  </si>
  <si>
    <t>Задняя крышка Oppo A53, Original PRC, Black</t>
  </si>
  <si>
    <t>Задняя крышка Oppo A53, Original PRC, Blue</t>
  </si>
  <si>
    <t>Задняя крышка Oppo A53, Original PRC, White</t>
  </si>
  <si>
    <t>Задняя крышка Oppo A9 2020, Original PRC, Black</t>
  </si>
  <si>
    <t>Задняя крышка Oppo A9 2020, Original PRC, Blue</t>
  </si>
  <si>
    <t>Задняя крышка Oppo A91, Original PRC, Black</t>
  </si>
  <si>
    <t>Задняя крышка Oppo A91, Original PRC, Blue</t>
  </si>
  <si>
    <t>Задняя крышка Oppo Realme 6 Pro, Original PRC, Red</t>
  </si>
  <si>
    <t>Задняя крышка Oppo Realme 6, Original PRC, Black</t>
  </si>
  <si>
    <t>Задняя крышка Oppo Realme 6, Original PRC, White</t>
  </si>
  <si>
    <t>Задняя крышка Oppo Realme 6i, Original PRC, Blue Soda</t>
  </si>
  <si>
    <t>Задняя крышка Oppo Realme C11, Original PRC, Green</t>
  </si>
  <si>
    <t>Задняя крышка Oppo Realme C3, Original PRC, Red</t>
  </si>
  <si>
    <t>Задняя крышка Samsung A01 Galaxy A015, Original PRC, Black</t>
  </si>
  <si>
    <t>Задняя крышка Samsung A022 Galaxy A02, Original PRC, Black</t>
  </si>
  <si>
    <t>Задняя крышка Samsung A207 Galaxy A20s, Original PRC, Black</t>
  </si>
  <si>
    <t>Задняя крышка Samsung A207 Galaxy A20s, Original PRC, Blue</t>
  </si>
  <si>
    <t>Задняя крышка Samsung A207 Galaxy A20s, Original PRC, Green</t>
  </si>
  <si>
    <t>Задняя крышка Samsung A217 Galaxy A21s, Original PRC, Black</t>
  </si>
  <si>
    <t>Задняя крышка Samsung A217 Galaxy A21s, Original PRC, White</t>
  </si>
  <si>
    <t>Задняя крышка Samsung A315 Galaxy A31, Original PRC, Black</t>
  </si>
  <si>
    <t>Задняя крышка Samsung A515 Galaxy A51, Original PRC, Black</t>
  </si>
  <si>
    <t>Задняя крышка Samsung G950 Galaxy S8, High Quality, Orchid Gray</t>
  </si>
  <si>
    <t>Задняя крышка Samsung G955 Galaxy S8 Plus, High Quality, Orchid Gray</t>
  </si>
  <si>
    <t>Задняя крышка Samsung G980 Galaxy S20, Original, Black</t>
  </si>
  <si>
    <t>Задняя крышка Samsung G985 Galaxy S20 Plus, Original, Black</t>
  </si>
  <si>
    <t>Задняя крышка Samsung G988 Galaxy S20 Ultra, Original, Black</t>
  </si>
  <si>
    <t>Задняя крышка Samsung G991 Galaxy S21, Original PRC, Phantom Grey</t>
  </si>
  <si>
    <t>Задняя крышка Samsung G998 Galaxy S21 Ultra, Original PRC, Phantom Black</t>
  </si>
  <si>
    <t>Задняя крышка Samsung N950 Galaxy Note 8, Black</t>
  </si>
  <si>
    <t>Задняя крышка Samsung N950 Galaxy Note 8, Silver</t>
  </si>
  <si>
    <t>Задняя крышка Samsung N960 Galaxy Note 9, Midnight Black</t>
  </si>
  <si>
    <t>Задняя крышка Samsung N960 Galaxy Note 9, Ocean Blue</t>
  </si>
  <si>
    <t>Задняя крышка Samsung N970 Galaxy Note 10, Original PRC, Black</t>
  </si>
  <si>
    <t>Задняя крышка Samsung N975 Galaxy Note 10 Plus, Original PRC, Black</t>
  </si>
  <si>
    <t>Задняя крышка Samsung N980 Galaxy Note 20, N981 Galaxy Note 20 5G, Original PRC, Grey</t>
  </si>
  <si>
    <t>Задняя крышка Sony C6902 Xperia Z1, C6903 Xperia Z1, White</t>
  </si>
  <si>
    <t>Задняя крышка Sony D5503 Xperia Z1 Compact, Black</t>
  </si>
  <si>
    <t>Задняя крышка Sony D6502 Xperia Z2, D6503 Xperia Z2 White</t>
  </si>
  <si>
    <t>Задняя крышка Sony E6833 Xperia Z5 Premium Dual, E6853 Xperia Z5 Premium, E6883 Xperia Z5 Premium Dual, Grey</t>
  </si>
  <si>
    <t>Задняя крышка Sony F3111 Xperia XA, F3112 Xperia XA Dual, F3113 Xperia XA, F3115 Xperia XA, F3116 Xperia XA Dual, Black</t>
  </si>
  <si>
    <t>Задняя крышка Sony G3311 Xperia L1, G3312 Xperia L1, G3313 Xperia L1, Black</t>
  </si>
  <si>
    <t>Задняя крышка Vivo Y15, Original PRC, Black</t>
  </si>
  <si>
    <t>Задняя крышка Vivo Y15, Original PRC, Burgundy Red</t>
  </si>
  <si>
    <t>Задняя крышка Vivo Y30, Original PRC, Dazzle Blue</t>
  </si>
  <si>
    <t>Задняя крышка Vivo Y30, Original PRC, Purple</t>
  </si>
  <si>
    <t>Задняя крышка Poco M3, Original PRC, Black</t>
  </si>
  <si>
    <t>Задняя крышка Poco M3, Original PRC, Blue</t>
  </si>
  <si>
    <t>Задняя крышка Redmi Note 10, Redmi Note 10S, Original PRC, Pebble White</t>
  </si>
  <si>
    <t>Задняя крышка Redmi Note 10, Redmi Note 10S, Original PRC, Starlight Purple</t>
  </si>
  <si>
    <t>Задняя крышка Xiaomi Mi 11 Lite, Original PRC, Pink</t>
  </si>
  <si>
    <t>Задняя крышка Xiaomi Mi 11i, Original PRC, Celestial Silver</t>
  </si>
  <si>
    <t>Задняя крышка Xiaomi Mi 11i, Original PRC, Frosty White</t>
  </si>
  <si>
    <t>Задняя крышка Xiaomi Mi 8, со стеклом камеры, Black</t>
  </si>
  <si>
    <t>Задняя крышка Xiaomi Redmi 9T, Original PRC, Blue</t>
  </si>
  <si>
    <t>Задняя крышка Xiaomi Redmi Note 7, Pink</t>
  </si>
  <si>
    <t>Задняя крышка Xiaomi Redmi Note 8 Pro, со стеклом камеры, Green</t>
  </si>
  <si>
    <t>Задняя крышка Xiaomi Redmi Note 9, Original PRC, Onyx Black</t>
  </si>
  <si>
    <t>Оборудование и инструменты</t>
  </si>
  <si>
    <t>Все для пайки</t>
  </si>
  <si>
    <t>BGA шарики</t>
  </si>
  <si>
    <t>BGA шарики Mechanic 0.55mm, 10000 шт., Состав: SN - 63%, PB - 37%</t>
  </si>
  <si>
    <t>BGA шарики Mechanic 0.65mm, 10000 шт., Состав: SN - 63%, PB - 37%</t>
  </si>
  <si>
    <t>Жала для паяльников</t>
  </si>
  <si>
    <t>Жало 900-T-I (серое)</t>
  </si>
  <si>
    <t>Жало 900M-T-2.4d медь Китай</t>
  </si>
  <si>
    <t>Жало 900M-T-FI GSM-Sources, без свинца</t>
  </si>
  <si>
    <t>Жало 900M-T-FS GSM-Sources, (изогнутое), без свинца</t>
  </si>
  <si>
    <t>Жало 900M-T-I Relife, без свинца</t>
  </si>
  <si>
    <t>Жало 900M-T-I, медь</t>
  </si>
  <si>
    <t>Жало 900M-T-IS Relife, (изогнутое), без свинца</t>
  </si>
  <si>
    <t>Жало 900M-T-IS, (изогнутое), медь Китай</t>
  </si>
  <si>
    <t>Жало 900M-T-K медь Китай</t>
  </si>
  <si>
    <t>Жало Aina 900M-T-I (серое)</t>
  </si>
  <si>
    <t>Жало Baku BK-900-T-I Серое</t>
  </si>
  <si>
    <t>Жало Baku BK-900-T-IC</t>
  </si>
  <si>
    <t>Жало Baku BK-900-T-S</t>
  </si>
  <si>
    <t>Жало HAKO 900M-T- 2.4D</t>
  </si>
  <si>
    <t>Жало HAKO 900M-T-I</t>
  </si>
  <si>
    <t>Жало HAKO 900M-T-K</t>
  </si>
  <si>
    <t>Жало Quick 936, 900-I</t>
  </si>
  <si>
    <t>Жало Quick 936, 900-K</t>
  </si>
  <si>
    <t>Жало Quick 936, 900-Si</t>
  </si>
  <si>
    <t>Жало Quick 936, 900-SK</t>
  </si>
  <si>
    <t>Жало для индукционной паяльной станции Quick 203H, тип жала: 1C</t>
  </si>
  <si>
    <t>Жало для индукционной паяльной станции Quick 203H, тип жала: 3C</t>
  </si>
  <si>
    <t>Жало для индукционной паяльной станции Quick 203H, тип жала: I</t>
  </si>
  <si>
    <t>Жало для индукционной паяльной станции Quick 203H, тип жала: J</t>
  </si>
  <si>
    <t>Жало для индукционной паяльной станции Quick 203H, тип жала: LI</t>
  </si>
  <si>
    <t>Жало для индукционной паяльной станции Quick 203H, тип жала: SK</t>
  </si>
  <si>
    <t>Жало для паяльников Quick TS1200A, TSS02-3C</t>
  </si>
  <si>
    <t>Жало для паяльников Quick TS1200A, TSS02-I</t>
  </si>
  <si>
    <t>Жало для паяльников Quick TS1200A, TSS02-J-01</t>
  </si>
  <si>
    <t>Жало для паяльников Quick TS1200A, TSS02-K</t>
  </si>
  <si>
    <t>Жало для паяльников Quick TS1200A, TSS02-SK</t>
  </si>
  <si>
    <t>Жало для паяльников Quick TS1200A, TSS02B-I-02</t>
  </si>
  <si>
    <t>Жало для паяльников Quick TS1200A, TSS02B-J-02</t>
  </si>
  <si>
    <t>Жало для паяльников Quick TS1200A, TSS02B-SK-02</t>
  </si>
  <si>
    <t>Средство для очистки жал Mechanic S9</t>
  </si>
  <si>
    <t>Средство для очистки жал Relife RL-461</t>
  </si>
  <si>
    <t>Жидкость для удаления клея с платы, микросхем</t>
  </si>
  <si>
    <t>Растворитель для удаления клея з BGA микросхем Ya Xun YX-535 20ml</t>
  </si>
  <si>
    <t>Коврики для пайки</t>
  </si>
  <si>
    <t>Антистатический, термостойкий коврик для пайки (силиконовый) S120</t>
  </si>
  <si>
    <t>Антистатический, термостойкий коврик для пайки с магнитными зонами (силиконовый) S160</t>
  </si>
  <si>
    <t>Контактные площадки (пятаки)</t>
  </si>
  <si>
    <t>Набор Mechanic GS2, для восстановление контактных площадок (пятаков)</t>
  </si>
  <si>
    <t>Оплетка для снятия припоя</t>
  </si>
  <si>
    <t>Оплетка для снятия припоя Baku BK-2015 (1.5m*2.0mm)</t>
  </si>
  <si>
    <t>Оплетка для снятия припоя Mechanic R300 1015, длина: 1.5 m, ширина: 1.0 mm</t>
  </si>
  <si>
    <t>Оплетка для снятия припоя Mechanic R300 1515, длина: 1.5 m, ширина: 1.5 mm</t>
  </si>
  <si>
    <t>Оплетка для снятия припоя Mechanic R350 1015, длина: 1.5 m, ширина: 1.0 mm</t>
  </si>
  <si>
    <t>Оплетка для снятия припоя Mechanic R350 1515, длина: 1.5 m, ширина: 1.5 mm</t>
  </si>
  <si>
    <t>Паяльная маска</t>
  </si>
  <si>
    <t>Паяльная маска Baku BK-126, 8g, зеленая</t>
  </si>
  <si>
    <t>Паяльная маска Mechanic HY-UVH900, однокомпонентная с УФ-отверждением, зеленый, 10ml</t>
  </si>
  <si>
    <t>Паяльная маска Mechanic HY-UVH900, однокомпонентная с УФ-отверждением, красный, 10ml</t>
  </si>
  <si>
    <t>Паяльная маска Mechanic HY-UVH900, однокомпонентная с УФ-отверждением, черная, 10ml</t>
  </si>
  <si>
    <t>Паяльная маска Mechanic LVH900-HY, однокомпонентная, с ультрафиолетовым отверждением, чёрная, 10 ml</t>
  </si>
  <si>
    <t>Паяльная маска Mechanic LVH900-LY, однокомпонентная, с ультрафиолетовым отверждением, зеленая, 10 ml</t>
  </si>
  <si>
    <t>Паяльная маска Mechanic LVH900-RY, однокомпонентная, с ультрафиолетовым отверждением, красная, 10 ml</t>
  </si>
  <si>
    <t>Паяльная паста для накатки шаров</t>
  </si>
  <si>
    <t>Паста BGA для накатывания шаров Mechanic MCN-300 (20g)</t>
  </si>
  <si>
    <t>Паста BGA для накатывания шаров Mechanic NS38, температура плавления: 138°C, (40g), безсвинцовая</t>
  </si>
  <si>
    <t>Паста BGA для накатывания шаров Mechanic V3B45, температура плавления: 138°C, (20g)</t>
  </si>
  <si>
    <t>Паста BGA для накатывания шаров Mechanic V4B48, температура плавления: 138°C, (35g)</t>
  </si>
  <si>
    <t>Паста BGA для накатывания шаров Mechanic V4S38, температура плавления: 217°C, (35g)</t>
  </si>
  <si>
    <t>Паста BGA для накатывания шаров Mechanic XG50, температура плавления: 183°C, (42g)</t>
  </si>
  <si>
    <t>Паста для BGA Baku 30гр.</t>
  </si>
  <si>
    <t>Паста для BGA Baku BK-050G 50гр.</t>
  </si>
  <si>
    <t>Паста для BGA Baku BK-6350 (шприц) 50гр.</t>
  </si>
  <si>
    <t>Паста для BGA WorkTop WK-051G 50гр.</t>
  </si>
  <si>
    <t>Припой</t>
  </si>
  <si>
    <t>Припой BAKU BK-10004 (Sn 97% , Ag 0,3%, Cu 0,7%, флюс 2%) 0,4 мм, 50 г</t>
  </si>
  <si>
    <t>Припой Mechanic HX-T100, Sn 63%, Pb 37%, флюс 1.3%, 0,3mm, 50g</t>
  </si>
  <si>
    <t>Припой Mechanic HX-T100, Sn 63%, Pb 37%, флюс 1.3%, 0,4mm, 50g</t>
  </si>
  <si>
    <t>Припой Mechanic HX-T100, Sn 63%, Pb 37%, флюс 1.3%, 0,5mm, 50g</t>
  </si>
  <si>
    <t>Припой Ya Xun, Sn 63%, Pb 37%, флюс 1.2%, 0,3mm, 50g</t>
  </si>
  <si>
    <t>Термолента</t>
  </si>
  <si>
    <t>Изолирующая термолента (термоскотч), ширина 10 мм</t>
  </si>
  <si>
    <t>Изолирующая термолента (термоскотч), ширина 15 мм</t>
  </si>
  <si>
    <t>Изолирующая термолента (термоскотч), ширина 8 мм</t>
  </si>
  <si>
    <t>Флюс для пайки</t>
  </si>
  <si>
    <t>Флюс AMTECH 223 UV</t>
  </si>
  <si>
    <t>Флюс Amtech 225 (10 см3)</t>
  </si>
  <si>
    <t>Флюс Amtech 228 (10 см3) ORIGINAL</t>
  </si>
  <si>
    <t>Флюс Amtech NC-559-ASM (10г.)</t>
  </si>
  <si>
    <t>Флюс Amtech NC-559-ASM-UV (100г.)</t>
  </si>
  <si>
    <t>Флюс Baku R625 1000</t>
  </si>
  <si>
    <t>Флюс BK-150 150гр.</t>
  </si>
  <si>
    <t>Флюс BK-227</t>
  </si>
  <si>
    <t>Флюс BK-50 50гр.</t>
  </si>
  <si>
    <t>Флюс BK-80 80гр.</t>
  </si>
  <si>
    <t>Флюс Mechanic 223, безотмывочный, без содержания галагенов, 100 g</t>
  </si>
  <si>
    <t>Флюс Mechanic 223, безотмывочный, без содержания галагенов, с толкателем, 10 g</t>
  </si>
  <si>
    <t>Флюс Mechanic 559, безотмывочный, без содержания галагенов, 100 g</t>
  </si>
  <si>
    <t>Флюс Mechanic 559, безотмывочный, без содержания галагенов, с толкателем, 10 g</t>
  </si>
  <si>
    <t>Флюс Mechanic P23, безотмывочный, без содержания галагенов, с толкателем, 10 g</t>
  </si>
  <si>
    <t>Флюс Mechanic P59, безотмывочный, без содержания галагенов, с толкателем, 10 g</t>
  </si>
  <si>
    <t>Флюс Mechanic UV-223, безотмывочный, без содержания галагенов, 100 g</t>
  </si>
  <si>
    <t>Флюс Mechanic UV-223, безотмывочный, без содержания галагенов, с толкателем, 10 g</t>
  </si>
  <si>
    <t>Флюс Mechanic UV-559, безотмывочный, без содержания галагенов, 100g</t>
  </si>
  <si>
    <t>Флюс Mechanic UV-559, безотмывочный, без содержания галагенов, с толкателем, 10 g</t>
  </si>
  <si>
    <t>Флюс Ya Xun YX-616 10ml</t>
  </si>
  <si>
    <t>Флюс Ya Xun YX-617 10ml</t>
  </si>
  <si>
    <t>Флюс для BGA Kingbo RMA-218 безотмывочный, 100г</t>
  </si>
  <si>
    <t>Флюс-паста Mechanic F913, 10 гр. в шприце, без содержания галагенов</t>
  </si>
  <si>
    <t>Флюс-паста Mechanic F913, 30 гр. в шприце, без содержания галагенов</t>
  </si>
  <si>
    <t>Флюс-паста Mechanic MCN-UV10 10 гр. в шприце (без содержания галагенов)</t>
  </si>
  <si>
    <t>Флюс-паста Mechanic RMA-UV11 10 гр. в шприце (без содержания галагенов)</t>
  </si>
  <si>
    <t>Флюс-паста Mechanic RMA-UV11BL, 10 гр. в шприце, (без содержания галагенов), Black</t>
  </si>
  <si>
    <t>Флюс-паста Mechanic SD360, в шприце с толкателем, безотмывочная, 10g</t>
  </si>
  <si>
    <t>Флюс-паста Mechanic SD360, в шприце, безотмывочная, 10g</t>
  </si>
  <si>
    <t>Флюс-паста Mechanic TF350, тюбик 15ml</t>
  </si>
  <si>
    <t>Флюс-паста Yaxun YX-B20 (50 г.)</t>
  </si>
  <si>
    <t>Дымоулавливатель</t>
  </si>
  <si>
    <t>Дымоулавливатель промышленный Quick 6601</t>
  </si>
  <si>
    <t>Електричнеский инструмент</t>
  </si>
  <si>
    <t>Амперметр-вольтметр</t>
  </si>
  <si>
    <t>Амперметр-вольтметр Sunshine SS-302A, USB, 4V-30V, 0A-5A</t>
  </si>
  <si>
    <t>Амперметр-вольтметр USB Charger Doctor</t>
  </si>
  <si>
    <t>Амперметр-вольтметр USB Keweisi</t>
  </si>
  <si>
    <t>Амперметр-вольтметр USB, Keweisi KWS-MX16</t>
  </si>
  <si>
    <t>Амперметр-вольтметр USB, Keweisi KWS-V21</t>
  </si>
  <si>
    <t>Блоки питания</t>
  </si>
  <si>
    <t>Блок питания Baku 1501D+ 1A, 15V</t>
  </si>
  <si>
    <t>Блок питания Baku 1501T 1A, 15V</t>
  </si>
  <si>
    <t>Блок питания Baku 1502D+ RF 2A</t>
  </si>
  <si>
    <t>Блок питания Baku 1502TA (2A, 0V-15V, цифровая и аналоговая индикация)</t>
  </si>
  <si>
    <t>Блок питания Dazheng 1302D 0-30V, 2A</t>
  </si>
  <si>
    <t>Блок питания Katex 3005D, программируемый, 0-30V, 5A</t>
  </si>
  <si>
    <t>Блок питания NT 1501D 1A 0-15V (аналогово-цифровой, питание от кроны)</t>
  </si>
  <si>
    <t>Блок питания Sunshine P-3005DA, 5A, 0-30V</t>
  </si>
  <si>
    <t>Блок питания Ya Xun 1502DS 0-15V, 2A</t>
  </si>
  <si>
    <t>Блок питания Ya Xun 305D 0-30V, 5A</t>
  </si>
  <si>
    <t>Кабеля для блоков питания с разъемами для подключения плат Sunshine SS-905A V7.0, для iPhone 6 - iPhone 13 Pro Max</t>
  </si>
  <si>
    <t>Кабеля для блоков питания с разъемами для подключения плат Sunshine SS-905D V7.0, для iPhone 6 - iPhone 13 Pro Max, Android</t>
  </si>
  <si>
    <t>Цифровой программируемый блок питания Sunshine P-3005A, 5A, 0-30V</t>
  </si>
  <si>
    <t>Зарядное устройство Relife RL-304N, 4 USB (2 порта - 5V, 2.1; 2 порта - QC 3.0 18W), 2 Type-C (PD 45W, PD 20W), 87W</t>
  </si>
  <si>
    <t>Зарядное устройство Relife RL-304P, 5 USB (4 порта - 5V, 2.1; 1 порт - QC 3.0 18W), 1 Type-C (PD 20W), 40W</t>
  </si>
  <si>
    <t>Зарядное устройство Relife RL-304S, 6 USB, 2 Type-C, безпроводная зарядка, Fast Charger, 5A, 45W, индикатор тока заряда, защита от КЗ</t>
  </si>
  <si>
    <t>Зарядное устройство Sunshine SS-304D, 6 USB портов, 5A, 30W, индикатор тока заряда, защита от КЗ,</t>
  </si>
  <si>
    <t>Зарядное устройство Sunshine SS-304Q, 6 USB портов, Fast Charger, 5A, 30W, индикатор тока заряда, защита от КЗ</t>
  </si>
  <si>
    <t>Зарядное устройство универсальное iMAX B6 mini для аккумуляторов NiCd, Ni-Mh, Li-Ion, Li-Po, Li-Fe, Pb</t>
  </si>
  <si>
    <t>Мультиметры</t>
  </si>
  <si>
    <t>Мультиметр цифровой BK-9205</t>
  </si>
  <si>
    <t>Мультиметр цифровой VC-890D</t>
  </si>
  <si>
    <t>Мультиметр цифровой VC9801A+ с функцией автоотключения, датчиком температуры (ток до 20A)</t>
  </si>
  <si>
    <t>Мультиметр цифровой Yaxun YX-9208AL с измерением конденсаторов, температуры, напряжения, силы тока</t>
  </si>
  <si>
    <t>Набор щупов для мультиметров 2шт.</t>
  </si>
  <si>
    <t>Нагревательный элемент для паяльника и фена</t>
  </si>
  <si>
    <t>Нагревательный элемент Mechanic HK-1321, для паяльников типа 936, 937, 907, 968, 952D, 898D+, 909D+,  4 контакта</t>
  </si>
  <si>
    <t>Нагревательный элемент Mechanic HK-1511, под фен Hot Gun 850 / 858 / 859</t>
  </si>
  <si>
    <t>Нагревательный элемент Mechanic HK-1522, под фен Hot Gun 850 / 858 / 859</t>
  </si>
  <si>
    <t>Нагревательный элемент Quick A1321, для паяльной станции Quick 936, Quick 236, керамический</t>
  </si>
  <si>
    <t>Нагревательный элемент Quick A1321A, для паяльной станции Quick 936A</t>
  </si>
  <si>
    <t>Нагревательный элемент Quick TSS10A, для паяльной станции Quick TS1100</t>
  </si>
  <si>
    <t>Нагревательный элемент для Baku 702B (для фена)</t>
  </si>
  <si>
    <t>Нагревательный элемент для Baku 850 (для фена)</t>
  </si>
  <si>
    <t>Нагревательный элемент для паяльника A1322 (для 702B, 936) 4 контакта</t>
  </si>
  <si>
    <t>Нагревательный элемент термофена A1147, для паяльных станций Quick 857, 857A, 857D, 857DW, 706W, 957DW+</t>
  </si>
  <si>
    <t>Нагревательный элемент термофена H1901R, для паяльных станций Quick TS1100, TS2200</t>
  </si>
  <si>
    <t>Нижний подогрев плат</t>
  </si>
  <si>
    <t>Нижний подогрев Sunshine SS-T12A (основная часть, без платформ)</t>
  </si>
  <si>
    <t>Нижний подогрев Sunshine SS-T12A Face ID (платформа для SS-T12A) для ремонта Face ID, для iPhone X, XS, XS Max, 11, 11 Pro, 11 Pro Max</t>
  </si>
  <si>
    <t>Нижний подогрев Sunshine SS-T12A-M6 (платформа для SS-T12A), iPhone X, XS, XS Max, 11, 11 Pro, 11 Pro Max, CPU A13</t>
  </si>
  <si>
    <t>Нижний подогрев Sunshine SS-T12A-N11 (платформа для SS-T12A), для iPhone 11, 11 Pro, 11 Pro Max</t>
  </si>
  <si>
    <t>Нижний подогрев Sunshine SS-T12A-N12 (платформа для SS-T12A), для iPhone 12 Mini, 12, 12 Pro, 12 Pro Max</t>
  </si>
  <si>
    <t>Нижний подогрев Sunshine SS-T12A-N13 (платформа для SS-T12A), для iPhone 13 Mini, 13, 13 Pro, 13 Pro Max</t>
  </si>
  <si>
    <t>Нижний подогрев Sunshine SS-T12A-N14 (платформа для SS-T12A), для iPhone 14, iPhone 14 Plus, iPhone 14 Pro, iPhone 14 Pro Max</t>
  </si>
  <si>
    <t>Нижний подогрев Sunshine SS-T12A-N15 (платформа для SS-T12A), для iPhone 15, iPhone 15 Plus, iPhone 15 Pro, iPhone 15 Pro Max</t>
  </si>
  <si>
    <t>Нижний подогрев плат Baku 853, преднагреватель термовоздушный</t>
  </si>
  <si>
    <t>Нижний подогрев плат Ya Xun YX-853</t>
  </si>
  <si>
    <t>Нижний подогрев плат Ya Xun YX-853A с феном</t>
  </si>
  <si>
    <t>Паяльники для паяльной станции</t>
  </si>
  <si>
    <t>Паяльник к паяльной станции (936) мама</t>
  </si>
  <si>
    <t>Паяльник к паяльной станции (936) папа</t>
  </si>
  <si>
    <t>Паяльные станции</t>
  </si>
  <si>
    <t>Паяльная станция Baku 601D (фен + паяльник, 1 цифровой дисплей)</t>
  </si>
  <si>
    <t>Паяльная станция Baku 852 (фен)</t>
  </si>
  <si>
    <t>Паяльная станция Baku 852D (фен + паяльник, 1 цифровой дисплей)</t>
  </si>
  <si>
    <t>Паяльная станция Baku 858D (Термофен, 1LCD)</t>
  </si>
  <si>
    <t>Паяльная станция Baku 878D+ (фен)</t>
  </si>
  <si>
    <t>Паяльная станция Baku 909  (фен + паяльник, 2 цифровых дисплея, блок питания 2A)</t>
  </si>
  <si>
    <t>Паяльная станция Baku 909s (фен + паяльник, 2 цифровых дисплея, блок питания 2A, MP3)</t>
  </si>
  <si>
    <t>Паяльная станция Baku BA-8701D (фен + паяльник, 1 цифровой дисплей)</t>
  </si>
  <si>
    <t>Паяльная станция Baku BA-9305L  (фен+паяльник, 2 цифровых дисплея, блок питания 5A)</t>
  </si>
  <si>
    <t>Паяльная станция BAKU BK-936D+</t>
  </si>
  <si>
    <t>Паяльная станция Lukey 702 (фен + паяльник, 2 цифрових дисплея)</t>
  </si>
  <si>
    <t>Паяльная станция Lukey 852D (фен + паяльник, 1 цифровых дисплея)</t>
  </si>
  <si>
    <t>Паяльная станция Lukey 852D+ (фен + паяльник, 2 цифровых дисплея)</t>
  </si>
  <si>
    <t>Паяльная станция NT 878D (фен + паяльник)</t>
  </si>
  <si>
    <t>Паяльная станция Quick 2008 термовоздушная</t>
  </si>
  <si>
    <t>Паяльная станция Quick 203H, индукционная</t>
  </si>
  <si>
    <t>Паяльная станция Quick 236, паяльник с керамическим нагревательным елементом, 90W</t>
  </si>
  <si>
    <t>Паяльная станция Quick 712 ESD, компрессорная, (фен + паяльник)</t>
  </si>
  <si>
    <t>Паяльная станция Quick 715, термовоздушная, (фен + паяльник)</t>
  </si>
  <si>
    <t>Паяльная станция Quick 857DW+ термовоздушная</t>
  </si>
  <si>
    <t>Паяльная станция Quick 8586D+ (фен + паяльник)</t>
  </si>
  <si>
    <t>Паяльная станция Quick 858D, термовоздушная</t>
  </si>
  <si>
    <t>Паяльная станция Quick 859D+, термовоздушная, програмируемая, (фен)</t>
  </si>
  <si>
    <t>Паяльная станция Quick 861DW термовоздушная</t>
  </si>
  <si>
    <t>Паяльная станция Quick 881D термовоздушная</t>
  </si>
  <si>
    <t>Паяльная станция Quick 936, паяльник с керамическим нагревательным елементом, 60W</t>
  </si>
  <si>
    <t>Паяльная станция Quick 936A, паяльник с металическим нагревательным елементом, 60W</t>
  </si>
  <si>
    <t>Паяльная станция Quick K8, термовоздушная, 1000 W</t>
  </si>
  <si>
    <t>Паяльная станция Quick TR1100 термовоздушная</t>
  </si>
  <si>
    <t>Паяльная станция Quick TR1300A термовоздушная</t>
  </si>
  <si>
    <t>Паяльная станция Quick TS1100 (паяльник)</t>
  </si>
  <si>
    <t>Паяльная станция Quick TS1200A (паяльник с датчиком температуры)</t>
  </si>
  <si>
    <t>Паяльная станция YaXun 881D (фен + паяльник, 1 LCD)</t>
  </si>
  <si>
    <t>Паяльная станция инфракрасная Ya Xun 863D</t>
  </si>
  <si>
    <t>Паяльная станция термовоздушная  Baku 761D</t>
  </si>
  <si>
    <t>Паяльная станция термовоздушная  Lukey 868</t>
  </si>
  <si>
    <t>Паяльная станция термовоздушная  Lukey 898</t>
  </si>
  <si>
    <t>Паяльная станция термовоздушная Baku 858 (Термофен)</t>
  </si>
  <si>
    <t>Паяльная станция термовоздушная Baku 878L (фен + паяльник)</t>
  </si>
  <si>
    <t>Паяльная станция термовоздушная Baku 878L2 (фен + паяльник, 2 цифровых дисплея)</t>
  </si>
  <si>
    <t>Паяльная станция термовоздушная Baku 898D (фен + паяльник, 1 цифровой дисплей)</t>
  </si>
  <si>
    <t>Паяльная станция термовоздушная BAKU BK-702B (фен + паяльник, 2 дисплея)</t>
  </si>
  <si>
    <t>Паяльная станция термовоздушная, турбинная + вакуумный сепаратор Ya Xun 889A (фен + паяльник, 2 цифровых дисплея)</t>
  </si>
  <si>
    <t>Паяльная станция термовоздушная, турбинная Ya Xun 878D+ (фен + паяльник)</t>
  </si>
  <si>
    <t>Паяльная станция термовоздушная, турбинная Ya Xun 878D++ (фен + паяльник, 2 цифрових дисплея)</t>
  </si>
  <si>
    <t>Паяльная станция термовоздушная, турбинная Ya Xun 886D+ (фен + паяльник, 2 цифрових дисплея, USB 5V, 1A)</t>
  </si>
  <si>
    <t>Ультразвуковые ванные</t>
  </si>
  <si>
    <t>Ультразвуковая ванна Baku 9030</t>
  </si>
  <si>
    <t>Ультразвуковая ванна Baku 9050</t>
  </si>
  <si>
    <t>Ультразвуковая ванна Baku BK-1200, с функцией дегазации жидкости, 1.6L, 60W, 40 kHz, подогрев до 80C</t>
  </si>
  <si>
    <t>Ультразвуковая ванна Baku BK-2400, 0.9L, 35W</t>
  </si>
  <si>
    <t>Ультразвуковая ванна NT-285 (30w | 50w)</t>
  </si>
  <si>
    <t>Ультразвуковая ванна NT-628+ (30w | 50w Алюминиевый корпус)</t>
  </si>
  <si>
    <t>Ультрафиолетовые лампы</t>
  </si>
  <si>
    <t>Лампа ультрафиолетовая Relife RL-014 UV, с аккумулятором</t>
  </si>
  <si>
    <t>Ультрафиолетовая лампа для сушки стекла (с подставкой)</t>
  </si>
  <si>
    <t>Фены для паяльной станции</t>
  </si>
  <si>
    <t>Фен для паяльной станции Baku 702B (3 контактов)</t>
  </si>
  <si>
    <t>Фен для паяльной станциии Baku 702B (5 контактов)</t>
  </si>
  <si>
    <t>Лазерные установки</t>
  </si>
  <si>
    <t>Лазерная установка M-Triangel MG One, для отделения задних крышек iPhone 8, 8 Plus, X, XS, XS Max, 11, 12, 13</t>
  </si>
  <si>
    <t>Лазерная установка M-Triangel MG OneS, с автофокусом, для отделения задних крышек iPhone 8, 8 Plus, X, XS, XS Max, iPhone 11, iPhone 11 Pro</t>
  </si>
  <si>
    <t>Лазерная установка M-Triangel Mi One</t>
  </si>
  <si>
    <t>Лазерная установка M-Triangel MT Z-ONE, с автофокусом</t>
  </si>
  <si>
    <t>Лазерная установка M-Triangel PG OneS (MT-BY4), с автофокусом, дисплеем</t>
  </si>
  <si>
    <t>Лазерная установка Sunshine SS-890B, для отделения задних крышек iPhone 8, 8 Plus, X, XS, XS Max</t>
  </si>
  <si>
    <t>Микроскопы и оптика</t>
  </si>
  <si>
    <t>Лампа светодиодная с увеличительным стеклом Ya Xun 929</t>
  </si>
  <si>
    <t>Линза обьектива микроскопа (барлоу) 0.3X</t>
  </si>
  <si>
    <t>Линза обьектива микроскопа (барлоу) 0.5X</t>
  </si>
  <si>
    <t>Линза обьектива микроскопа (барлоу) 0.7X</t>
  </si>
  <si>
    <t>Линза обьектива микроскопа (защитная) Mechanic MCN-1X</t>
  </si>
  <si>
    <t>Микроскоп AmScope SW-3B24, бинокулярный, увеличение 20X - 40Х, штатив из литой стали</t>
  </si>
  <si>
    <t>Микроскоп Baku XT-4c (Кратность увеличения: 20х и 40х, верхняя подсветка)</t>
  </si>
  <si>
    <t>Микроскоп Relife RL M3T-B1 тринокулярный, c камерой (38 Mp)</t>
  </si>
  <si>
    <t>Микроскоп Relife RL M3T-B1 тринокулярный, c камерой (38 Mp), с дисплеем (10 inch)</t>
  </si>
  <si>
    <t>Микроскоп Relife RL M3T-B1 тринокулярный, c камерой (48 Mp, Full HD)</t>
  </si>
  <si>
    <t>Микроскоп Relife RL M3T-B1 тринокулярный, c камерой (48 Mp, Full HD), с дисплеем (10 inch)</t>
  </si>
  <si>
    <t>Микроскоп Relife RL M3T-B1 тринокулярный, с адаптером для камеры, с подсветкой</t>
  </si>
  <si>
    <t>Микроскоп Sunshine, c камерой и дисплеем</t>
  </si>
  <si>
    <t>Микроскоп TX-3A (10X, 2X, 4X, верхняя люминесцентная подсветка)</t>
  </si>
  <si>
    <t>Микроскоп TX-3B (2X, 4X, верхняя подсветка)</t>
  </si>
  <si>
    <t>Микроскоп XTX-3C (10X, 2X, 4X, подсветка нижняя и верхняя)</t>
  </si>
  <si>
    <t>Микроскоп Ya Xun YX-AK10B (Кратность увеличения: 7х-45х, верхняя подсветка)</t>
  </si>
  <si>
    <t>Микроскоп Ya Xun YX-AK21 (Кратность увеличения: 20х и 40х, верхняя подсветка)</t>
  </si>
  <si>
    <t>Микроскоп Ya Xun YX-AK33, c камерой 21MP Full HD 1080 60FPS HDMI, с антистатической робочей поверхностью</t>
  </si>
  <si>
    <t>Подсветка для микроскопа диодная, с регулятором яркости</t>
  </si>
  <si>
    <t>Подсветка для микроскопа диодная, с регулятором яркости, подключение по USB</t>
  </si>
  <si>
    <t>Плоттер</t>
  </si>
  <si>
    <t>Нож для плоттера Relife RL-870c; Sunshine SS-890c, SS-890c Pro, SS-890c Pro Max, 1шт.</t>
  </si>
  <si>
    <t>Плоттер MC-180 для нарезки защитной гидрогелевой плёнки</t>
  </si>
  <si>
    <t>Плоттер MX5T-230 Eco, для нарезки защитной гидрогелевой плёнки, (без привязки к аккаунту)</t>
  </si>
  <si>
    <t>Плоттер Relife RL-870c для нарезки защитной гидрогелевой плёнки</t>
  </si>
  <si>
    <t>Плоттер Sunshine SS-890 Mini, для нарезки защитной гидрогелевой плёнки диагональю до 7.1 дюймов</t>
  </si>
  <si>
    <t>Плоттер Sunshine SS-890C Pro Max, для нарезки защитной гидрогелевой плёнки диагональю до 16 дюймов</t>
  </si>
  <si>
    <t>Плоттер Sunshine SS-890C Pro, для нарезки защитной гидрогелевой плёнки диагональю до 12.9 дюймов</t>
  </si>
  <si>
    <t>Проволоки</t>
  </si>
  <si>
    <t>Набор молибденовой проволки с держателем, Mechanic JGS6010, 6in1, (D=0,1mm, D=0,04mm, D=0,05mm, D=0,06mm, D=0,08mm,)</t>
  </si>
  <si>
    <t>Проволка для отделения стекла от дисплея (D=0,04mm, L=100m)</t>
  </si>
  <si>
    <t>Проволка для отделения стекла от дисплея Mechanic iLine X, D=0,03 mm, L=100 m, (карбоновая)</t>
  </si>
  <si>
    <t>Проволка для отделения стекла от дисплея Mechanic iLine X, D=0,03 mm, L=200 m, (карбоновая)</t>
  </si>
  <si>
    <t>Проволка для отделения стекла от дисплея Mechanic iLine X, D=0,05 mm, L=100 m, (карбоновая)</t>
  </si>
  <si>
    <t>Проволка для отделения стекла от дисплея Mechanic iTought X, D=0,028 mm, L=200 m, (молибденовая)</t>
  </si>
  <si>
    <t>Проволка для отделения стекла от дисплея Mechanic iTought X, D=0,03 mm, L=200 m, (молибденовая)</t>
  </si>
  <si>
    <t>Проволка для отделения стекла от дисплея Mechanic iTought X, D=0,035 mm, L=200 m, (молибденовая)</t>
  </si>
  <si>
    <t>Проволка для отделения стекла от дисплея Sunshine SS-051, D=0,03 mm, L=100 m, (молибденовая)</t>
  </si>
  <si>
    <t>Проволка для отделения стекла от дисплея Sunshine, D=0,08 mm, L=100 m, (молибденовая)</t>
  </si>
  <si>
    <t>Проволока для восстановления дорожек Sunshine SS-007D, медь, d:0.01mm, 150m</t>
  </si>
  <si>
    <t>Проволока для восстановления дорожек, Sunshine SS-007C, D=0,02mm, L=120m</t>
  </si>
  <si>
    <t>Струна сепараторная для отделения стекла дисплея Mechanic CS01, D=0,025 mm, L=100 m, (карбоновая)</t>
  </si>
  <si>
    <t>Струна сепараторная для отделения стекла дисплея Mechanic CS01, D=0,03 mm, L=100 m, (карбоновая)</t>
  </si>
  <si>
    <t>Струна сепараторная для отделения стекла дисплея Mechanic CS01, D=0,035 mm, L=100 m, (карбоновая)</t>
  </si>
  <si>
    <t>Программатор JCID</t>
  </si>
  <si>
    <t>Плата к программатору JCID V1SE, V1S Pro, для восстановления True tone, iPhone 13 Pro - 14 Pro Max</t>
  </si>
  <si>
    <t>Плата к программатору JCID V1SE, для восстановления Face ID, iPhone X - 14 Pro Max</t>
  </si>
  <si>
    <t>Плата к программатору JCID V1SE, для восстановления True tone, iPhone 12 - 14 Plus</t>
  </si>
  <si>
    <t>Плата к программатору JCID V1SE, для восстановления аккумуляторов, iPhone 7 - 14 Pro Max</t>
  </si>
  <si>
    <t>Программатор i2C для восстановления Face ID, V8i (версия 3)</t>
  </si>
  <si>
    <t>Программатор JCID, V1SE (Wi-Fi), (с 11 платами), для моделей от iPhone 7 - до iPhone 14 Pro Max</t>
  </si>
  <si>
    <t>Программатор JCID, V1SE (Wi-Fi), (с 9 платами), для моделей от iPhone 7 - до iPhone 14 Pro Max</t>
  </si>
  <si>
    <t>Программатор JCID, V1SE (Wi-Fi), с платой для востановления True Tone, iPhone 7 - 11 Pro Max</t>
  </si>
  <si>
    <t>Адаптер+Кабели Naviplus Pro 3000S, Nand Fixture, iPad Air, iPad Air 2</t>
  </si>
  <si>
    <t>Бокс Sunshine SS-001A, для хранения смартфона при ремонте</t>
  </si>
  <si>
    <t>Держатель плат Baku BK-687</t>
  </si>
  <si>
    <t>Держатель плат Relife RL-601L Plus, для ремонта плат</t>
  </si>
  <si>
    <t>Держатель плат Relife RL-601R для iPhone X, iPhone XS, iPhone XS Max, iPhone 11, iPhone 11 Pro, iPhone 12, iPhone 12 Pro Max</t>
  </si>
  <si>
    <t>Дозатор-пистолет для клея, флюса, паяльнй пасты, Relife RL-062A, 10 cc</t>
  </si>
  <si>
    <t>Емкость для жидкостей Baku BK-402 (120 мл) с дозатором</t>
  </si>
  <si>
    <t>Емкость для жидкости с дозатором Mechanic TP01, 120 мл</t>
  </si>
  <si>
    <t>Зажим пластиковый для склеивания тачскринов, стекол, корпусов</t>
  </si>
  <si>
    <t>Зажим-струбцина, металический, для склеивания тачскринов, стекол, корпусов (1 шт.)</t>
  </si>
  <si>
    <t>Инструмент для ремонта корпуса Ali Tool FZ1 26 in1 iPhone 5 | iPhone 5C | iPhone 5S | iPhone 6 | iPhone 6 Plus | iPad 2 | iPad 3 | iPad 4 | iPad Mini</t>
  </si>
  <si>
    <t>Инструмент-присоска для снятия, установки дисплеев Mechanic SC86, диаметр присоски - 57 мм</t>
  </si>
  <si>
    <t>Инструмент-присоска для снятия, установки сенсорных дисплеев YaXun YX-D02</t>
  </si>
  <si>
    <t>Клей для предварительного монтажа компонентов на плату Mechanic 4108, 40g</t>
  </si>
  <si>
    <t>Монтажний столик Relife RL-601F, держатель плат</t>
  </si>
  <si>
    <t>Спрей для обнаружения неисправных електронных компонентов Ya Xun V7 350ml</t>
  </si>
  <si>
    <t>Станок для снятия задних крышек Ya Xun YX-991 iPhone 8G, iPhone 8 Plus, iPhone X, iPhone XS, iPhone XS Max</t>
  </si>
  <si>
    <t>Холдер для микросхем BGA T-3208</t>
  </si>
  <si>
    <t>Ремонт Face ID</t>
  </si>
  <si>
    <t>Держатель QianLi, DZJ1 для ремонта Face ID и DOT сенсора iPhone X - 13 Pro Max</t>
  </si>
  <si>
    <t>Шлейф Apple iPhone 11 Pro Max, для восстановления Face ID, i2C (Для программаторов i2C версии 3 и выше)</t>
  </si>
  <si>
    <t>Шлейф Apple iPhone 11 Pro, для восстановления Face ID, i2C (Для программаторов i2C версии 3 и выше)</t>
  </si>
  <si>
    <t>Шлейф Apple iPhone 11, для восстановления Face ID, i2C (Для программаторов i2C версии 3 и выше)</t>
  </si>
  <si>
    <t>Шлейф Apple iPhone 12 Mini, для восстановления Face ID, i2C (Для программаторов i2C версии 3 и выше)</t>
  </si>
  <si>
    <t>Шлейф Apple iPhone 12 Pro Max, для восстановления Face ID, i2C (Для программаторов i2C версии 3 и выше)</t>
  </si>
  <si>
    <t>Шлейф Apple iPhone 12, iPhone 12 Pro, для восстановления Face ID, i2C (Для программаторов i2C версии 3 и выше)</t>
  </si>
  <si>
    <t>Шлейф Apple iPhone X, для восстановления Face ID, i2C (Для программаторов i2C версии 3 и выше)</t>
  </si>
  <si>
    <t>Шлейф Apple iPhone X, для восстановления Face ID, JCID (Для программаторов JCID)</t>
  </si>
  <si>
    <t>Шлейф Apple iPhone XR, для восстановления Face ID, i2C (Для программаторов i2C версии 3 и выше)</t>
  </si>
  <si>
    <t>Шлейф Apple iPhone XR, для восстановления Face ID, JCID (Для программаторов JCID)</t>
  </si>
  <si>
    <t>Шлейф Apple iPhone XS Max, для восстановления Face ID, i2C (Для программаторов i2C версии 3 и выше)</t>
  </si>
  <si>
    <t>Шлейф Apple iPhone XS Max, для восстановления Face ID, JCID (Для программаторов JCID)</t>
  </si>
  <si>
    <t>Шлейф Apple iPhone XS, для восстановления Face ID, i2C (Для программаторов i2C версии 3 и выше)</t>
  </si>
  <si>
    <t>Шлейф Apple iPhone XS, для восстановления Face ID, JCID (Для программаторов JCID)</t>
  </si>
  <si>
    <t>Ручной електроинструмент</t>
  </si>
  <si>
    <t>Ручная мини дрелька, полировочная машинка Relife RL-068B, с зарядным устройством</t>
  </si>
  <si>
    <t>Ручной инструмент</t>
  </si>
  <si>
    <t>Кусачки, ножницы, плоскогубцы</t>
  </si>
  <si>
    <t>Кусачки Baku BK-021</t>
  </si>
  <si>
    <t>Кусачки-бокорезы Baku BK-109</t>
  </si>
  <si>
    <t>Кусачки-бокорезы Relife RL-112A, диагональные 45°</t>
  </si>
  <si>
    <t>Ножницы Relife RL-102, с керамическими лезвиями</t>
  </si>
  <si>
    <t>Ножницы для SIM карты (Nano SIM) + (micro SIM) BK-7299</t>
  </si>
  <si>
    <t>Ножницы для SIM карты под I-Phone 5 (Nano SIM) BK-7291</t>
  </si>
  <si>
    <t>Ножницы для обрезки двустороннего скотча</t>
  </si>
  <si>
    <t>Плоскогубцы Baku BK-031</t>
  </si>
  <si>
    <t>Плоскогубцы угловые Baku BK-055 125mm</t>
  </si>
  <si>
    <t>Наборы инструментов для открывания корпусов телефонов</t>
  </si>
  <si>
    <t>Набор для открывания корпусов Baku BK-212 (12 пластиковых скальпелей)</t>
  </si>
  <si>
    <t>Набор инструментов Baku BA-3336A (отвёртки: Y0.6, +1.5, пенталоб 0.8, Pinhead +2,5, две лопатки, медиатор)</t>
  </si>
  <si>
    <t>Набор инструментов для открывания корпусов Ya Xun YX-690</t>
  </si>
  <si>
    <t>Набор металлических лопаток для разборки корпусов Baku 3 in 1 Spudgers Set</t>
  </si>
  <si>
    <t>Наборы отверток</t>
  </si>
  <si>
    <t>Набор инструментов и отвертки Baseus (ACDM-IP7) для замены батарей на iPhone 7</t>
  </si>
  <si>
    <t>Набор инструментов и отвертки Baseus (ACDM-IP7P) для замены батарей на iPhone 7 Plus, iPhone 8 Plus</t>
  </si>
  <si>
    <t>Набор инструментов и отвертки Baseus (ACDM-IP8) для замены батарей на iPhone 8</t>
  </si>
  <si>
    <t>Набор отверток Baku 3337a, (3 Отвёртки: +1.5, Y0.6, *0.8 + пластиковый открыватель)</t>
  </si>
  <si>
    <t>Набор отверток Baku BK-1101, (Ручка, 16 насадок, пинцет прямой, пинцет изогнутый)</t>
  </si>
  <si>
    <t>Набор отверток Baku BK-3020, (Ручка+20 насадок)</t>
  </si>
  <si>
    <t>Набор отверток Baku BK-3035, (Ручка+30 насадок)</t>
  </si>
  <si>
    <t>Набор отверток Baku BK-312 12шт.</t>
  </si>
  <si>
    <t>Набор отверток Baku BK-5530 (T4*25mm, T5*22mm, T6*25mm, 1.5*25mm, 0.8*25mm )</t>
  </si>
  <si>
    <t>Набор отверток Baku BK-6108, Т3, Т4, Т5, T6, +1.5, +1.2, *0.8, -1.5</t>
  </si>
  <si>
    <t>Набор отверток Baku BK-7275, 5 in 1, (5 насадок: *T4, T5, T6, *0.8, +1.5)</t>
  </si>
  <si>
    <t>Набор отверток Baku BK-7276, 6 насадок (+1.5, Y0.6, *0.8), телескопическая ручка</t>
  </si>
  <si>
    <t>Набор отверток Baku-3310 для iPhone (2отвертки: *0.8, +1.2)</t>
  </si>
  <si>
    <t>Набор отвёрток Kaisi K5222 (7 в одном)</t>
  </si>
  <si>
    <t>Набор отверток Relife RL-728A, (5 отверток: +1.5, T1, +2.5, *0.8, Y0.6), для разборки смартфонов</t>
  </si>
  <si>
    <t>Набор отверток Relife RL-728B, (5 отверток: *0.8, +1.2, T3, T5, T8), для разборки ноутбуков</t>
  </si>
  <si>
    <t>Набор отверток Sunshine SS-5106, 8 in 1, (4 отвертки: +2.5, +1.3, *0.8, Y0.6, скальпель, пластиковый открыватель)</t>
  </si>
  <si>
    <t>Набор отверток Sunshine SS-5111, 8 in 1, (6 отверток: H2.5, +1.5, *T2, *0.8, Y0.6, скальпель, пинцет)</t>
  </si>
  <si>
    <t>Набор отверток Sunshine SS-5116, 26 in 1, (Ручка, 18 насадок, пинцет прямой)</t>
  </si>
  <si>
    <t>Набор отверток Sunshine SS-5118, 25 in 1, (Ручка, 24 насадки)</t>
  </si>
  <si>
    <t>Набор отвёрток Ya Xun YX-8185</t>
  </si>
  <si>
    <t>Набор отверток YAXUN YX-8181 для iPhone 7, iPhone 7 Plus, iWatch, (6 в 1)</t>
  </si>
  <si>
    <t>Набор отверток YAXUN YX-8184 для iPhone 7 (+1.2 / Y0.6 / *0.8) (5 в 1)</t>
  </si>
  <si>
    <t>Отвертки</t>
  </si>
  <si>
    <t>Отвёртка Baku 355 (*0.8)</t>
  </si>
  <si>
    <t>Отвёртка Baku 355 (+1.5)</t>
  </si>
  <si>
    <t>Отвёртка Baku 355 (Y 0.6)</t>
  </si>
  <si>
    <t>Отвёртка Kaisi (*0.8)</t>
  </si>
  <si>
    <t>Отвёртка Kaisi (+1.5)</t>
  </si>
  <si>
    <t>Отвёртка Kaisi (Y 0.6), для iPhone 7, iPhone 7 Plus, iWatch</t>
  </si>
  <si>
    <t>Отвёртка Mechanic Max 8, (+1.2)</t>
  </si>
  <si>
    <t>Отвёртка Mechanic Max 8, (+1.5)</t>
  </si>
  <si>
    <t>Отвёртка Mechanic Max 8, (+2.5)</t>
  </si>
  <si>
    <t>Отвёртка Mechanic Max 8, (Y0.6)</t>
  </si>
  <si>
    <t>Отвёртка Mechanic Max 8, (☆0.8)</t>
  </si>
  <si>
    <t>Отвёртка Relife RL-721, *0,8</t>
  </si>
  <si>
    <t>Отвёртка Relife RL-721, +1.5</t>
  </si>
  <si>
    <t>Отвёртка Relife RL-721, Y0,6</t>
  </si>
  <si>
    <t>Отвёртка Relife RL-728 2D, *0,8</t>
  </si>
  <si>
    <t>Отвёртка Relife RL-728 2D, *1,2</t>
  </si>
  <si>
    <t>Отвёртка Relife RL-728 2D, +1.5</t>
  </si>
  <si>
    <t>Отвёртка Relife RL-728 2D, +2.5</t>
  </si>
  <si>
    <t>Отвёртка Relife RL-728 2D, Y0,6</t>
  </si>
  <si>
    <t>Отвёртка Sunshine SS-719 (T3)</t>
  </si>
  <si>
    <t>Отвёртка Sunshine SS-719, *0.8</t>
  </si>
  <si>
    <t>Отвёртка Sunshine SS-719, +1.5</t>
  </si>
  <si>
    <t>Отвёртка Sunshine SS-719, Y0.6</t>
  </si>
  <si>
    <t>Отвёртка Ya Xun YX-11 (Y 0.6) для iPhone 7, iPhone 7 Plus, iWatch</t>
  </si>
  <si>
    <t>Отвёртка Yaxun YX-11 (*0.8)</t>
  </si>
  <si>
    <t>Отвёртка Yaxun YX-11 (+1.5)</t>
  </si>
  <si>
    <t>Отвёртка Yaxun YX-11 (T2)</t>
  </si>
  <si>
    <t>Отвёртка Yaxun YX-11 (T6)</t>
  </si>
  <si>
    <t>Электрическая отверткка Sunshine SD-18E (14 насадок)</t>
  </si>
  <si>
    <t>Пинцеты для ремонта телефонов</t>
  </si>
  <si>
    <t>Пинцет BAKU 7-sa U.R, изогнутый</t>
  </si>
  <si>
    <t>Пинцет BAKU 7a-16, изогнутый, тонкий</t>
  </si>
  <si>
    <t>Пинцет BAKU A8 7-sa изогнутый, немагнитный</t>
  </si>
  <si>
    <t>Пинцет BAKU A8 SS-sa прямой, немагнитный</t>
  </si>
  <si>
    <t>Пинцет BAKU i7 72MZ прямой, антистатический с керамическими наконечниками</t>
  </si>
  <si>
    <t>Пинцет BAKU V9 7-sa изогнутый, немагнитный (перфорированый)</t>
  </si>
  <si>
    <t>Пинцет BAKU V9 AA-sa прямой, немагнитный (перфорированый)</t>
  </si>
  <si>
    <t>Пинцет Mechanic SAK-15, изогнутый, перфорированый</t>
  </si>
  <si>
    <t>Пинцет Mechanic Ti-11, прямой, ультра-тонкий наконечник, титановый сплав</t>
  </si>
  <si>
    <t>Пинцет Mechanic Ti-15, изогнутый, ультра-тонкий наконечник, титановый сплав</t>
  </si>
  <si>
    <t>Пинцет Relife RT-11E, прямой, антистатический с керамическими наконечниками</t>
  </si>
  <si>
    <t>Пинцет Relife RT-15E, изогнутый, антистатический с керамическими наконечниками</t>
  </si>
  <si>
    <t>Пинцет TS-11 прямой</t>
  </si>
  <si>
    <t>Пинцет TS-15 загнут</t>
  </si>
  <si>
    <t>Скальпели для ремонта телефонов</t>
  </si>
  <si>
    <t>Нож-скальпель для открывания iPod, iPad, iPhone YX-3B</t>
  </si>
  <si>
    <t>Скальпель + насадки 10шт.</t>
  </si>
  <si>
    <t>Скальпель со сменными лезвиями 6in1 Hobby Knife Set</t>
  </si>
  <si>
    <t>Универсальные наборы инструментов для ремонта и чистки мобильных телефонов</t>
  </si>
  <si>
    <t>Набор универсальный BK-7283 (шпатель для пасты BGA; щетка для плат, карандаш для плат и микросхем; нож)</t>
  </si>
  <si>
    <t>Спреи для очистки</t>
  </si>
  <si>
    <t>Спрей для очистки плат Contact Cleaner 530 (550мл)</t>
  </si>
  <si>
    <t>Спрей для очистки плат YX-538, на основе спирта, 315ml.</t>
  </si>
  <si>
    <t>Спрей для очистки плат YX-539, на основе спирта, 140ml.</t>
  </si>
  <si>
    <t>Трафареты BGA</t>
  </si>
  <si>
    <t>Межплатный трафарет / платформа Qianli (3 в 1) для распайки и реболла iPhone 11/11 Pro/11 Pro Max</t>
  </si>
  <si>
    <t>Межплатный трафарет / платформа Qianli (3 в 1) для распайки и реболла iPhone X/XS/XS Max</t>
  </si>
  <si>
    <t>Межплатный трафарет / платформа Qianli (4 в 1) для распайки и реболла iPhone 12/12 Pro/12 Pro Max/12 Mini</t>
  </si>
  <si>
    <t>Трафарет 3D Mechanic S40-A10, для iPhone 7, iPhone 7 Plus</t>
  </si>
  <si>
    <t>Трафарет 3D Mechanic S40-A11, для iPhone 8, iPhone 8 Plus, iPhone X</t>
  </si>
  <si>
    <t>Трафарет 3D Mechanic S40-A12, для iPhone XS, iPhone XS Max, iPhone XR</t>
  </si>
  <si>
    <t>Трафарет 3D Mechanic S40-A8, для iPhone 6, iPhone 6 Plus</t>
  </si>
  <si>
    <t>Трафарет A00 (HTC)</t>
  </si>
  <si>
    <t>Трафарет A112</t>
  </si>
  <si>
    <t>Трафарет A113</t>
  </si>
  <si>
    <t>Трафарет A115</t>
  </si>
  <si>
    <t>Трафарет B461 (Samsung I9000; I9100)</t>
  </si>
  <si>
    <t>Трафарет B462</t>
  </si>
  <si>
    <t>Трафарет BGA iPhone 7</t>
  </si>
  <si>
    <t>Трафарет BGA iPhone 7 Plus</t>
  </si>
  <si>
    <t>Трафарет BGA iPhone 8</t>
  </si>
  <si>
    <t>Трафарет BGA iPhone 8 Plus</t>
  </si>
  <si>
    <t>Трафарет BGA iPhone X</t>
  </si>
  <si>
    <t>Трафарет BGA Samsung G920 Galaxy S6</t>
  </si>
  <si>
    <t>Трафарет BGA Samsung G925 Galaxy S6 Edge</t>
  </si>
  <si>
    <t>Трафарет BGA Samsung G930 Galaxy S7</t>
  </si>
  <si>
    <t>Трафарет BGA Samsung N900 Galaxy Note 4</t>
  </si>
  <si>
    <t>Трафарет BGA Samsung N920 Galaxy Note 5</t>
  </si>
  <si>
    <t>Трафарет BGA Samsung N950 Galaxy Note 8</t>
  </si>
  <si>
    <t>Трафарет iPhone 3GS</t>
  </si>
  <si>
    <t>Трафарет iPhone 6</t>
  </si>
  <si>
    <t>Трафарет iPhone 6 Plus</t>
  </si>
  <si>
    <t>Трафарет iPhone 6S Plus</t>
  </si>
  <si>
    <t>Трафарет Nokia C,N series</t>
  </si>
  <si>
    <t>Трафарет Qualcomm CPU (A10 | A20)</t>
  </si>
  <si>
    <t>Трафарет Relife RL-044 IPZ5, для iPhone XR, iPhone XS, iPhone XS Max, (CPU A12), толщина: 0.12 мм</t>
  </si>
  <si>
    <t>Трафарет Relife RL-044 IPZ6, для iPhone 11, iPhone 11 Pro, iPhone 11 Pro Max, (CPU A13), толщина: 0.12 мм</t>
  </si>
  <si>
    <t>Трафарет Relife RL-044 IPZ7, для iPhone 12, iPhone 12 Pro, iPhone 12 Pro Max, 12 Mini, (CPU A14), толщина: 0.12 мм</t>
  </si>
  <si>
    <t>Трафарет Relife RL-044 IPZ8, для iPhone 13, iPhone 13 Pro, iPhone 13 Pro Max, 13 Mini, (CPU A15), толщина: 0.12 мм</t>
  </si>
  <si>
    <t>Трафарет Relife RL-044 OT2 EMMC/EMCP/NAND</t>
  </si>
  <si>
    <t>Трафарет Relife RL-044, Universal, под микросхемы с шагом 0.3 мм, 0.35 мм, 0.4 мм 0,5 мм</t>
  </si>
  <si>
    <t>Трафарет UNIVERSAL (0.3 - 1.27)</t>
  </si>
  <si>
    <t>Трафарет UNIVERSAL Vip12 (Mother board)</t>
  </si>
  <si>
    <t>Рации</t>
  </si>
  <si>
    <t>Аккумулятор PMNN4544A для рации Motorola серии DP4000, DP4800, DP4801, DP4600, DP4601, DP4400, DP4401, DP4801, (с клипсой), 3000 mAh</t>
  </si>
  <si>
    <t>Антенна тактическая (47 см.) для рации Motorola серии DP4000, DP4800, DP4801, DP4600, DP4601, DP4400, DP4401, DP4801</t>
  </si>
  <si>
    <t>Антенна тактическая (72 см.), 136-520 MHz, 8W, для рации Motorola серии DP4000, DP4800, DP4801, DP4600, DP4601, DP4400, DP4401, DP4801</t>
  </si>
  <si>
    <t>Зарядная станция Motorola DZC-6D, для одновременной зарядки 6 аккумуляторов серии DP</t>
  </si>
  <si>
    <t>Рация Motorola DP4400e VHF 136-174 МГц, 5W не прошивається</t>
  </si>
  <si>
    <t>Рация Motorola DP4800e VHF 136-174 МГц, 5W</t>
  </si>
  <si>
    <t>Робототехника</t>
  </si>
  <si>
    <t>Робото-пес UniTree Go2 AIR</t>
  </si>
  <si>
    <t>Робото-пес UniTree Go2 PRO</t>
  </si>
  <si>
    <t>Универсальные аккумуляторы</t>
  </si>
  <si>
    <t>Аккумулятор 18650</t>
  </si>
  <si>
    <t>Аккумулятор DMEGC INR18650-26E, 2600 mAh, 3.7 V, ток рaзряда (max) - 15A (3C)</t>
  </si>
  <si>
    <t>Аккумулятор Eve ICR18650-26V, 2600 mAh, 3.7 V, ток разряда (max) - 7.5A</t>
  </si>
  <si>
    <t>Аккумулятор FEB 18650, 2600 mAh, 3.6 / 4.2 V, ток разряда (max): 10.4A</t>
  </si>
  <si>
    <t>Аккумулятор INR18650S, 2500 mAh, 3.6 V, 9 Wh, сопротивление 17-20 мОм</t>
  </si>
  <si>
    <t>Аккумулятор Lishen LR1865SK, 2600 mAh, 3.7 V, ток рaзряда (max): 5A, 18650</t>
  </si>
  <si>
    <t>Аккумулятор Lishen LR1865SS, 3000mAh, 3.7 V, (max) - 6A, 18650</t>
  </si>
  <si>
    <t>Аккумулятор Lishen LR1865SZ, 2000 mAh, 3.7 V, ток рaзряда (max) - 20A, 18650</t>
  </si>
  <si>
    <t>Аккумулятор Sinowatt SW18650-34MP, 3400 mAh, 3.6 V, ток рaзряда (max) - 9.75A</t>
  </si>
  <si>
    <t>Аккумулятор Tenpower ICR18650, 2600 mAh, 3.7 V, ток рaзряда (max): 10A, 18650</t>
  </si>
  <si>
    <t>Аккумулятор TerraE INR 18650 30E, 3000 mAh, 6A</t>
  </si>
  <si>
    <t>Аккумулятор высокотоковый Lishen LR1865SZ, 2600 mAh, 18650</t>
  </si>
  <si>
    <t>Аккумулятор 21700</t>
  </si>
  <si>
    <t>Аккумулятор EVE INR21700-50E, 5000 mAh, ток розряда: 15A, 21700</t>
  </si>
  <si>
    <t>Аккумулятор Lishen LR2170SD, 5000 mAh, ток розряда - 10A, 21700</t>
  </si>
  <si>
    <t>Аккумулятор высокотоковый EVE INR21700-40P, 4000 mAh, ток розряда: 50A, 21700</t>
  </si>
  <si>
    <t>Аккумулятор высокотоковый Lishen LR2170LA, 4000 mAh, ток розряда Max: 45A, 21700</t>
  </si>
  <si>
    <t>Аккумулятор высокотоковый Molicel INR-21700-P42A, 4200 mAh, ток розряда: 45A, 21700</t>
  </si>
  <si>
    <t>Аккумулятор высокотоковый Molicel INR-21700-P50B, 5000 mAh, ток розряда: 60A, 21700</t>
  </si>
  <si>
    <t>Аккумулятор высокотоковый Samsung INR21700-40T, 4000 mAh, ток розряда (max): 45A</t>
  </si>
  <si>
    <t>Аккумулятор высокотоковый Samsung INR21700-50S, 5000 mAh, ток розряда (max): 45A</t>
  </si>
  <si>
    <t>Аккумулятор высокотоковый Sunpower INR21700-4000, 4000 mAh, ток розряда (max): 30A, 21700</t>
  </si>
  <si>
    <t>Аккумулятор литий-титанат LTO</t>
  </si>
  <si>
    <t>Аккумулятор литий-титанатный 66160, LTO, 40A, 2.3 V</t>
  </si>
  <si>
    <t>Аккумуляторы LiFePo4</t>
  </si>
  <si>
    <t>Аккумулятор EVE IFR33140 C33, LiFePo4, 3.2V, 45 А, 33140</t>
  </si>
  <si>
    <t>Аккумулятор Headway 38120 HP, LiFePo4, 3.2V, 10Ah</t>
  </si>
  <si>
    <t>Корпуса универсальные под аккумулятор</t>
  </si>
  <si>
    <t>Корпус универсальный под аккумулятор 12V es12-100ah</t>
  </si>
  <si>
    <t>Корпус универсальный под аккумулятор 12V es12-12d</t>
  </si>
  <si>
    <t>Корпус универсальный под аккумулятор 12V es12-20b</t>
  </si>
  <si>
    <t>Корпус универсальный под аккумулятор 12V es12-33c</t>
  </si>
  <si>
    <t>Корпус универсальный под аккумулятор 12V es12-33D</t>
  </si>
  <si>
    <t>Корпус универсальный под аккумулятор 12V es12-4</t>
  </si>
  <si>
    <t>Корпус универсальный под аккумулятор 12V es12-40</t>
  </si>
  <si>
    <t>Корпус универсальный под аккумулятор 12V es12-45ah</t>
  </si>
  <si>
    <t>Корпус универсальный под аккумулятор 12V es12-7D</t>
  </si>
  <si>
    <t>Оборудование для сварки аккумуляторов</t>
  </si>
  <si>
    <t>Аппарат контактной точечной сварки GLITTER 801A+, для АКБ 18650, 11.6 kWh</t>
  </si>
  <si>
    <t>Аппарат контактной точечной сварки GLITTER 801A, для АКБ 18650, 9.9 kWh</t>
  </si>
  <si>
    <t>Аппарат контактной точечной сварки GLITTER 801B, для АКБ 18650, 21700, 11.6 kWh</t>
  </si>
  <si>
    <t>Аппарат контактной точечной сварки GLITTER 801D, для АКБ 18650, 21700, 12 kWh</t>
  </si>
  <si>
    <t>Аппарат контактной точечной сварки GLITTER 801H, для АКБ 18650, 19.8 kWh</t>
  </si>
  <si>
    <t>Аппарат контактной точечной сварки GLITTER 811A, для АКБ 18650, 36 kWh</t>
  </si>
  <si>
    <t>Аппарат контактной точечной сварки GLITTER 812A, с паяльником, для АКБ 18650, 21700, 12 kWh</t>
  </si>
  <si>
    <t>Аппарат контактной точечной сварки Sunkko 709 Plus, с паяльником, для АКБ 18650, 21700, 4300 Wh</t>
  </si>
  <si>
    <t>Аппарат контактной точечной сварки Sunkko 709A, для АКБ 18650, 3000 Wh</t>
  </si>
  <si>
    <t>Аппарат контактной точечной сварки Sunkko 737DH, для АКБ 18650, 21700, 4300 Wh</t>
  </si>
  <si>
    <t>Аппарат контактной точечной сварки Sunkko 737G, для АКБ 18650, 800A, 1500 Wh</t>
  </si>
  <si>
    <t>Аппарат контактной точечной сварки Sunkko 769D, для АКБ 18650, 3200 Wh</t>
  </si>
  <si>
    <t>Аппарат контактной точечной сварки Sunkko 787A+, с блоком питания 15V 2A, для АКБ 18650, 21700, 2800 Wh</t>
  </si>
  <si>
    <t>Аппарат контактной точечной сварки Sunkko 788H USB, с блоком питания 36V 2A, для АКБ 18650, 21700, 2800 Wh</t>
  </si>
  <si>
    <t>Аппарат контактной точечной сварки Sunkko 788H, с блоком питания 36V 2A, для АКБ 18650, 21700, 2800 Wh</t>
  </si>
  <si>
    <t>Платы для балансировки аккумуляторов</t>
  </si>
  <si>
    <t>Плата балансировки аккумулятора (эквалайзер) SUNKKO BAL-24S-1.2A, 24S, 1.2A</t>
  </si>
  <si>
    <t>Плата балансировки аккумулятора (эквалайзер) SUNKKO BAL-813, 13S, 8A</t>
  </si>
  <si>
    <t>Плата балансировки аккумулятора (эквалайзер) SUNKKO BAL-824, 24S, 8A</t>
  </si>
  <si>
    <t>Платы защиты аккумуляторов BMS</t>
  </si>
  <si>
    <t>Плата BMS DaLy, Li-ion, 12V, 3S, 100A, (симетрия, влагозащитная, с балансиром)</t>
  </si>
  <si>
    <t>Плата BMS DaLy, Li-ion, 12V, 3S, 100A, с вентилятором, (симетрия, влагозащитная, с балансиром)</t>
  </si>
  <si>
    <t>Плата BMS DaLy, Li-ion, 12V, 3S, 20A, (симетрия, влагозащитная, с балансиром)</t>
  </si>
  <si>
    <t>Плата BMS DaLy, Li-ion, 12V, 3S, 40A, (симетрия, влагозащитная, с балансиром)</t>
  </si>
  <si>
    <t>Плата BMS DaLy, Li-ion, 12V, 3S, 60A, (симетрия, влагозащитная, с балансиром)</t>
  </si>
  <si>
    <t>Плата BMS DaLy, Li-ion, 12V, 4S, 100A, (симетрия, влагозащитная, с балансиром)</t>
  </si>
  <si>
    <t>Плата BMS DaLy, Li-ion, 12V, 4S, 100A, с вентилятором, (симетрия, влагозащитная, с балансиром)</t>
  </si>
  <si>
    <t>Плата BMS DaLy, Li-ion, 12V, 4S, 20A, (симетрия, влагозащитная, с балансиром)</t>
  </si>
  <si>
    <t>Плата BMS DaLy, Li-ion, 12V, 4S, 40A, (симетрия, влагозащитная, с балансиром)</t>
  </si>
  <si>
    <t>Плата BMS DaLy, Li-ion, 12V, 4S, 60A, (симетрия, влагозащитная, с балансиром)</t>
  </si>
  <si>
    <t>Плата BMS DaLy, Li-ion, 24V, 6S, 20A, (симетрия, влагозащитная, с балансиром)</t>
  </si>
  <si>
    <t>Плата BMS DaLy, Li-ion, 24V, 6S, 30A, (симетрия, влагозащитная, с балансиром)</t>
  </si>
  <si>
    <t>Плата BMS DaLy, Li-ion, 24V, 7S, 20A, (симетрия, влагозащитная, с балансиром)</t>
  </si>
  <si>
    <t>Плата BMS DaLy, Li-ion, 24V, 7S, 30A, (симетрия, влагозащитная, с балансиром)</t>
  </si>
  <si>
    <t>Плата BMS DaLy, Li-ion, 36V, 10S, 30A, (симетрия, влагозащитная, с балансиром)</t>
  </si>
  <si>
    <t>Плата BMS DaLy, Li-ion, 36V, 10S, 50A, (симетрия, влагозащитная, с балансиром)</t>
  </si>
  <si>
    <t>Плата BMS DaLy, Li-ion, 48V, 13S, 30A, (симетрия, влагозащитная, с балансиром)</t>
  </si>
  <si>
    <t>Плата BMS DaLy, Li-ion, 48V, 13S, 50A, (симетрия, влагозащитная, с балансиром)</t>
  </si>
  <si>
    <t>Плата BMS DaLy, Li-ion, 48V, 14S, 30A, (симетрия, влагозащитная, с балансиром)</t>
  </si>
  <si>
    <t>Плата BMS DaLy, Li-ion, 48V, 14S, 50A, (симетрия, влагозащитная, с балансиром)</t>
  </si>
  <si>
    <t>Плата BMS DaLy, Li-ion, 60V, 16S, 30A, (симетрия, влагозащитная, с балансиром)</t>
  </si>
  <si>
    <t>Плата BMS DaLy, Li-ion, 60V, 16S, 60A, (симетрия, влагозащитная, с балансиром)</t>
  </si>
  <si>
    <t>Плата BMS DaLy, Li-ion, 60V, 17S, 30A, (симетрия, влагозащитная, с балансиром)</t>
  </si>
  <si>
    <t>Плата BMS DaLy, Li-ion, 60V, 17S, 60A, (симетрия, влагозащитная, с балансиром)</t>
  </si>
  <si>
    <t>Плата BMS DaLy, Li-ion, 72V, 20S, 40A, (симетрия, влагозащитная, с балансиром)</t>
  </si>
  <si>
    <t>Плата BMS DaLy, Li-ion, 72V, 20S, 60A, (симетрия, влагозащитная, с балансиром)</t>
  </si>
  <si>
    <t>Плата BMS DaLy, Li-ion, 72V, 21S, 40A, (симетрия, влагозащитная, с балансиром)</t>
  </si>
  <si>
    <t>Плата BMS DaLy, Li-ion, 72V, 21S, 60A, (симетрия, влагозащитная, с балансиром)</t>
  </si>
  <si>
    <t>Плата BMS DaLy, LiFePo4, 12V, 4S, 100A, (симетрия, влагозащитная, с балансиром)</t>
  </si>
  <si>
    <t>Плата BMS DaLy, LiFePo4, 12V, 4S, 100A, с вентилятором, (симетрия, влагозащитная, с балансиром)</t>
  </si>
  <si>
    <t>Плата BMS DaLy, LiFePo4, 12V, 4S, 20A, (симетрия, влагозащитная, с балансиром)</t>
  </si>
  <si>
    <t>Плата BMS DaLy, LiFePo4, 12V, 4S, 40A, (симетрия, влагозащитная, с балансиром)</t>
  </si>
  <si>
    <t>Плата BMS DaLy, LiFePo4, 12V, 4S, 60A, (симетрия, влагозащитная, с балансиром)</t>
  </si>
  <si>
    <t>Плата BMS DaLy, LiFePo4, 24V, 8S, 20A, (симетрия, влагозащитная, с балансиром)</t>
  </si>
  <si>
    <t>Плата BMS DaLy, LiFePo4, 24V, 8S, 30A, (симетрия, влагозащитная, с балансиром)</t>
  </si>
  <si>
    <t>Плата BMS DaLy, LiFePo4, 36V, 12S, 30A, (симетрия, влагозащитная, с балансиром)</t>
  </si>
  <si>
    <t>Плата BMS DaLy, LiFePo4, 36V, 12S, 50A, (симетрия, влагозащитная, с балансиром)</t>
  </si>
  <si>
    <t>Плата BMS DaLy, LiFePo4, 48V, 15S, 30A, (симетрия, влагозащитная, с балансиром)</t>
  </si>
  <si>
    <t>Плата BMS DaLy, LiFePo4, 48V, 15S, 50A, (симетрия, влагозащитная, с балансиром)</t>
  </si>
  <si>
    <t>Плата BMS DaLy, LiFePo4, 48V, 16S, 120A, (симетрия, влагозащитная, с балансиром)</t>
  </si>
  <si>
    <t>Плата BMS DaLy, LiFePo4, 48V, 16S, 30A, (симетрия, влагозащитная, с балансиром)</t>
  </si>
  <si>
    <t>Плата BMS DaLy, LiFePo4, 48V, 16S, 50A, (симетрия, влагозащитная, с балансиром)</t>
  </si>
  <si>
    <t>Плата BMS DaLy, LiFePo4, 60V, 20S, 30A, (симетрия, влагозащитная, с балансиром)</t>
  </si>
  <si>
    <t>Плата BMS DaLy, LiFePo4, 60V, 20S, 60A, (симетрия, влагозащитная, с балансиром)</t>
  </si>
  <si>
    <t>Плата BMS DaLy, LiFePo4, 72V, 24S, 40A, (симетрия, влагозащитная, с балансиром)</t>
  </si>
  <si>
    <t>Плата BMS DaLy, LiFePo4, 72V, 24S, 60A, (симетрия, влагозащитная, с балансиром)</t>
  </si>
  <si>
    <t>Плата BMS Smart (Bluetooth) DaLy, Li-ion, 12V, 3S, 100A, (симетрия, влагозащитная, с балансиром), UART, Bluetooth, кнопка включения</t>
  </si>
  <si>
    <t>Плата BMS Smart (Bluetooth) DaLy, Li-ion, 12V, 4S, 100A, (симетрия, влагозащитная, с балансиром), UART, Bluetooth, кнопка включения</t>
  </si>
  <si>
    <t>Плата BMS Smart (Bluetooth) DaLy, Li-ion, 12V, 4S, 60A, (симетрия, влагозащитная, с балансиром), UART, Bluetooth, кнопка включения</t>
  </si>
  <si>
    <t>Плата BMS Smart (Bluetooth) DaLy, Li-ion, 48V, 14S, 50A, (симетрия, влагозащитная, с балансиром), UART, Bluetooth, кнопка включения</t>
  </si>
  <si>
    <t>Плата BMS Smart (Bluetooth) DaLy, Li-ion, 60V, 16S, 60A, (симетрия, влагозащитная, с балансиром), UART, Bluetooth, кнопка включения</t>
  </si>
  <si>
    <t>Плата BMS Smart (Bluetooth) DaLy, Li-ion, 72V, 20S, 60A, (симетрия, влагозащитная, с балансиром), UART, Bluetooth, кнопка включения</t>
  </si>
  <si>
    <t>Плата BMS Smart (Bluetooth) DaLy, LiFePo4, 12V, 4S, 100A, (симетрия, влагозащитная, с балансиром), UART, Bluetooth, кнопка включения</t>
  </si>
  <si>
    <t>Плата BMS Smart (Bluetooth) DaLy, LiFePo4, 12V, 4S, 250A, (симетрия, влагозащитная, с балансиром), UART, Bluetooth, кнопка включения</t>
  </si>
  <si>
    <t>Плата BMS Smart (Bluetooth) DaLy, LiFePo4, 48V, 16S, 300A, (симетрия, влагозащитная, с балансиром), UART, Bluetooth, кнопка включения</t>
  </si>
  <si>
    <t>Плата BMS Smart (Bluetooth) DaLy, LiFePo4, 48V, 16S, 50A, (симетрия, влагозащитная, с балансиром), UART, Bluetooth, кнопка включения</t>
  </si>
  <si>
    <t>Плата BMS Smart (Bluetooth) DaLy, LiFePo4, 60V, 20S, 60A, (симетрия, влагозащитная, с балансиром), UART, Bluetooth, кнопка включения</t>
  </si>
  <si>
    <t>Плата BMS Smart (Bluetooth) DaLy, LiFePo4, 72V, 24S, 60A, (симетрия, влагозащитная, с балансиром), UART, Bluetooth, кнопка включения</t>
  </si>
  <si>
    <t>Плата BMS, Li-ion, 12V, 3S, 40A, (с балансиром)</t>
  </si>
  <si>
    <t>Плата BMS, Li-ion, 36V, 10S, 30A, (симметрия, с балансиром)</t>
  </si>
  <si>
    <t>Плата BMS, Li-ion, 48V, 13S, 30A (50A Max), с балансиром</t>
  </si>
  <si>
    <t>Плата BMS, Li-ion, 48V, 13S, 30A (50A Max), симметрична, с балансиром</t>
  </si>
  <si>
    <t>Плата BMS, Li-ion, 48V, 13S, 60A, (с балансиром)</t>
  </si>
  <si>
    <t>Плата BMS, Li-ion, 60V, 16S, 60A, (с балансиром)</t>
  </si>
  <si>
    <t>Плата BMS, Li-ion, 72V, 20S, 45A (90A Max), (симметрия, с балансиром)</t>
  </si>
  <si>
    <t>BMS платы JiKong</t>
  </si>
  <si>
    <t>Дисплей LCD JK BMS (LCD-2.0-RS485), 2.0, с кнопкой активации</t>
  </si>
  <si>
    <t>Дисплей сенсорный LCD JK BMS 4.3, с кнопкой активации</t>
  </si>
  <si>
    <t>Кнопка активации JK BMS (Jikong), 50см, с разъемом, LED подсветка</t>
  </si>
  <si>
    <t>Плата BMS JiKong JK-B1A8S10P, Li-ion/LiFePO4/LTO, 4-8S, 100A, Bluetooth, Ток балансировки - 1A</t>
  </si>
  <si>
    <t>Плата BMS JiKong JK-B1A8S20P, Li-ion/LiFePO4/LTO, 4-8S, 200A, Bluetooth, Ток балансировки - 1A</t>
  </si>
  <si>
    <t>Плата BMS JiKong JK-B2A20S20P, Li-ion/LiFePO4/LTO, 8-20S, 200A, Bluetooth, Ток балансировки - 2A</t>
  </si>
  <si>
    <t>Плата BMS JiKong JK-B2A8S20P, Li-ion/LiFePO4/LTO, 4-8S, 200A, Bluetooth, Ток балансировки - 2A</t>
  </si>
  <si>
    <t>Плата BMS JiKong JK-BD4A17S4P, Li-ion/LiFePO4/LTO, 8-17S, 40A, Bluetooth, Ток балансировки - 0.4A</t>
  </si>
  <si>
    <t>Плата BMS JiKong JK-BD4A24S10P, Li-ion/LiFePO4/LTO, 7-24S, 100A, Bluetooth, Ток балансировки - 0.4A</t>
  </si>
  <si>
    <t>Плата BMS JiKong JK-BD4A24S4P, Li-ion/LiFePO4/LTO, 8-24S, 40A, Bluetooth, Ток балансировки - 0.4A</t>
  </si>
  <si>
    <t>Плата BMS JiKong JK-BD6A17S6P, Li-ion/LiFePO4/LTO, 7-17S, 60A, Bluetooth</t>
  </si>
  <si>
    <t>Плата BMS JiKong JK-BD6A24S10P, Li-ion/LiFePO4/LTO, 8-24S, 100A, Bluetooth, Ток балансировки - 0.6A</t>
  </si>
  <si>
    <t>Плата BMS JiKong JK-BD6A24S15P, Li-ion/LiFePO4/LTO, 8-24S, 150A, Bluetooth, Ток балансировки - 0.6A</t>
  </si>
  <si>
    <t>Плата BMS JiKong JK-BD6A24S6P, Li-ion/LiFePO4/LTO, 8-24S, 60A, Bluetooth, Ток балансировки - 0.6A</t>
  </si>
  <si>
    <t>Плата BMS JiKong JK-BD6A24S8P, Li-ion/LiFePO4/LTO, 8-24S, 80A, Bluetooth, Ток балансировки - 0.6A</t>
  </si>
  <si>
    <t>Расходные материалы для для аккумуляторных сборок</t>
  </si>
  <si>
    <t>Медная лента для точечной сварки аккумуляторов 18650, 21700, 10 мм x 0.15 мм, 10 метров</t>
  </si>
  <si>
    <t>Медная лента для точечной сварки аккумуляторов 18650, 21700, 10 мм x 0.20 мм, 10 метров</t>
  </si>
  <si>
    <t>Изоляционные прокладки</t>
  </si>
  <si>
    <t>Изоляционная прокладка для аккумуляторов 18650 ( лист 100 шт )</t>
  </si>
  <si>
    <t>Изоляционная прокладка для аккумуляторов 21700 ( лист 56 шт )</t>
  </si>
  <si>
    <t>Изоляционный картон</t>
  </si>
  <si>
    <t>Картон изоляционный клеящийся 0.27 мм х 100 мм, 1 метр</t>
  </si>
  <si>
    <t>Картон изоляционный клеящийся 0.27 мм х 130 мм, 1 метр</t>
  </si>
  <si>
    <t>Картон изоляционный клеящийся 0.27 мм х 50 мм, 1 метр</t>
  </si>
  <si>
    <t>Картон изоляционный клеящийся 0.27 мм х 60 мм, 1 метр</t>
  </si>
  <si>
    <t>Картон изоляционный клеящийся 0.27 мм х 70 мм, 1 метр</t>
  </si>
  <si>
    <t>Каптоновый скотч</t>
  </si>
  <si>
    <t>Каптоновый скотч 20mm (33м)</t>
  </si>
  <si>
    <t>Каптоновый скотч 50mm (33м)</t>
  </si>
  <si>
    <t>Никелевая лента</t>
  </si>
  <si>
    <t>Никелевая лента двойная для точечной сварки аккумуляторов 18650, 25.5 мм x 18.5 мм, 1 метр</t>
  </si>
  <si>
    <t>Никелевая лента двойная для точечной сварки аккумуляторов 18650, 25.5 мм x 18.5 мм, 10 метров</t>
  </si>
  <si>
    <t>Никелевая лента двойная для точечной сварки аккумуляторов 18650, 27 мм x 20.2 мм, 1 метр</t>
  </si>
  <si>
    <t>Никелевая лента двойная для точечной сварки аккумуляторов 18650, под холдер, 27 мм х 20.2 мм, 10 метров</t>
  </si>
  <si>
    <t>Никелевая лента двойная для точечной сварки аккумуляторов 21700, 30.5 мм х 21.5 мм, 10 метров</t>
  </si>
  <si>
    <t>Никелевая лента двойная для точечной сварки аккумуляторов 21700, под холдер, 25.5 мм x 22.5 мм, 1 метр</t>
  </si>
  <si>
    <t>Никелевая лента двойная для точечной сварки аккумуляторов 21700, под холдер, 30.5 мм х 22.5 мм, 10 метров</t>
  </si>
  <si>
    <t>Никелевая лента двойная косая для точечной сварки аккумуляторов 18650, 23 мм x 18.5 мм, 10 метров</t>
  </si>
  <si>
    <t>Никелевая лента двойная косая для точечной сварки аккумуляторов 21700, 27.7 мм x 21.5 мм, 10 метров</t>
  </si>
  <si>
    <t>Никелевая лента для точечной сварки аккумуляторов 18650, 21700, 8 мм x 0.15 мм, 1 метр, (Ni 99.5%)</t>
  </si>
  <si>
    <t>Никелевая лента для точечной сварки аккумуляторов 18650, 21700, 8 мм x 0.15 мм, 10 метров , (Ni 99.5%)</t>
  </si>
  <si>
    <t>Никелевая лента тройная для точечной сварки аккумуляторов 18650, 43.8 мм х 18.5 мм, 10 метров</t>
  </si>
  <si>
    <t>Никелевая лента тройная для точечной сварки аккумуляторов 18650, под холдер, 47.1 мм х 20.2 мм, 10 метров</t>
  </si>
  <si>
    <t>Никелевая лента тройная для точечной сварки аккумуляторов 21700, 51 мм х 21.5 мм, 10 метров</t>
  </si>
  <si>
    <t>Никелевая лента тройная для точечной сварки аккумуляторов 21700, под холдер, 53 мм х 22.5 мм, 10 метров</t>
  </si>
  <si>
    <t>Никелевая лента тройная косая для точечной сварки аккумуляторов 18650, 39 мм x 18.5 мм, 10 метров</t>
  </si>
  <si>
    <t>Никелевая лента тройная косая для точечной сварки аккумуляторов 21700, 46.4 мм x 21.5 мм, 10 метров</t>
  </si>
  <si>
    <t>Никелевая лента четырехрядная для точечной сварки аккумуляторов 18650, 62.5 мм х 18.5 мм, 10 метров</t>
  </si>
  <si>
    <t>Никелевая лента четырехрядная для точечной сварки аккумуляторов 18650, под холдер, 67.4 мм х 20.2 мм, 10 метров</t>
  </si>
  <si>
    <t>Никелевая лента четырехрядная для точечной сварки аккумуляторов 21700, 72.5 мм х 21.5 мм, 10 метров</t>
  </si>
  <si>
    <t>Никелевая лента четырехрядная для точечной сварки аккумуляторов 21700, под холдер, 75.5 мм х 22.5 мм, 10 метров</t>
  </si>
  <si>
    <t>Никелированная лента</t>
  </si>
  <si>
    <t>Никелированая лента для точечной сварки аккумуляторов 18650, 21700, двойная с просечкой под кронштейн, 25.5мм x 22.2мм, 10м</t>
  </si>
  <si>
    <t>Никелированая лента для точечной сварки аккумуляторов 18650, двойная с просечкой под кронштейн, 25.5мм x 18.5мм, 1м</t>
  </si>
  <si>
    <t>Никелированая лента для точечной сварки аккумуляторов 18650, двойная с просечкой под кронштейн, 25.5мм x 20.2мм, 10м</t>
  </si>
  <si>
    <t>Никелированая лента для точечной сварки аккумуляторов 21700, 0.15 мм x 30.5мм x 21.5 мм, 1м</t>
  </si>
  <si>
    <t>Никелированная стальная лента для точечной сварки аккумуляторов, 6мм x 0.15мм 1м</t>
  </si>
  <si>
    <t>Никелированная стальная лента для точечной сварки аккумуляторов, 8мм x 0.15мм  1 метр</t>
  </si>
  <si>
    <t>Провода AWG</t>
  </si>
  <si>
    <t>Провод силиконовый 10AWG, красный 1м (1050х0,08 мм)</t>
  </si>
  <si>
    <t>Провод силиконовый 10AWG, чёрный 1м (1050х0,08 мм)</t>
  </si>
  <si>
    <t>Провод силиконовый 12 AWG, красный 1 метр (680х0,08 мм)</t>
  </si>
  <si>
    <t>Провод силиконовый 12 AWG, чёрный 1 метр (680х0,08 мм)</t>
  </si>
  <si>
    <t>Провод силиконовый 14AWG, красный 1м (400х0,08 мм)</t>
  </si>
  <si>
    <t>Провод силиконовый 14AWG, чёрный 1м (400х0,08 мм)</t>
  </si>
  <si>
    <t>Провод силиконовый 18AWG, красный 1м (150х0,08 мм)</t>
  </si>
  <si>
    <t>Провод силиконовый 18AWG, чёрный 1м (150х0,08 мм)</t>
  </si>
  <si>
    <t>Провод силиконовый 1AWG, красный 1м (15000х0,08 мм)</t>
  </si>
  <si>
    <t>Провод силиконовый 1AWG, черный 1м (15000х0,08 мм)</t>
  </si>
  <si>
    <t>Провод силиконовый 22AWG, зеленый 1м (60х0,08 мм)</t>
  </si>
  <si>
    <t>Провод силиконовый 22AWG, красный 1м (60х0,08 мм)</t>
  </si>
  <si>
    <t>Провод силиконовый 22AWG, синий 1м (60х0,08 мм)</t>
  </si>
  <si>
    <t>Провод силиконовый 22AWG, чёрный 1м (60х0,08 мм)</t>
  </si>
  <si>
    <t>Провод силиконовый 2AWG, красный 1м (14000х0,08 мм)</t>
  </si>
  <si>
    <t>Провод силиконовый 2AWG, чёрный 1м (14000х0,08 мм)</t>
  </si>
  <si>
    <t>Провод силиконовый 8AWG, красный 1м (1650х0,08 мм)</t>
  </si>
  <si>
    <t>Провод силиконовый 8AWG, чёрный 1м (1650х0,08 мм)</t>
  </si>
  <si>
    <t>Стеклотекстолит</t>
  </si>
  <si>
    <t>Стеклотекстолит ( лист 594 мм x 420 мм x 0.3 мм )</t>
  </si>
  <si>
    <t>Термоусадочная плёнка (18650 и 21700)</t>
  </si>
  <si>
    <t>Термоусадочная плёнка для АКБ 18650</t>
  </si>
  <si>
    <t>Термоусадочная плёнка для АКБ 21700</t>
  </si>
  <si>
    <t>Термоусадочная плёнка (Рукав)</t>
  </si>
  <si>
    <t>Термоусадочная плёнка синяя 110 мм x 0.15 мм, 1 метр</t>
  </si>
  <si>
    <t>Термоусадочная плёнка синяя 130 мм x 0.15 мм, 1 метр</t>
  </si>
  <si>
    <t>Термоусадочная плёнка синяя 140 мм x 0.15 мм, 1 метр</t>
  </si>
  <si>
    <t>Термоусадочная плёнка синяя 150 мм x 0.15 мм, 1 метр</t>
  </si>
  <si>
    <t>Термоусадочная плёнка синяя 155 мм x 0.15 мм, 1 метр</t>
  </si>
  <si>
    <t>Термоусадочная плёнка синяя 180 мм x 0.15 мм, 1 метр</t>
  </si>
  <si>
    <t>Термоусадочная плёнка синяя 200 мм x 0.15 мм, 1 метр</t>
  </si>
  <si>
    <t>Термоусадочная плёнка синяя 250 мм x 0.15 мм, 1 метр</t>
  </si>
  <si>
    <t>Термоусадочная плёнка синяя 280 мм x 0.15 мм, 1 метр</t>
  </si>
  <si>
    <t>Термоусадочная плёнка синяя 30 мм x 0.15 мм, 1 метр</t>
  </si>
  <si>
    <t>Термоусадочная плёнка синяя 300 мм x 0.15 мм, 1 метр</t>
  </si>
  <si>
    <t>Термоусадочная плёнка синяя 350 мм x 0.15 мм, 1 метр</t>
  </si>
  <si>
    <t>Термоусадочная плёнка синяя 50 мм x 0.15 мм, 1 метр</t>
  </si>
  <si>
    <t>Термоусадочная плёнка черная 150 мм x 0.15 мм, 1 метр</t>
  </si>
  <si>
    <t>Термоусадочная плёнка черная 180 мм x 0.15 мм, 1 метр</t>
  </si>
  <si>
    <t>Термоусадочная плёнка черная 200 мм x 0.15 мм, 1 метр</t>
  </si>
  <si>
    <t>Термоусадочная плёнка черная 250 мм x 0.15 мм, 1 метр</t>
  </si>
  <si>
    <t>Термоусадочная плёнка черная 300 мм x 0.15 мм, 1 метр</t>
  </si>
  <si>
    <t>Холдеры (держатели)</t>
  </si>
  <si>
    <t>Холдер (держатель) 1x1 для АКБ 18650</t>
  </si>
  <si>
    <t>Холдер (держатель) 1x2 для АКБ 18650</t>
  </si>
  <si>
    <t>Холдер (держатель) 1x2 для АКБ 21700</t>
  </si>
  <si>
    <t>Холдер (держатель) 1x3 для АКБ 18650</t>
  </si>
  <si>
    <t>Холдер (держатель) 1x3 для АКБ 21700</t>
  </si>
  <si>
    <t>Холдер (держатель) 3x5 для АКБ 18650</t>
  </si>
  <si>
    <t>Холдер (держатель) 4x5 для АКБ 18650</t>
  </si>
  <si>
    <t>Собранные корпуса для аккумуляторов</t>
  </si>
  <si>
    <t>Собранный корпус для аккумулятора 18650 36v SSE-046</t>
  </si>
  <si>
    <t>Собранный корпус для аккумулятора 18650 36v SSE-077</t>
  </si>
  <si>
    <t>Собранный корпус для аккумулятора 18650 36v SSE-086</t>
  </si>
  <si>
    <t>Собранный корпус для аккумулятора 18650 36v SSE-112 G80</t>
  </si>
  <si>
    <t>Собранный корпус для аккумулятора 18650 36v SSE-114 G70</t>
  </si>
  <si>
    <t>Собранный корпус для аккумулятора 18650 48v SSE-046</t>
  </si>
  <si>
    <t>Собранный корпус для аккумулятора 18650 48v SSE-086</t>
  </si>
  <si>
    <t>Собранный корпус для аккумулятора 18650 48v SSE-112 G80</t>
  </si>
  <si>
    <t>Собранный корпус для аккумулятора 18650 48v SSE-114 G70</t>
  </si>
  <si>
    <t>Собранный корпус для аккумулятора 21700 36v SSE-077</t>
  </si>
  <si>
    <t>Собранный корпус для аккумулятора 21700 36v SSE-086</t>
  </si>
  <si>
    <t>Собранный корпус для аккумулятора 21700 36v SSE-112 G80</t>
  </si>
  <si>
    <t>Собранный корпус для аккумулятора 21700 48v SSE-086</t>
  </si>
  <si>
    <t>Собранный корпус для аккумулятора 21700 48v SSE-112 G80</t>
  </si>
  <si>
    <t>Тестер емности аккумуляторов</t>
  </si>
  <si>
    <t>Тестер емности аккумуляторов Sunkko T-681, 5A, 0-55V</t>
  </si>
  <si>
    <t>Тестер емности аккумуляторов Sunkko T-681, 5A, 0-85V</t>
  </si>
  <si>
    <t>Универсальные АКБ LiFePo4, 12V</t>
  </si>
  <si>
    <t>Аккумулятор 14 Ah / 179 Wh, 12V, на основе елементов 32700 LiFePo4, размер: 75 x 140 x 80 mm</t>
  </si>
  <si>
    <t>Универсальные АКБ для планшетов, повербанков</t>
  </si>
  <si>
    <t>Аккумулятор для планшета 1.9*34*95 мм, (600 mAh)</t>
  </si>
  <si>
    <t>Аккумулятор для планшета 2.5*100*150 мм, (5000 mAh)</t>
  </si>
  <si>
    <t>Аккумулятор для планшета 2.9*100*100 мм, 3.7 V, (4500 mAh)</t>
  </si>
  <si>
    <t>Аккумулятор для планшета 2.9*93*100 мм, (3500 mAh)</t>
  </si>
  <si>
    <t>Аккумулятор для планшета 2.9*96*100 мм, (3500 mAh)</t>
  </si>
  <si>
    <t>Аккумулятор для планшета 3.0*60*93 мм, (3000 mAh)</t>
  </si>
  <si>
    <t>Аккумулятор для планшета 3.0*70*95 мм, (2500 mAh)</t>
  </si>
  <si>
    <t>Аккумулятор для планшета 3.0*73*95 мм, (3000 mAh)</t>
  </si>
  <si>
    <t>Аккумулятор для планшета 3.0*80*95 мм, (5000 mAh)</t>
  </si>
  <si>
    <t>Аккумулятор для планшета 3.2*48*145 мм, (3800 mAh)</t>
  </si>
  <si>
    <t>Аккумулятор для планшета 3.2*50*145 мм, (4000 mAh)</t>
  </si>
  <si>
    <t>Аккумулятор для планшета 3.2*65*80 мм, (3000 mAh)</t>
  </si>
  <si>
    <t>Аккумулятор для планшета 3.5*100*100 мм, (3500 mAh)</t>
  </si>
  <si>
    <t>Аккумулятор для планшета 3.5*50*145 мм, (3500 mAh)</t>
  </si>
  <si>
    <t>Аккумулятор для планшета 3.5*55*130 мм, (5000 mAh)</t>
  </si>
  <si>
    <t>Аккумулятор для планшета 3.5*55*143 мм, (3200 mAh)</t>
  </si>
  <si>
    <t>Аккумулятор для планшета 3.5*60*90 мм, 3.7 V, (3500 mAh)</t>
  </si>
  <si>
    <t>Аккумулятор для планшета 3.5*65*95 мм, (3000 mAh)</t>
  </si>
  <si>
    <t>Аккумулятор для планшета 3.5*70*100 мм, (3500 mAh)</t>
  </si>
  <si>
    <t>Аккумулятор для планшета 3.5*70*80 мм, (3000 mAh)</t>
  </si>
  <si>
    <t>Аккумулятор для планшета 3.5*70*90 мм, (4000 mAh)</t>
  </si>
  <si>
    <t>Аккумулятор для планшета 3.7*35*95 мм, (2800 mAh)</t>
  </si>
  <si>
    <t>Аккумулятор для планшета 3.7*65*95 мм, (3200 mAh)</t>
  </si>
  <si>
    <t>Аккумулятор для планшета 3.7*66*125 мм, (4000 mAh)</t>
  </si>
  <si>
    <t>Аккумулятор для планшета 3.7*93*108 мм, (4000 mAh)</t>
  </si>
  <si>
    <t>Аккумулятор для планшета 3.9*70*125 мм, (5000 mAh)</t>
  </si>
  <si>
    <t>Аккумулятор для планшета 3.9*80*90 мм, (3000 mAh)</t>
  </si>
  <si>
    <t>Аккумулятор для планшета 4.0*55*94 мм, (2700 mAh)</t>
  </si>
  <si>
    <t>Аккумулятор для планшета 4.0*60*130 мм, (3500 mAh)</t>
  </si>
  <si>
    <t>Аккумулятор для планшета 4.0*64*93 мм, (2800 mAh)</t>
  </si>
  <si>
    <t>Аккумулятор для планшета 4.0*65*89 мм, (4000 mAh)</t>
  </si>
  <si>
    <t>Аккумулятор для планшета 4.0*70*100 мм, (3500 mAh)</t>
  </si>
  <si>
    <t>Аккумулятор для планшета 4.0*70*102 мм, (3200 mAh)</t>
  </si>
  <si>
    <t>Аккумулятор для планшета 4.0*70*108 мм, (3500 mAh)</t>
  </si>
  <si>
    <t>Аккумулятор для планшета 4.0*70*97 мм, (3200 mAh)</t>
  </si>
  <si>
    <t>Аккумулятор для планшета 4.0*74*108 мм, (4000 mAh)</t>
  </si>
  <si>
    <t>Аккумулятор для планшета 4.0*75*88 мм, (3000 mAh)</t>
  </si>
  <si>
    <t>Аккумулятор для планшета 4.0*75*88 мм, (4000 mAh)</t>
  </si>
  <si>
    <t>Аккумулятор для планшета 4.0*75*98мм, (3500 mAh)</t>
  </si>
  <si>
    <t>Аккумулятор для планшета 4.0*80*90 мм, (3500 mAh)</t>
  </si>
  <si>
    <t>Аккумулятор для планшета 4.5*75*105 мм, 3.7V, (4000 mAh)</t>
  </si>
  <si>
    <t>Аккумулятор для планшета 4.8*65*89 мм, (3800 mAh)</t>
  </si>
  <si>
    <t>Аккумулятор для планшета 5.0*70*108 мм, (5000 mAh)</t>
  </si>
  <si>
    <t>Аккумулятор для планшета 5.0*80*95 мм, 3.7V, (4500 mAh)</t>
  </si>
  <si>
    <t>Аккумулятор для планшета, повербанка, 12*60*100 мм, 3.7 V, (10000 mAh)</t>
  </si>
  <si>
    <t>Остаток счета</t>
  </si>
  <si>
    <t>Универсальные АКБ для часов, регистраторов, наушников</t>
  </si>
  <si>
    <t>Аккумулятор 3.0*23*25 мм, (300 mAh)</t>
  </si>
  <si>
    <t>Аккумулятор 4.0*20*25 мм, (250 mAh)</t>
  </si>
  <si>
    <t>Аккумулятор 4.0*20*30 мм, (300 mAh)</t>
  </si>
  <si>
    <t>Аккумулятор 6.0*29*30 мм, (600 mAh)</t>
  </si>
  <si>
    <t>Ячейки Li-po</t>
  </si>
  <si>
    <t>Аккумулятор Li-Po, 10*64*145мм, (8000 mAh), 3.7V, тор розряда: 90C</t>
  </si>
  <si>
    <t>Электротранспорт</t>
  </si>
  <si>
    <t>Электроскутер Eagle King 2000W</t>
  </si>
  <si>
    <t>Электроскутер H1 1000W</t>
  </si>
  <si>
    <t>Электроскутер MI-9 1000W</t>
  </si>
  <si>
    <t>Электроскутер MIMA 350W</t>
  </si>
  <si>
    <t>Электроскутер MIMA 350W, Rose Gold</t>
  </si>
  <si>
    <t>Электроскутер MIMA 500 W</t>
  </si>
  <si>
    <t>Электроскутер MIMA 500W</t>
  </si>
  <si>
    <t>Электроскутер MIMA 500W, Black</t>
  </si>
  <si>
    <t>Электроскутер MIMA 800W</t>
  </si>
  <si>
    <t>Электроскутер MIMA, 350W, Red</t>
  </si>
  <si>
    <t>Электроскутер NEW KING 2000W</t>
  </si>
  <si>
    <t>Электроскутер NEW VESPA 1500W</t>
  </si>
  <si>
    <t>Электроскутер NIUPLUS 1000W</t>
  </si>
  <si>
    <t>Электроскутер TTX 2000W</t>
  </si>
  <si>
    <t>Электровелосипеды COSWHEEL</t>
  </si>
  <si>
    <t>Электровелосипед  COSWHEEL CT20, 15AH, 48V/1000W</t>
  </si>
  <si>
    <t>Электровелосипед COSWHEEL CT20S, 27.5AH, 60V/1500W</t>
  </si>
  <si>
    <t>Электровелосипед COSWHEEL F1 Black, 10AH, 48V/500W</t>
  </si>
  <si>
    <t>Электровелосипед COSWHEEL F1 Gray, 10AH, 48V/500W</t>
  </si>
  <si>
    <t>Электровелосипед COSWHEEL GT20 PRO, 40AH, 48V/1000W</t>
  </si>
  <si>
    <t>Электровелосипед COSWHEEL GT20, 20AH, 48V/1000W</t>
  </si>
  <si>
    <t>Электровелосипед COSWHEEL M20 MINI Grey, 15AH, 48V/500W</t>
  </si>
  <si>
    <t>Электровелосипед COSWHEEL M20 MINI White, 15AH, 48V/500W</t>
  </si>
  <si>
    <t>Электровелосипед COSWHEEL M20, 15AH, 48V/500W</t>
  </si>
  <si>
    <t>Электровелосипед COSWHEEL T16, 15AH, 48V/500W</t>
  </si>
  <si>
    <t>Электровелосипед COSWHEEL T20, 10AH, 48V/1000W</t>
  </si>
  <si>
    <t>Электровелосипед COSWHEEL T20, 15AH, 48V/1000W</t>
  </si>
  <si>
    <t>Электровелосипед COSWHEEL T20, 20AH, 48V/1000W</t>
  </si>
  <si>
    <t>Электровелосипед COSWHEEL T26, 25AH, 750W/1000W(peak 1500w)</t>
  </si>
  <si>
    <t>Электросамокат COSWHEEL A2, 7.5AH, 36V/350W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</si>
</sst>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old.ukr-mobil.com/index.php?route=product&amp;product_id=10005756" TargetMode="External"/><Relationship Id="rId_hyperlink_2" Type="http://schemas.openxmlformats.org/officeDocument/2006/relationships/hyperlink" Target="https://old.ukr-mobil.com/index.php?route=product&amp;product_id=10005335" TargetMode="External"/><Relationship Id="rId_hyperlink_3" Type="http://schemas.openxmlformats.org/officeDocument/2006/relationships/hyperlink" Target="https://old.ukr-mobil.com/index.php?route=product&amp;product_id=10005495" TargetMode="External"/><Relationship Id="rId_hyperlink_4" Type="http://schemas.openxmlformats.org/officeDocument/2006/relationships/hyperlink" Target="https://old.ukr-mobil.com/index.php?route=product&amp;product_id=10005318" TargetMode="External"/><Relationship Id="rId_hyperlink_5" Type="http://schemas.openxmlformats.org/officeDocument/2006/relationships/hyperlink" Target="https://old.ukr-mobil.com/index.php?route=product&amp;product_id=10005279" TargetMode="External"/><Relationship Id="rId_hyperlink_6" Type="http://schemas.openxmlformats.org/officeDocument/2006/relationships/hyperlink" Target="https://old.ukr-mobil.com/index.php?route=product&amp;product_id=10005788" TargetMode="External"/><Relationship Id="rId_hyperlink_7" Type="http://schemas.openxmlformats.org/officeDocument/2006/relationships/hyperlink" Target="https://old.ukr-mobil.com/index.php?route=product&amp;product_id=10005317" TargetMode="External"/><Relationship Id="rId_hyperlink_8" Type="http://schemas.openxmlformats.org/officeDocument/2006/relationships/hyperlink" Target="https://old.ukr-mobil.com/index.php?route=product&amp;product_id=10005948" TargetMode="External"/><Relationship Id="rId_hyperlink_9" Type="http://schemas.openxmlformats.org/officeDocument/2006/relationships/hyperlink" Target="https://old.ukr-mobil.com/index.php?route=product&amp;product_id=10005947" TargetMode="External"/><Relationship Id="rId_hyperlink_10" Type="http://schemas.openxmlformats.org/officeDocument/2006/relationships/hyperlink" Target="https://old.ukr-mobil.com/displej_samsung_a525_galaxy_a52_a526_galaxy_a52_5g_s_tachskrinom_s_ramkoj_oled_small_lcd_black_10002332" TargetMode="External"/><Relationship Id="rId_hyperlink_11" Type="http://schemas.openxmlformats.org/officeDocument/2006/relationships/hyperlink" Target="https://old.ukr-mobil.com/displej_samsung_m526_galaxy_m52_s_tachskrinom_incell_black_10002333" TargetMode="External"/><Relationship Id="rId_hyperlink_12" Type="http://schemas.openxmlformats.org/officeDocument/2006/relationships/hyperlink" Target="https://old.ukr-mobil.com/index.php?route=product&amp;product_id=10005176" TargetMode="External"/><Relationship Id="rId_hyperlink_13" Type="http://schemas.openxmlformats.org/officeDocument/2006/relationships/hyperlink" Target="https://old.ukr-mobil.com/index.php?route=product&amp;product_id=10006228" TargetMode="External"/><Relationship Id="rId_hyperlink_14" Type="http://schemas.openxmlformats.org/officeDocument/2006/relationships/hyperlink" Target="https://old.ukr-mobil.com/index.php?route=product&amp;product_id=10006084" TargetMode="External"/><Relationship Id="rId_hyperlink_15" Type="http://schemas.openxmlformats.org/officeDocument/2006/relationships/hyperlink" Target="https://old.ukr-mobil.com/kur_rska_dostavka_m_lv_v_10003088" TargetMode="External"/><Relationship Id="rId_hyperlink_16" Type="http://schemas.openxmlformats.org/officeDocument/2006/relationships/hyperlink" Target="https://old.ukr-mobil.com/index.php?route=product&amp;product_id=10004648" TargetMode="External"/><Relationship Id="rId_hyperlink_17" Type="http://schemas.openxmlformats.org/officeDocument/2006/relationships/hyperlink" Target="https://old.ukr-mobil.com/kur_rska_dostavka_10002259" TargetMode="External"/><Relationship Id="rId_hyperlink_18" Type="http://schemas.openxmlformats.org/officeDocument/2006/relationships/hyperlink" Target="https://old.ukr-mobil.com/index.php?route=product&amp;product_id=10005864" TargetMode="External"/><Relationship Id="rId_hyperlink_19" Type="http://schemas.openxmlformats.org/officeDocument/2006/relationships/hyperlink" Target="https://old.ukr-mobil.com/index.php?route=product&amp;product_id=10005544" TargetMode="External"/><Relationship Id="rId_hyperlink_20" Type="http://schemas.openxmlformats.org/officeDocument/2006/relationships/hyperlink" Target="https://old.ukr-mobil.com/index.php?route=product&amp;product_id=10005518" TargetMode="External"/><Relationship Id="rId_hyperlink_21" Type="http://schemas.openxmlformats.org/officeDocument/2006/relationships/hyperlink" Target="https://old.ukr-mobil.com/sensor_tachskrin_huawei_mediapad_m5_lite_10_bah2-l09_bah2-w19_s_oca_plenkoj_original_prc_white_10004056" TargetMode="External"/><Relationship Id="rId_hyperlink_22" Type="http://schemas.openxmlformats.org/officeDocument/2006/relationships/hyperlink" Target="https://old.ukr-mobil.com/steklo_displeya_samsung_t220_galaxy_tab_a7_lite_wi-fi_s_oca_plenkoj_original_white_10004049" TargetMode="External"/><Relationship Id="rId_hyperlink_23" Type="http://schemas.openxmlformats.org/officeDocument/2006/relationships/hyperlink" Target="https://old.ukr-mobil.com/index.php?route=product&amp;product_id=10005228" TargetMode="External"/><Relationship Id="rId_hyperlink_24" Type="http://schemas.openxmlformats.org/officeDocument/2006/relationships/hyperlink" Target="https://old.ukr-mobil.com/index.php?route=product&amp;product_id=10005833" TargetMode="External"/><Relationship Id="rId_hyperlink_25" Type="http://schemas.openxmlformats.org/officeDocument/2006/relationships/hyperlink" Target="https://old.ukr-mobil.com/type-c_hab_baseus_acmejoy_7-port_type-c_hub_adapter_wkjz010413_hdmi_60_hz_4k_2husb_3_0_1husb_2_0_1xtype-c_pd_1xsd_1xtf_gray_10003452" TargetMode="External"/><Relationship Id="rId_hyperlink_26" Type="http://schemas.openxmlformats.org/officeDocument/2006/relationships/hyperlink" Target="https://old.ukr-mobil.com/type-c_hab_baseus_airjoy_5-port_type-c_hub_adapter_wkqx040001_hdmi_60_hz_4k_3husb_3_0_1xtype-c_pd_black_10003453" TargetMode="External"/><Relationship Id="rId_hyperlink_27" Type="http://schemas.openxmlformats.org/officeDocument/2006/relationships/hyperlink" Target="https://old.ukr-mobil.com/type-c_hab_baseus_starjoy_4-port_type-c_hub_adapter_wkwg070013_4husb_3_0_1xtype-c_gray_10003450" TargetMode="External"/><Relationship Id="rId_hyperlink_28" Type="http://schemas.openxmlformats.org/officeDocument/2006/relationships/hyperlink" Target="https://old.ukr-mobil.com/type-c_hab_baseus_starjoy_6-port_type-c_hub_adapter_wkwg080013_hdmi_60_hz_4k_3husb_3_0_1xtype-c_pd_rj45_lan_gray_10003451" TargetMode="External"/><Relationship Id="rId_hyperlink_29" Type="http://schemas.openxmlformats.org/officeDocument/2006/relationships/hyperlink" Target="https://old.ukr-mobil.com/type-c_hab_baseus_starjoy_8-port_type-c_hub_adapter_wkwg050013_hdmi_30_hz_4k_1xvga_3husb_3_0_1xtype-c_pd_1xsd_1xtf_gray_10003465" TargetMode="External"/><Relationship Id="rId_hyperlink_30" Type="http://schemas.openxmlformats.org/officeDocument/2006/relationships/hyperlink" Target="https://old.ukr-mobil.com/adapter_type-c_baseus_airjoy_rj45_lan_port_wkqx000201_rj45_lan_black_10003454" TargetMode="External"/><Relationship Id="rId_hyperlink_31" Type="http://schemas.openxmlformats.org/officeDocument/2006/relationships/hyperlink" Target="https://old.ukr-mobil.com/adapter_usb-a_baseus_airjoy_rj45_lan_port_wkqx000001_rj45_lan_black_10003466" TargetMode="External"/><Relationship Id="rId_hyperlink_32" Type="http://schemas.openxmlformats.org/officeDocument/2006/relationships/hyperlink" Target="https://old.ukr-mobil.com/avtomobilnoe_zaryadnoe_ustrojstvo_moxom_kc-12_2usb_qc_3_0_3_4a_v_komplekte_kabel_lightning_10001636" TargetMode="External"/><Relationship Id="rId_hyperlink_33" Type="http://schemas.openxmlformats.org/officeDocument/2006/relationships/hyperlink" Target="https://old.ukr-mobil.com/avtomobilnoe_zaryadnoe_ustrojstvo_moxom_kc-12_2usb_qc_3_0_3_4a_v_komplekte_kabel_micro_usb_10001635" TargetMode="External"/><Relationship Id="rId_hyperlink_34" Type="http://schemas.openxmlformats.org/officeDocument/2006/relationships/hyperlink" Target="https://old.ukr-mobil.com/avtomobilnoe_zaryadnoe_ustrojstvo_moxom_kc-12_2usb_qc_3_0_3_4a_v_komplekte_kabel_type-c_10001637" TargetMode="External"/><Relationship Id="rId_hyperlink_35" Type="http://schemas.openxmlformats.org/officeDocument/2006/relationships/hyperlink" Target="https://old.ukr-mobil.com/avtomobilnoe_zaryadnoe_ustrojstvo_moxom_kc-13_2usb_qc_3_0_3_0a_v_komplekte_kabel_lightning_10001638" TargetMode="External"/><Relationship Id="rId_hyperlink_36" Type="http://schemas.openxmlformats.org/officeDocument/2006/relationships/hyperlink" Target="https://old.ukr-mobil.com/avtomobilnoe_zaryadnoe_ustrojstvo_moxom_kc-13_2usb_qc_3_0_3_0a_v_komplekte_kabel_micro_usb_10001639" TargetMode="External"/><Relationship Id="rId_hyperlink_37" Type="http://schemas.openxmlformats.org/officeDocument/2006/relationships/hyperlink" Target="https://old.ukr-mobil.com/avtomobilnoe_zaryadnoe_ustrojstvo_moxom_kc-13_2usb_qc_3_0_3_0a_v_komplekte_kabel_type-c_10001640" TargetMode="External"/><Relationship Id="rId_hyperlink_38" Type="http://schemas.openxmlformats.org/officeDocument/2006/relationships/hyperlink" Target="https://old.ukr-mobil.com/besprovodnoe_zaryadnoe_ustrojstvo_apple_magsafe_charger_a2140_white_original_prc_10001405" TargetMode="External"/><Relationship Id="rId_hyperlink_39" Type="http://schemas.openxmlformats.org/officeDocument/2006/relationships/hyperlink" Target="https://old.ukr-mobil.com/besprovodnoe_zaryadnoe_ustrojstvo_moxom_kh-62y_4usb_1_usb-c_qc_3_0_power_delivery_3_0_10001632" TargetMode="External"/><Relationship Id="rId_hyperlink_40" Type="http://schemas.openxmlformats.org/officeDocument/2006/relationships/hyperlink" Target="https://old.ukr-mobil.com/besprovodnoe_zaryadnoe_ustrojstvo_moxom_mx-hc58_wl_10001631" TargetMode="External"/><Relationship Id="rId_hyperlink_41" Type="http://schemas.openxmlformats.org/officeDocument/2006/relationships/hyperlink" Target="https://old.ukr-mobil.com/zashchitnoe_steklo_5s_esd_glass_9h_full_glue_dlya_iphone_12_pro_max_v_upakovke_s_salfetkami_10004412" TargetMode="External"/><Relationship Id="rId_hyperlink_42" Type="http://schemas.openxmlformats.org/officeDocument/2006/relationships/hyperlink" Target="https://old.ukr-mobil.com/zashchitnoe_steklo_5s_esd_glass_9h_full_glue_dlya_iphone_12_iphone_12_pro_v_upakovke_s_salfetkami_10004418" TargetMode="External"/><Relationship Id="rId_hyperlink_43" Type="http://schemas.openxmlformats.org/officeDocument/2006/relationships/hyperlink" Target="https://old.ukr-mobil.com/zashchitnoe_steklo_5s_esd_glass_9h_full_glue_dlya_iphone_13_pro_max_iphone_14_plus_v_upakovke_s_salfetkami_10004413" TargetMode="External"/><Relationship Id="rId_hyperlink_44" Type="http://schemas.openxmlformats.org/officeDocument/2006/relationships/hyperlink" Target="https://old.ukr-mobil.com/zashchitnoe_steklo_5s_esd_glass_9h_full_glue_dlya_iphone_13_iphone_13_pro_iphone_14_v_upakovke_s_salfetkami_10004419" TargetMode="External"/><Relationship Id="rId_hyperlink_45" Type="http://schemas.openxmlformats.org/officeDocument/2006/relationships/hyperlink" Target="https://old.ukr-mobil.com/zashchitnoe_steklo_5s_esd_glass_9h_full_glue_dlya_iphone_14_pro_max_v_upakovke_s_salfetkami_10004414" TargetMode="External"/><Relationship Id="rId_hyperlink_46" Type="http://schemas.openxmlformats.org/officeDocument/2006/relationships/hyperlink" Target="https://old.ukr-mobil.com/zashchitnoe_steklo_5s_esd_glass_9h_full_glue_dlya_iphone_14_pro_v_upakovke_s_salfetkami_10004420" TargetMode="External"/><Relationship Id="rId_hyperlink_47" Type="http://schemas.openxmlformats.org/officeDocument/2006/relationships/hyperlink" Target="https://old.ukr-mobil.com/zashchitnoe_steklo_5s_esd_glass_9h_full_glue_dlya_iphone_x_iphone_xs_iphone_11_pro_v_upakovke_s_salfetkami_10004415" TargetMode="External"/><Relationship Id="rId_hyperlink_48" Type="http://schemas.openxmlformats.org/officeDocument/2006/relationships/hyperlink" Target="https://old.ukr-mobil.com/zashchitnoe_steklo_5s_esd_glass_9h_full_glue_dlya_iphone_xr_iphone_11_v_upakovke_s_salfetkami_10004416" TargetMode="External"/><Relationship Id="rId_hyperlink_49" Type="http://schemas.openxmlformats.org/officeDocument/2006/relationships/hyperlink" Target="https://old.ukr-mobil.com/zashchitnoe_steklo_5s_esd_glass_9h_full_glue_dlya_iphone_xs_max_iphone_11_pro_max_v_upakovke_s_salfetkami_10004417" TargetMode="External"/><Relationship Id="rId_hyperlink_50" Type="http://schemas.openxmlformats.org/officeDocument/2006/relationships/hyperlink" Target="https://old.ukr-mobil.com/index.php?route=product&amp;product_id=10005962" TargetMode="External"/><Relationship Id="rId_hyperlink_51" Type="http://schemas.openxmlformats.org/officeDocument/2006/relationships/hyperlink" Target="https://old.ukr-mobil.com/index.php?route=product&amp;product_id=10005963" TargetMode="External"/><Relationship Id="rId_hyperlink_52" Type="http://schemas.openxmlformats.org/officeDocument/2006/relationships/hyperlink" Target="https://old.ukr-mobil.com/index.php?route=product&amp;product_id=10005967" TargetMode="External"/><Relationship Id="rId_hyperlink_53" Type="http://schemas.openxmlformats.org/officeDocument/2006/relationships/hyperlink" Target="https://old.ukr-mobil.com/index.php?route=product&amp;product_id=10005966" TargetMode="External"/><Relationship Id="rId_hyperlink_54" Type="http://schemas.openxmlformats.org/officeDocument/2006/relationships/hyperlink" Target="https://old.ukr-mobil.com/index.php?route=product&amp;product_id=10005965" TargetMode="External"/><Relationship Id="rId_hyperlink_55" Type="http://schemas.openxmlformats.org/officeDocument/2006/relationships/hyperlink" Target="https://old.ukr-mobil.com/index.php?route=product&amp;product_id=10005964" TargetMode="External"/><Relationship Id="rId_hyperlink_56" Type="http://schemas.openxmlformats.org/officeDocument/2006/relationships/hyperlink" Target="https://old.ukr-mobil.com/index.php?route=product&amp;product_id=10006003" TargetMode="External"/><Relationship Id="rId_hyperlink_57" Type="http://schemas.openxmlformats.org/officeDocument/2006/relationships/hyperlink" Target="https://old.ukr-mobil.com/index.php?route=product&amp;product_id=10006006" TargetMode="External"/><Relationship Id="rId_hyperlink_58" Type="http://schemas.openxmlformats.org/officeDocument/2006/relationships/hyperlink" Target="https://old.ukr-mobil.com/index.php?route=product&amp;product_id=10006007" TargetMode="External"/><Relationship Id="rId_hyperlink_59" Type="http://schemas.openxmlformats.org/officeDocument/2006/relationships/hyperlink" Target="https://old.ukr-mobil.com/index.php?route=product&amp;product_id=10006004" TargetMode="External"/><Relationship Id="rId_hyperlink_60" Type="http://schemas.openxmlformats.org/officeDocument/2006/relationships/hyperlink" Target="https://old.ukr-mobil.com/index.php?route=product&amp;product_id=10006005" TargetMode="External"/><Relationship Id="rId_hyperlink_61" Type="http://schemas.openxmlformats.org/officeDocument/2006/relationships/hyperlink" Target="https://old.ukr-mobil.com/zashchitnoe_steklo_6d_premium_glass_9h_full_glue_dlya_huawei_p_smart_z_y9_prime_2019_honor_9x_y9s_y9_2020_v_upakovke_s_salfetkami_10004458" TargetMode="External"/><Relationship Id="rId_hyperlink_62" Type="http://schemas.openxmlformats.org/officeDocument/2006/relationships/hyperlink" Target="https://old.ukr-mobil.com/zashchitnoe_steklo_6d_premium_glass_9h_full_glue_dlya_iphone_11_iphone_xr_v_upakovke_s_salfetkami_10004388" TargetMode="External"/><Relationship Id="rId_hyperlink_63" Type="http://schemas.openxmlformats.org/officeDocument/2006/relationships/hyperlink" Target="https://old.ukr-mobil.com/zashchitnoe_steklo_6d_premium_glass_9h_full_glue_dlya_iphone_12_pro_max_v_upakovke_s_salfetkami_10004390" TargetMode="External"/><Relationship Id="rId_hyperlink_64" Type="http://schemas.openxmlformats.org/officeDocument/2006/relationships/hyperlink" Target="https://old.ukr-mobil.com/zashchitnoe_steklo_6d_premium_glass_9h_full_glue_dlya_iphone_12_iphone_12_pro_v_upakovke_s_salfetkami_10004389" TargetMode="External"/><Relationship Id="rId_hyperlink_65" Type="http://schemas.openxmlformats.org/officeDocument/2006/relationships/hyperlink" Target="https://old.ukr-mobil.com/zashchitnoe_steklo_6d_premium_glass_9h_full_glue_dlya_iphone_13_pro_max_iphone_14_plus_v_upakovke_s_salfetkami_10004391" TargetMode="External"/><Relationship Id="rId_hyperlink_66" Type="http://schemas.openxmlformats.org/officeDocument/2006/relationships/hyperlink" Target="https://old.ukr-mobil.com/zashchitnoe_steklo_6d_premium_glass_9h_full_glue_dlya_iphone_13_iphone_13_pro_iphone_14_v_upakovke_s_salfetkami_10004377" TargetMode="External"/><Relationship Id="rId_hyperlink_67" Type="http://schemas.openxmlformats.org/officeDocument/2006/relationships/hyperlink" Target="https://old.ukr-mobil.com/zashchitnoe_steklo_6d_premium_glass_9h_full_glue_dlya_iphone_14_pro_max_v_upakovke_s_salfetkami_10004392" TargetMode="External"/><Relationship Id="rId_hyperlink_68" Type="http://schemas.openxmlformats.org/officeDocument/2006/relationships/hyperlink" Target="https://old.ukr-mobil.com/zashchitnoe_steklo_6d_premium_glass_9h_full_glue_dlya_iphone_14_pro_v_upakovke_s_salfetkami_10004378" TargetMode="External"/><Relationship Id="rId_hyperlink_69" Type="http://schemas.openxmlformats.org/officeDocument/2006/relationships/hyperlink" Target="https://old.ukr-mobil.com/index.php?route=product&amp;product_id=10005961" TargetMode="External"/><Relationship Id="rId_hyperlink_70" Type="http://schemas.openxmlformats.org/officeDocument/2006/relationships/hyperlink" Target="https://old.ukr-mobil.com/zashchitnoe_steklo_6d_premium_glass_9h_full_glue_dlya_iphone_6_plus_iphone_6s_plus_v_upakovke_s_salfetkami_10004386" TargetMode="External"/><Relationship Id="rId_hyperlink_71" Type="http://schemas.openxmlformats.org/officeDocument/2006/relationships/hyperlink" Target="https://old.ukr-mobil.com/zashchitnoe_steklo_6d_premium_glass_9h_full_glue_dlya_iphone_6_iphone_6s_v_upakovke_s_salfetkami_10004383" TargetMode="External"/><Relationship Id="rId_hyperlink_72" Type="http://schemas.openxmlformats.org/officeDocument/2006/relationships/hyperlink" Target="https://old.ukr-mobil.com/zashchitnoe_steklo_6d_premium_glass_9h_full_glue_dlya_iphone_7_plus_iphone_8_plus_v_upakovke_s_salfetkami_10004385" TargetMode="External"/><Relationship Id="rId_hyperlink_73" Type="http://schemas.openxmlformats.org/officeDocument/2006/relationships/hyperlink" Target="https://old.ukr-mobil.com/zashchitnoe_steklo_6d_premium_glass_9h_full_glue_dlya_iphone_7_iphone_8_v_upakovke_s_salfetkami_10004384" TargetMode="External"/><Relationship Id="rId_hyperlink_74" Type="http://schemas.openxmlformats.org/officeDocument/2006/relationships/hyperlink" Target="https://old.ukr-mobil.com/zashchitnoe_steklo_6d_premium_glass_9h_full_glue_dlya_iphone_x_iphone_xs_iphone_11_pro_v_upakovke_s_salfetkami_10004387" TargetMode="External"/><Relationship Id="rId_hyperlink_75" Type="http://schemas.openxmlformats.org/officeDocument/2006/relationships/hyperlink" Target="https://old.ukr-mobil.com/zashchitnoe_steklo_6d_premium_glass_9h_full_glue_dlya_iphone_xs_max_iphone_11_pro_max_v_upakovke_s_salfetkami_10004376" TargetMode="External"/><Relationship Id="rId_hyperlink_76" Type="http://schemas.openxmlformats.org/officeDocument/2006/relationships/hyperlink" Target="https://old.ukr-mobil.com/index.php?route=product&amp;product_id=10005999" TargetMode="External"/><Relationship Id="rId_hyperlink_77" Type="http://schemas.openxmlformats.org/officeDocument/2006/relationships/hyperlink" Target="https://old.ukr-mobil.com/index.php?route=product&amp;product_id=10006000" TargetMode="External"/><Relationship Id="rId_hyperlink_78" Type="http://schemas.openxmlformats.org/officeDocument/2006/relationships/hyperlink" Target="https://old.ukr-mobil.com/index.php?route=product&amp;product_id=10006001" TargetMode="External"/><Relationship Id="rId_hyperlink_79" Type="http://schemas.openxmlformats.org/officeDocument/2006/relationships/hyperlink" Target="https://old.ukr-mobil.com/zashchitnoe_steklo_6d_premium_glass_9h_full_glue_dlya_oneplus_8t_v_upakovke_s_salfetkami_10004456" TargetMode="External"/><Relationship Id="rId_hyperlink_80" Type="http://schemas.openxmlformats.org/officeDocument/2006/relationships/hyperlink" Target="https://old.ukr-mobil.com/zashchitnoe_steklo_6d_premium_glass_9h_full_glue_dlya_oneplus_9_9r_9rt_5g_v_upakovke_s_salfetkami_10004454" TargetMode="External"/><Relationship Id="rId_hyperlink_81" Type="http://schemas.openxmlformats.org/officeDocument/2006/relationships/hyperlink" Target="https://old.ukr-mobil.com/zashchitnoe_steklo_6d_premium_glass_9h_full_glue_dlya_oneplus_nord_n100_v_upakovke_s_salfetkami_10004455" TargetMode="External"/><Relationship Id="rId_hyperlink_82" Type="http://schemas.openxmlformats.org/officeDocument/2006/relationships/hyperlink" Target="https://old.ukr-mobil.com/zashchitnoe_steklo_6d_premium_glass_9h_full_glue_dlya_oppo_a15_2020_a15s_realme_c11_c11_2021_c12_c15_c20_c20a_c21_v_upakovke_s_salfetkami_10004372" TargetMode="External"/><Relationship Id="rId_hyperlink_83" Type="http://schemas.openxmlformats.org/officeDocument/2006/relationships/hyperlink" Target="https://old.ukr-mobil.com/zashchitnoe_steklo_6d_premium_glass_9h_full_glue_dlya_oppo_a52_a72_a92_a93_5g_v_upakovke_s_salfetkami_10004444" TargetMode="External"/><Relationship Id="rId_hyperlink_84" Type="http://schemas.openxmlformats.org/officeDocument/2006/relationships/hyperlink" Target="https://old.ukr-mobil.com/zashchitnoe_steklo_6d_premium_glass_9h_full_glue_dlya_oppo_a53_a53s_a54_4g_a32_2020_a33_2020_realme_7i_realme_8i_realme_9i_v_upakovke_s_salfetkami_10004443" TargetMode="External"/><Relationship Id="rId_hyperlink_85" Type="http://schemas.openxmlformats.org/officeDocument/2006/relationships/hyperlink" Target="https://old.ukr-mobil.com/zashchitnoe_steklo_6d_premium_glass_9h_full_glue_dlya_oppo_a74_4g_v_upakovke_s_salfetkami_10004446" TargetMode="External"/><Relationship Id="rId_hyperlink_86" Type="http://schemas.openxmlformats.org/officeDocument/2006/relationships/hyperlink" Target="https://old.ukr-mobil.com/zashchitnoe_steklo_6d_premium_glass_9h_full_glue_dlya_oppo_a74_5g_a54_5g_a53_5g_v_upakovke_s_salfetkami_10004445" TargetMode="External"/><Relationship Id="rId_hyperlink_87" Type="http://schemas.openxmlformats.org/officeDocument/2006/relationships/hyperlink" Target="https://old.ukr-mobil.com/zashchitnoe_steklo_6d_premium_glass_9h_full_glue_dlya_oppo_a9_2020_a5_2020_a35_v_upakovke_s_salfetkami_10004447" TargetMode="External"/><Relationship Id="rId_hyperlink_88" Type="http://schemas.openxmlformats.org/officeDocument/2006/relationships/hyperlink" Target="https://old.ukr-mobil.com/index.php?route=product&amp;product_id=10005979" TargetMode="External"/><Relationship Id="rId_hyperlink_89" Type="http://schemas.openxmlformats.org/officeDocument/2006/relationships/hyperlink" Target="https://old.ukr-mobil.com/index.php?route=product&amp;product_id=10005977" TargetMode="External"/><Relationship Id="rId_hyperlink_90" Type="http://schemas.openxmlformats.org/officeDocument/2006/relationships/hyperlink" Target="https://old.ukr-mobil.com/index.php?route=product&amp;product_id=10005978" TargetMode="External"/><Relationship Id="rId_hyperlink_91" Type="http://schemas.openxmlformats.org/officeDocument/2006/relationships/hyperlink" Target="https://old.ukr-mobil.com/index.php?route=product&amp;product_id=10005980" TargetMode="External"/><Relationship Id="rId_hyperlink_92" Type="http://schemas.openxmlformats.org/officeDocument/2006/relationships/hyperlink" Target="https://old.ukr-mobil.com/index.php?route=product&amp;product_id=10005981" TargetMode="External"/><Relationship Id="rId_hyperlink_93" Type="http://schemas.openxmlformats.org/officeDocument/2006/relationships/hyperlink" Target="https://old.ukr-mobil.com/zashchitnoe_steklo_6d_premium_glass_9h_full_glue_dlya_realme_c30_realme_35_v_upakovke_s_salfetkami_10004442" TargetMode="External"/><Relationship Id="rId_hyperlink_94" Type="http://schemas.openxmlformats.org/officeDocument/2006/relationships/hyperlink" Target="https://old.ukr-mobil.com/zashchitnoe_steklo_6d_premium_glass_9h_full_glue_dlya_samsung_a022_galaxy_a02_a025_galaxy_a02s_a125_galaxy_a12_m127_galaxy_m12_v_upakovke_s_salfetkami_10004349" TargetMode="External"/><Relationship Id="rId_hyperlink_95" Type="http://schemas.openxmlformats.org/officeDocument/2006/relationships/hyperlink" Target="https://old.ukr-mobil.com/zashchitnoe_steklo_6d_premium_glass_9h_full_glue_dlya_samsung_a032_galaxy_a03_core_a135_galaxy_a13_m135_galaxy_m13_v_upakovke_s_salfetkami_10004367" TargetMode="External"/><Relationship Id="rId_hyperlink_96" Type="http://schemas.openxmlformats.org/officeDocument/2006/relationships/hyperlink" Target="https://old.ukr-mobil.com/zashchitnoe_steklo_6d_premium_glass_9h_full_glue_dlya_samsung_a045_galaxy_a04_v_upakovke_s_salfetkami_10004364" TargetMode="External"/><Relationship Id="rId_hyperlink_97" Type="http://schemas.openxmlformats.org/officeDocument/2006/relationships/hyperlink" Target="https://old.ukr-mobil.com/zashchitnoe_steklo_6d_premium_glass_9h_full_glue_dlya_samsung_a047_galaxy_a04s_v_upakovke_s_salfetkami_10004365" TargetMode="External"/><Relationship Id="rId_hyperlink_98" Type="http://schemas.openxmlformats.org/officeDocument/2006/relationships/hyperlink" Target="https://old.ukr-mobil.com/index.php?route=product&amp;product_id=10005993" TargetMode="External"/><Relationship Id="rId_hyperlink_99" Type="http://schemas.openxmlformats.org/officeDocument/2006/relationships/hyperlink" Target="https://old.ukr-mobil.com/zashchitnoe_steklo_6d_premium_glass_9h_full_glue_dlya_samsung_a105_galaxy_a10_a107_galaxy_a10s_m105_galaxy_m10_v_upakovke_s_salfetkami_10004368" TargetMode="External"/><Relationship Id="rId_hyperlink_100" Type="http://schemas.openxmlformats.org/officeDocument/2006/relationships/hyperlink" Target="https://old.ukr-mobil.com/index.php?route=product&amp;product_id=10005989" TargetMode="External"/><Relationship Id="rId_hyperlink_101" Type="http://schemas.openxmlformats.org/officeDocument/2006/relationships/hyperlink" Target="https://old.ukr-mobil.com/zashchitnoe_steklo_6d_premium_glass_9h_full_glue_dlya_samsung_a145_galaxy_a14_v_upakovke_s_salfetkami_10004366" TargetMode="External"/><Relationship Id="rId_hyperlink_102" Type="http://schemas.openxmlformats.org/officeDocument/2006/relationships/hyperlink" Target="https://old.ukr-mobil.com/index.php?route=product&amp;product_id=10005994" TargetMode="External"/><Relationship Id="rId_hyperlink_103" Type="http://schemas.openxmlformats.org/officeDocument/2006/relationships/hyperlink" Target="https://old.ukr-mobil.com/index.php?route=product&amp;product_id=10005991" TargetMode="External"/><Relationship Id="rId_hyperlink_104" Type="http://schemas.openxmlformats.org/officeDocument/2006/relationships/hyperlink" Target="https://old.ukr-mobil.com/zashchitnoe_steklo_6d_premium_glass_9h_full_glue_dlya_samsung_a205_a225_a305_a307_a315_a325_a336_a505_m215_m305_m315_v_upakovke_s_salfetkami_10004373" TargetMode="External"/><Relationship Id="rId_hyperlink_105" Type="http://schemas.openxmlformats.org/officeDocument/2006/relationships/hyperlink" Target="https://old.ukr-mobil.com/zashchitnoe_steklo_6d_premium_glass_9h_full_glue_dlya_samsung_a215_galaxy_a21_a217_galaxy_a21s_v_upakovke_s_salfetkami_10004398" TargetMode="External"/><Relationship Id="rId_hyperlink_106" Type="http://schemas.openxmlformats.org/officeDocument/2006/relationships/hyperlink" Target="https://old.ukr-mobil.com/zashchitnoe_steklo_6d_premium_glass_9h_full_glue_dlya_samsung_a226_galaxy_a22_5g_v_upakovke_s_salfetkami_10004393" TargetMode="External"/><Relationship Id="rId_hyperlink_107" Type="http://schemas.openxmlformats.org/officeDocument/2006/relationships/hyperlink" Target="https://old.ukr-mobil.com/index.php?route=product&amp;product_id=10005990" TargetMode="External"/><Relationship Id="rId_hyperlink_108" Type="http://schemas.openxmlformats.org/officeDocument/2006/relationships/hyperlink" Target="https://old.ukr-mobil.com/index.php?route=product&amp;product_id=10005995" TargetMode="External"/><Relationship Id="rId_hyperlink_109" Type="http://schemas.openxmlformats.org/officeDocument/2006/relationships/hyperlink" Target="https://old.ukr-mobil.com/zashchitnoe_steklo_6d_premium_glass_9h_full_glue_dlya_samsung_a346_galaxy_a34_5g_v_upakovke_s_salfetkami_10004394" TargetMode="External"/><Relationship Id="rId_hyperlink_110" Type="http://schemas.openxmlformats.org/officeDocument/2006/relationships/hyperlink" Target="https://old.ukr-mobil.com/index.php?route=product&amp;product_id=10005996" TargetMode="External"/><Relationship Id="rId_hyperlink_111" Type="http://schemas.openxmlformats.org/officeDocument/2006/relationships/hyperlink" Target="https://old.ukr-mobil.com/zashchitnoe_steklo_6d_premium_glass_9h_full_glue_dlya_samsung_a515_galaxy_a51_g780_galaxy_s20_fe_m317_galaxy_m31s_v_upakovke_s_salfetkami_10004361" TargetMode="External"/><Relationship Id="rId_hyperlink_112" Type="http://schemas.openxmlformats.org/officeDocument/2006/relationships/hyperlink" Target="https://old.ukr-mobil.com/zashchitnoe_steklo_6d_premium_glass_9h_full_glue_dlya_samsung_a525_galaxy_a52_a526_galaxy_a52_5g_v_upakovke_s_salfetkami_10004362" TargetMode="External"/><Relationship Id="rId_hyperlink_113" Type="http://schemas.openxmlformats.org/officeDocument/2006/relationships/hyperlink" Target="https://old.ukr-mobil.com/zashchitnoe_steklo_6d_premium_glass_9h_full_glue_dlya_samsung_a536_galaxy_a53_5g_v_upakovke_s_salfetkami_10004363" TargetMode="External"/><Relationship Id="rId_hyperlink_114" Type="http://schemas.openxmlformats.org/officeDocument/2006/relationships/hyperlink" Target="https://old.ukr-mobil.com/zashchitnoe_steklo_6d_premium_glass_9h_full_glue_dlya_samsung_a546_galaxy_a54_5g_v_upakovke_s_salfetkami_10004490" TargetMode="External"/><Relationship Id="rId_hyperlink_115" Type="http://schemas.openxmlformats.org/officeDocument/2006/relationships/hyperlink" Target="https://old.ukr-mobil.com/zashchitnoe_steklo_6d_premium_glass_9h_full_glue_dlya_samsung_a705_galaxy_a70_a707_galaxy_a70s_a426_galaxy_a42_5g_v_upakovke_s_salfetkami_10004489" TargetMode="External"/><Relationship Id="rId_hyperlink_116" Type="http://schemas.openxmlformats.org/officeDocument/2006/relationships/hyperlink" Target="https://old.ukr-mobil.com/zashchitnoe_steklo_6d_premium_glass_9h_full_glue_dlya_samsung_a715_galaxy_a71_a725_galaxy_a72_a736_galaxy_a73_m515_galaxy_m51_v_upakovke_s_salfetkami_10004370" TargetMode="External"/><Relationship Id="rId_hyperlink_117" Type="http://schemas.openxmlformats.org/officeDocument/2006/relationships/hyperlink" Target="https://old.ukr-mobil.com/index.php?route=product&amp;product_id=10006008" TargetMode="External"/><Relationship Id="rId_hyperlink_118" Type="http://schemas.openxmlformats.org/officeDocument/2006/relationships/hyperlink" Target="https://old.ukr-mobil.com/zashchitnoe_steklo_6d_premium_glass_9h_full_glue_dlya_samsung_g990_galaxy_s21_fe_v_upakovke_s_salfetkami_10004374" TargetMode="External"/><Relationship Id="rId_hyperlink_119" Type="http://schemas.openxmlformats.org/officeDocument/2006/relationships/hyperlink" Target="https://old.ukr-mobil.com/zashchitnoe_steklo_6d_premium_glass_9h_full_glue_dlya_samsung_g991_galaxy_s21_v_upakovke_s_salfetkami_10004399" TargetMode="External"/><Relationship Id="rId_hyperlink_120" Type="http://schemas.openxmlformats.org/officeDocument/2006/relationships/hyperlink" Target="https://old.ukr-mobil.com/zashchitnoe_steklo_6d_premium_glass_9h_full_glue_dlya_samsung_g996_galaxy_s21_plus_v_upakovke_s_salfetkami_10004400" TargetMode="External"/><Relationship Id="rId_hyperlink_121" Type="http://schemas.openxmlformats.org/officeDocument/2006/relationships/hyperlink" Target="https://old.ukr-mobil.com/index.php?route=product&amp;product_id=10005997" TargetMode="External"/><Relationship Id="rId_hyperlink_122" Type="http://schemas.openxmlformats.org/officeDocument/2006/relationships/hyperlink" Target="https://old.ukr-mobil.com/index.php?route=product&amp;product_id=10005992" TargetMode="External"/><Relationship Id="rId_hyperlink_123" Type="http://schemas.openxmlformats.org/officeDocument/2006/relationships/hyperlink" Target="https://old.ukr-mobil.com/index.php?route=product&amp;product_id=10005985" TargetMode="External"/><Relationship Id="rId_hyperlink_124" Type="http://schemas.openxmlformats.org/officeDocument/2006/relationships/hyperlink" Target="https://old.ukr-mobil.com/zashchitnoe_steklo_6d_premium_glass_9h_full_glue_dlya_samsung_s901_galaxy_s22_s911_galaxy_s23_v_upakovke_s_salfetkami_10004401" TargetMode="External"/><Relationship Id="rId_hyperlink_125" Type="http://schemas.openxmlformats.org/officeDocument/2006/relationships/hyperlink" Target="https://old.ukr-mobil.com/zashchitnoe_steklo_6d_premium_glass_9h_full_glue_dlya_samsung_s906_galaxy_s22_plus_s916_galaxy_s23_plus_v_upakovke_s_salfetkami_10004402" TargetMode="External"/><Relationship Id="rId_hyperlink_126" Type="http://schemas.openxmlformats.org/officeDocument/2006/relationships/hyperlink" Target="https://old.ukr-mobil.com/index.php?route=product&amp;product_id=10005986" TargetMode="External"/><Relationship Id="rId_hyperlink_127" Type="http://schemas.openxmlformats.org/officeDocument/2006/relationships/hyperlink" Target="https://old.ukr-mobil.com/index.php?route=product&amp;product_id=10005987" TargetMode="External"/><Relationship Id="rId_hyperlink_128" Type="http://schemas.openxmlformats.org/officeDocument/2006/relationships/hyperlink" Target="https://old.ukr-mobil.com/index.php?route=product&amp;product_id=10005988" TargetMode="External"/><Relationship Id="rId_hyperlink_129" Type="http://schemas.openxmlformats.org/officeDocument/2006/relationships/hyperlink" Target="https://old.ukr-mobil.com/index.php?route=product&amp;product_id=10005984" TargetMode="External"/><Relationship Id="rId_hyperlink_130" Type="http://schemas.openxmlformats.org/officeDocument/2006/relationships/hyperlink" Target="https://old.ukr-mobil.com/zashchitnoe_steklo_6d_premium_glass_9h_full_glue_dlya_tecno_spark_8c_v_upakovke_s_salfetkami_10004460" TargetMode="External"/><Relationship Id="rId_hyperlink_131" Type="http://schemas.openxmlformats.org/officeDocument/2006/relationships/hyperlink" Target="https://old.ukr-mobil.com/index.php?route=product&amp;product_id=10005982" TargetMode="External"/><Relationship Id="rId_hyperlink_132" Type="http://schemas.openxmlformats.org/officeDocument/2006/relationships/hyperlink" Target="https://old.ukr-mobil.com/index.php?route=product&amp;product_id=10005983" TargetMode="External"/><Relationship Id="rId_hyperlink_133" Type="http://schemas.openxmlformats.org/officeDocument/2006/relationships/hyperlink" Target="https://old.ukr-mobil.com/zashchitnoe_steklo_6d_premium_glass_9h_full_glue_dlya_vivo_y17_y7s_y15_y3_y51_y9s_y11_2019_y3_v_upakovke_s_salfetkami_10004428" TargetMode="External"/><Relationship Id="rId_hyperlink_134" Type="http://schemas.openxmlformats.org/officeDocument/2006/relationships/hyperlink" Target="https://old.ukr-mobil.com/zashchitnoe_steklo_6d_premium_glass_9h_full_glue_dlya_vivo_y21s_y21_y20s_y20_y20i_y20a_y12s_y20g_y12a_y11s_2021_v_upakovke_s_salfetkami_10004430" TargetMode="External"/><Relationship Id="rId_hyperlink_135" Type="http://schemas.openxmlformats.org/officeDocument/2006/relationships/hyperlink" Target="https://old.ukr-mobil.com/zashchitnoe_steklo_6d_premium_glass_9h_full_glue_dlya_vivo_y53s_y72_5g_y72t_5g_y51_2020_y51a_2021_v_upakovke_s_salfetkami_10004431" TargetMode="External"/><Relationship Id="rId_hyperlink_136" Type="http://schemas.openxmlformats.org/officeDocument/2006/relationships/hyperlink" Target="https://old.ukr-mobil.com/zashchitnoe_steklo_6d_premium_glass_9h_full_glue_dlya_vivo_y93_y95_y91_y90i_y90_y91c_y1s_v_upakovke_s_salfetkami_10004429" TargetMode="External"/><Relationship Id="rId_hyperlink_137" Type="http://schemas.openxmlformats.org/officeDocument/2006/relationships/hyperlink" Target="https://old.ukr-mobil.com/index.php?route=product&amp;product_id=10005970" TargetMode="External"/><Relationship Id="rId_hyperlink_138" Type="http://schemas.openxmlformats.org/officeDocument/2006/relationships/hyperlink" Target="https://old.ukr-mobil.com/zashchitnoe_steklo_6d_premium_glass_9h_full_glue_dlya_xiaomi_mi_10t_mi_10_lite_mi_10t_pro_mi_10i_v_upakovke_s_salfetkami_10004433" TargetMode="External"/><Relationship Id="rId_hyperlink_139" Type="http://schemas.openxmlformats.org/officeDocument/2006/relationships/hyperlink" Target="https://old.ukr-mobil.com/zashchitnoe_steklo_6d_premium_glass_9h_full_glue_dlya_xiaomi_mi_11_lite_mi_11_lite_5g_v_upakovke_s_salfetkami_10004438" TargetMode="External"/><Relationship Id="rId_hyperlink_140" Type="http://schemas.openxmlformats.org/officeDocument/2006/relationships/hyperlink" Target="https://old.ukr-mobil.com/zashchitnoe_steklo_6d_premium_glass_9h_full_glue_dlya_xiaomi_note_9_pro_note_9s_note_10_pro_mi_11t_mi_11t_pro_v_upakovke_s_salfetkami_10004432" TargetMode="External"/><Relationship Id="rId_hyperlink_141" Type="http://schemas.openxmlformats.org/officeDocument/2006/relationships/hyperlink" Target="https://old.ukr-mobil.com/zashchitnoe_steklo_6d_premium_glass_9h_full_glue_dlya_xiaomi_redmi_10_redmi_note_10_5g_poco_m3_pro_v_upakovke_s_salfetkami_10004395" TargetMode="External"/><Relationship Id="rId_hyperlink_142" Type="http://schemas.openxmlformats.org/officeDocument/2006/relationships/hyperlink" Target="https://old.ukr-mobil.com/zashchitnoe_steklo_6d_premium_glass_9h_full_glue_dlya_xiaomi_redmi_10c_redmi_12c_redmi_10_power_v_upakovke_s_salfetkami_10004360" TargetMode="External"/><Relationship Id="rId_hyperlink_143" Type="http://schemas.openxmlformats.org/officeDocument/2006/relationships/hyperlink" Target="https://old.ukr-mobil.com/index.php?route=product&amp;product_id=10005972" TargetMode="External"/><Relationship Id="rId_hyperlink_144" Type="http://schemas.openxmlformats.org/officeDocument/2006/relationships/hyperlink" Target="https://old.ukr-mobil.com/index.php?route=product&amp;product_id=10005968" TargetMode="External"/><Relationship Id="rId_hyperlink_145" Type="http://schemas.openxmlformats.org/officeDocument/2006/relationships/hyperlink" Target="https://old.ukr-mobil.com/index.php?route=product&amp;product_id=10005969" TargetMode="External"/><Relationship Id="rId_hyperlink_146" Type="http://schemas.openxmlformats.org/officeDocument/2006/relationships/hyperlink" Target="https://old.ukr-mobil.com/index.php?route=product&amp;product_id=10005971" TargetMode="External"/><Relationship Id="rId_hyperlink_147" Type="http://schemas.openxmlformats.org/officeDocument/2006/relationships/hyperlink" Target="https://old.ukr-mobil.com/zashchitnoe_steklo_6d_premium_glass_9h_full_glue_dlya_xiaomi_redmi_7_note_7_note_7_pro_note_7s_note_8_mi_9_mi_9_lite_v_upakovke_s_salfetkami_10004434" TargetMode="External"/><Relationship Id="rId_hyperlink_148" Type="http://schemas.openxmlformats.org/officeDocument/2006/relationships/hyperlink" Target="https://old.ukr-mobil.com/zashchitnoe_steklo_6d_premium_glass_9h_full_glue_dlya_xiaomi_redmi_8_redmi_8a_v_upakovke_s_salfetkami_10004435" TargetMode="External"/><Relationship Id="rId_hyperlink_149" Type="http://schemas.openxmlformats.org/officeDocument/2006/relationships/hyperlink" Target="https://old.ukr-mobil.com/zashchitnoe_steklo_6d_premium_glass_9h_full_glue_dlya_xiaomi_redmi_9_redmi_9t_poco_m3_v_upakovke_s_salfetkami_10004436" TargetMode="External"/><Relationship Id="rId_hyperlink_150" Type="http://schemas.openxmlformats.org/officeDocument/2006/relationships/hyperlink" Target="https://old.ukr-mobil.com/zashchitnoe_steklo_6d_premium_glass_9h_full_glue_dlya_xiaomi_redmi_9a_redmi_9c_redmi_10a_redmi_a1_poco_c3_poco_m5_v_upakovke_s_salfetkami_10004359" TargetMode="External"/><Relationship Id="rId_hyperlink_151" Type="http://schemas.openxmlformats.org/officeDocument/2006/relationships/hyperlink" Target="https://old.ukr-mobil.com/index.php?route=product&amp;product_id=10005976" TargetMode="External"/><Relationship Id="rId_hyperlink_152" Type="http://schemas.openxmlformats.org/officeDocument/2006/relationships/hyperlink" Target="https://old.ukr-mobil.com/zashchitnoe_steklo_6d_premium_glass_9h_full_glue_dlya_xiaomi_redmi_note_10_note_10s_redmi_note_11_note_11s_poco_m4_pro_v_upakovke_s_salfetkami_10004396" TargetMode="External"/><Relationship Id="rId_hyperlink_153" Type="http://schemas.openxmlformats.org/officeDocument/2006/relationships/hyperlink" Target="https://old.ukr-mobil.com/zashchitnoe_steklo_6d_premium_glass_9h_full_glue_dlya_xiaomi_redmi_note_11_pro_redmi_note_12_pro_poco_f4_5g_poco_x4_pro_5g_v_upakovke_s_salfetkami_10004397" TargetMode="External"/><Relationship Id="rId_hyperlink_154" Type="http://schemas.openxmlformats.org/officeDocument/2006/relationships/hyperlink" Target="https://old.ukr-mobil.com/index.php?route=product&amp;product_id=10005975" TargetMode="External"/><Relationship Id="rId_hyperlink_155" Type="http://schemas.openxmlformats.org/officeDocument/2006/relationships/hyperlink" Target="https://old.ukr-mobil.com/zashchitnoe_steklo_6d_premium_glass_9h_full_glue_dlya_xiaomi_redmi_note_11t_pro_5g_v_upakovke_s_salfetkami_10004439" TargetMode="External"/><Relationship Id="rId_hyperlink_156" Type="http://schemas.openxmlformats.org/officeDocument/2006/relationships/hyperlink" Target="https://old.ukr-mobil.com/zashchitnoe_steklo_6d_premium_glass_9h_full_glue_dlya_xiaomi_redmi_note_12_poco_x5_v_upakovke_s_salfetkami_10004440" TargetMode="External"/><Relationship Id="rId_hyperlink_157" Type="http://schemas.openxmlformats.org/officeDocument/2006/relationships/hyperlink" Target="https://old.ukr-mobil.com/index.php?route=product&amp;product_id=10005973" TargetMode="External"/><Relationship Id="rId_hyperlink_158" Type="http://schemas.openxmlformats.org/officeDocument/2006/relationships/hyperlink" Target="https://old.ukr-mobil.com/index.php?route=product&amp;product_id=10005974" TargetMode="External"/><Relationship Id="rId_hyperlink_159" Type="http://schemas.openxmlformats.org/officeDocument/2006/relationships/hyperlink" Target="https://old.ukr-mobil.com/zashchitnoe_steklo_6d_premium_glass_9h_full_glue_dlya_xiaomi_redmi_note_9_redmi_note_9t_v_upakovke_s_salfetkami_10004437" TargetMode="External"/><Relationship Id="rId_hyperlink_160" Type="http://schemas.openxmlformats.org/officeDocument/2006/relationships/hyperlink" Target="https://old.ukr-mobil.com/zashchitnoe_steklo_iphone_12_mini_full_glue_2_5d_black_10001139" TargetMode="External"/><Relationship Id="rId_hyperlink_161" Type="http://schemas.openxmlformats.org/officeDocument/2006/relationships/hyperlink" Target="https://old.ukr-mobil.com/zashchitnoe_steklo_asus_zenfone_5_lite_zc600kl_full_glue_2_5d_black_12022" TargetMode="External"/><Relationship Id="rId_hyperlink_162" Type="http://schemas.openxmlformats.org/officeDocument/2006/relationships/hyperlink" Target="https://old.ukr-mobil.com/zashchitnoe_steklo_asus_zenfone_live_l1_za550kl_g552kl_full_glue_2_5d_black_12024" TargetMode="External"/><Relationship Id="rId_hyperlink_163" Type="http://schemas.openxmlformats.org/officeDocument/2006/relationships/hyperlink" Target="https://old.ukr-mobil.com/zashchitnoe_steklo_huawei_gr3_2017_honor_8_lite_nova_lite_2016_p8_lite_2017_full_glue_2_5d_black_12027" TargetMode="External"/><Relationship Id="rId_hyperlink_164" Type="http://schemas.openxmlformats.org/officeDocument/2006/relationships/hyperlink" Target="https://old.ukr-mobil.com/zashchitnoe_steklo_huawei_p_smart_z_y9_prime_2019_y9s_honor_9x_full_glue_2_5d_black_10000616" TargetMode="External"/><Relationship Id="rId_hyperlink_165" Type="http://schemas.openxmlformats.org/officeDocument/2006/relationships/hyperlink" Target="https://old.ukr-mobil.com/zashchitnoe_steklo_huawei_p10_lite_was-l21_full_glue_2_5d_black_12032" TargetMode="External"/><Relationship Id="rId_hyperlink_166" Type="http://schemas.openxmlformats.org/officeDocument/2006/relationships/hyperlink" Target="https://old.ukr-mobil.com/zashchitnoe_steklo_huawei_p30_full_glue_2_5d_black_10000617" TargetMode="External"/><Relationship Id="rId_hyperlink_167" Type="http://schemas.openxmlformats.org/officeDocument/2006/relationships/hyperlink" Target="https://old.ukr-mobil.com/zashchitnoe_steklo_huawei_nova_4_full_glue_2_5d_black_10000420" TargetMode="External"/><Relationship Id="rId_hyperlink_168" Type="http://schemas.openxmlformats.org/officeDocument/2006/relationships/hyperlink" Target="https://old.ukr-mobil.com/zashchitnoe_steklo_huawei_y9_2018_full_glue_2_5d_black_12036" TargetMode="External"/><Relationship Id="rId_hyperlink_169" Type="http://schemas.openxmlformats.org/officeDocument/2006/relationships/hyperlink" Target="https://old.ukr-mobil.com/zashchitnoe_steklo_huawei_y9_2019_full_glue_2_5d_black_12037" TargetMode="External"/><Relationship Id="rId_hyperlink_170" Type="http://schemas.openxmlformats.org/officeDocument/2006/relationships/hyperlink" Target="https://old.ukr-mobil.com/zashchitnoe_steklo_motorola_xt1926_moto_g6_plus_full_glue_2_5d_black_12059" TargetMode="External"/><Relationship Id="rId_hyperlink_171" Type="http://schemas.openxmlformats.org/officeDocument/2006/relationships/hyperlink" Target="https://old.ukr-mobil.com/zashchitnoe_steklo_nokia_3_1_full_glue_2_5d_black_10000623" TargetMode="External"/><Relationship Id="rId_hyperlink_172" Type="http://schemas.openxmlformats.org/officeDocument/2006/relationships/hyperlink" Target="https://old.ukr-mobil.com/zashchitnoe_steklo_nokia_4_2_full_glue_2_5d_black_10000626" TargetMode="External"/><Relationship Id="rId_hyperlink_173" Type="http://schemas.openxmlformats.org/officeDocument/2006/relationships/hyperlink" Target="https://old.ukr-mobil.com/zashchitnoe_steklo_nokia_5_1_full_glue_2_5d_black_10000628" TargetMode="External"/><Relationship Id="rId_hyperlink_174" Type="http://schemas.openxmlformats.org/officeDocument/2006/relationships/hyperlink" Target="https://old.ukr-mobil.com/zashchitnoe_steklo_nokia_6_full_glue_2_5d_black_10000630" TargetMode="External"/><Relationship Id="rId_hyperlink_175" Type="http://schemas.openxmlformats.org/officeDocument/2006/relationships/hyperlink" Target="https://old.ukr-mobil.com/zashchitnoe_steklo_nokia_6_1_full_glue_2_5d_black_10000631" TargetMode="External"/><Relationship Id="rId_hyperlink_176" Type="http://schemas.openxmlformats.org/officeDocument/2006/relationships/hyperlink" Target="https://old.ukr-mobil.com/zashchitnoe_steklo_samsung_a015_galaxy_a01_full_glue_2_5d_black_10000633" TargetMode="External"/><Relationship Id="rId_hyperlink_177" Type="http://schemas.openxmlformats.org/officeDocument/2006/relationships/hyperlink" Target="https://old.ukr-mobil.com/zashchitnoe_steklo_samsung_a105_galaxy_a10_2019_m105_galaxy_m10_full_glue_2_5d_black_12004" TargetMode="External"/><Relationship Id="rId_hyperlink_178" Type="http://schemas.openxmlformats.org/officeDocument/2006/relationships/hyperlink" Target="https://old.ukr-mobil.com/zashchitnoe_steklo_samsung_a205_galaxy_a20_2019_full_glue_2_5d_black_10000634" TargetMode="External"/><Relationship Id="rId_hyperlink_179" Type="http://schemas.openxmlformats.org/officeDocument/2006/relationships/hyperlink" Target="https://old.ukr-mobil.com/zashchitnoe_steklo_samsung_a217_galaxy_a21s_full_glue_2_5d_black_10001070" TargetMode="External"/><Relationship Id="rId_hyperlink_180" Type="http://schemas.openxmlformats.org/officeDocument/2006/relationships/hyperlink" Target="https://old.ukr-mobil.com/zashchitnoe_steklo_samsung_a405_galaxy_a40_2019_full_glue_2_5d_black_12006" TargetMode="External"/><Relationship Id="rId_hyperlink_181" Type="http://schemas.openxmlformats.org/officeDocument/2006/relationships/hyperlink" Target="https://old.ukr-mobil.com/zashchitnoe_steklo_samsung_a510_galaxy_a5_2016_full_glue_2_5d_white_12001" TargetMode="External"/><Relationship Id="rId_hyperlink_182" Type="http://schemas.openxmlformats.org/officeDocument/2006/relationships/hyperlink" Target="https://old.ukr-mobil.com/zashchitnoe_steklo_samsung_a515_galaxy_a51_full_glue_2_5d_black_10000636" TargetMode="External"/><Relationship Id="rId_hyperlink_183" Type="http://schemas.openxmlformats.org/officeDocument/2006/relationships/hyperlink" Target="https://old.ukr-mobil.com/zashchitnoe_steklo_samsung_a6060_galaxy_a60_2019_full_glue_2_5d_black_12311" TargetMode="External"/><Relationship Id="rId_hyperlink_184" Type="http://schemas.openxmlformats.org/officeDocument/2006/relationships/hyperlink" Target="https://old.ukr-mobil.com/zashchitnoe_steklo_samsung_a705_galaxy_a70_2019_full_glue_2_5d_black_12007" TargetMode="External"/><Relationship Id="rId_hyperlink_185" Type="http://schemas.openxmlformats.org/officeDocument/2006/relationships/hyperlink" Target="https://old.ukr-mobil.com/zashchitnoe_steklo_xiaomi_mi_8_pro_full_glue_2_5d_black_10000640" TargetMode="External"/><Relationship Id="rId_hyperlink_186" Type="http://schemas.openxmlformats.org/officeDocument/2006/relationships/hyperlink" Target="https://old.ukr-mobil.com/zashchitnoe_steklo_xiaomi_mi_8_se_full_glue_2_5d_black_10000641" TargetMode="External"/><Relationship Id="rId_hyperlink_187" Type="http://schemas.openxmlformats.org/officeDocument/2006/relationships/hyperlink" Target="https://old.ukr-mobil.com/zashchitnoe_steklo_xiaomi_mi_9_full_glue_2_5d_black_12049" TargetMode="External"/><Relationship Id="rId_hyperlink_188" Type="http://schemas.openxmlformats.org/officeDocument/2006/relationships/hyperlink" Target="https://old.ukr-mobil.com/zashchitnoe_steklo_xiaomi_mi_a1_mi5x_full_glue_2_5d_black_12040" TargetMode="External"/><Relationship Id="rId_hyperlink_189" Type="http://schemas.openxmlformats.org/officeDocument/2006/relationships/hyperlink" Target="https://old.ukr-mobil.com/zashchitnoe_steklo_xiaomi_redmi_8_redmi_8a_full_glue_2_5d_black_10000435" TargetMode="External"/><Relationship Id="rId_hyperlink_190" Type="http://schemas.openxmlformats.org/officeDocument/2006/relationships/hyperlink" Target="https://old.ukr-mobil.com/zashchitnoe_steklo_xiaomi_redmi_note_8_pro_full_glue_2_5d_black_10001410" TargetMode="External"/><Relationship Id="rId_hyperlink_191" Type="http://schemas.openxmlformats.org/officeDocument/2006/relationships/hyperlink" Target="https://old.ukr-mobil.com/zashchitnoe_steklo_xiaomi_redmi_s2_full_glue_2_5d_black_12058" TargetMode="External"/><Relationship Id="rId_hyperlink_192" Type="http://schemas.openxmlformats.org/officeDocument/2006/relationships/hyperlink" Target="https://old.ukr-mobil.com/zashchitnoe_steklo_apple_iphone_11_pro_max_pro-flexi_hd_full_glue_black_10001692" TargetMode="External"/><Relationship Id="rId_hyperlink_193" Type="http://schemas.openxmlformats.org/officeDocument/2006/relationships/hyperlink" Target="https://old.ukr-mobil.com/zashchitnoe_steklo_apple_iphone_11_pro_pro-flexi_hd_full_glue_black_10001691" TargetMode="External"/><Relationship Id="rId_hyperlink_194" Type="http://schemas.openxmlformats.org/officeDocument/2006/relationships/hyperlink" Target="https://old.ukr-mobil.com/zashchitnoe_steklo_apple_iphone_11_pro-flexi_hd_full_glue_black_10001690" TargetMode="External"/><Relationship Id="rId_hyperlink_195" Type="http://schemas.openxmlformats.org/officeDocument/2006/relationships/hyperlink" Target="https://old.ukr-mobil.com/zashchitnoe_steklo_apple_iphone_12_mini_pro-flexi_hd_full_glue_black_10001695" TargetMode="External"/><Relationship Id="rId_hyperlink_196" Type="http://schemas.openxmlformats.org/officeDocument/2006/relationships/hyperlink" Target="https://old.ukr-mobil.com/zashchitnoe_steklo_apple_iphone_12_pro_max_pro-flexi_hd_full_glue_black_10001694" TargetMode="External"/><Relationship Id="rId_hyperlink_197" Type="http://schemas.openxmlformats.org/officeDocument/2006/relationships/hyperlink" Target="https://old.ukr-mobil.com/zashchitnoe_steklo_apple_iphone_12_iphone_12_pro_pro-flexi_hd_full_glue_black_10001693" TargetMode="External"/><Relationship Id="rId_hyperlink_198" Type="http://schemas.openxmlformats.org/officeDocument/2006/relationships/hyperlink" Target="https://old.ukr-mobil.com/zashchitnoe_steklo_apple_iphone_13_pro_max_pro-flexi_hd_full_glue_black_10001953" TargetMode="External"/><Relationship Id="rId_hyperlink_199" Type="http://schemas.openxmlformats.org/officeDocument/2006/relationships/hyperlink" Target="https://old.ukr-mobil.com/zashchitnoe_steklo_apple_iphone_13_iphone_13_pro_pro-flexi_hd_full_glue_black_10001952" TargetMode="External"/><Relationship Id="rId_hyperlink_200" Type="http://schemas.openxmlformats.org/officeDocument/2006/relationships/hyperlink" Target="https://old.ukr-mobil.com/zashchitnoe_steklo_apple_iphone_7_plus_iphone_8_plus_pro-flexi_hd_full_glue_black_10001687" TargetMode="External"/><Relationship Id="rId_hyperlink_201" Type="http://schemas.openxmlformats.org/officeDocument/2006/relationships/hyperlink" Target="https://old.ukr-mobil.com/zashchitnoe_steklo_apple_iphone_7_iphone_8_pro-flexi_hd_full_glue_black_10001686" TargetMode="External"/><Relationship Id="rId_hyperlink_202" Type="http://schemas.openxmlformats.org/officeDocument/2006/relationships/hyperlink" Target="https://old.ukr-mobil.com/zashchitnoe_steklo_apple_iphone_x_iphone_xs_pro-flexi_hd_full_glue_black_10001688" TargetMode="External"/><Relationship Id="rId_hyperlink_203" Type="http://schemas.openxmlformats.org/officeDocument/2006/relationships/hyperlink" Target="https://old.ukr-mobil.com/zashchitnoe_steklo_apple_iphone_xs_max_pro-flexi_hd_full_glue_black_10001689" TargetMode="External"/><Relationship Id="rId_hyperlink_204" Type="http://schemas.openxmlformats.org/officeDocument/2006/relationships/hyperlink" Target="https://old.ukr-mobil.com/zashchitnoe_steklo_asus_zenfone_max_m2_zb633kl_pro-flexi_hd_full_glue_black_10001470" TargetMode="External"/><Relationship Id="rId_hyperlink_205" Type="http://schemas.openxmlformats.org/officeDocument/2006/relationships/hyperlink" Target="https://old.ukr-mobil.com/zashchitnoe_steklo_google_pixel_3_pro-flexi_hd_full_glue_black_10001472" TargetMode="External"/><Relationship Id="rId_hyperlink_206" Type="http://schemas.openxmlformats.org/officeDocument/2006/relationships/hyperlink" Target="https://old.ukr-mobil.com/zashchitnoe_steklo_google_pixel_3a_xl_pro-flexi_hd_full_glue_black_10002789" TargetMode="External"/><Relationship Id="rId_hyperlink_207" Type="http://schemas.openxmlformats.org/officeDocument/2006/relationships/hyperlink" Target="https://old.ukr-mobil.com/zashchitnoe_steklo_google_pixel_3a_pro-flexi_hd_full_glue_black_10001473" TargetMode="External"/><Relationship Id="rId_hyperlink_208" Type="http://schemas.openxmlformats.org/officeDocument/2006/relationships/hyperlink" Target="https://old.ukr-mobil.com/zashchitnoe_steklo_google_pixel_4_xl_pro-flexi_hd_full_glue_black_10002788" TargetMode="External"/><Relationship Id="rId_hyperlink_209" Type="http://schemas.openxmlformats.org/officeDocument/2006/relationships/hyperlink" Target="https://old.ukr-mobil.com/zashchitnoe_steklo_google_pixel_4_pro-flexi_hd_full_glue_black_10001474" TargetMode="External"/><Relationship Id="rId_hyperlink_210" Type="http://schemas.openxmlformats.org/officeDocument/2006/relationships/hyperlink" Target="https://old.ukr-mobil.com/zashchitnoe_steklo_google_pixel_5_pro-flexi_hd_full_glue_black_10002790" TargetMode="External"/><Relationship Id="rId_hyperlink_211" Type="http://schemas.openxmlformats.org/officeDocument/2006/relationships/hyperlink" Target="https://old.ukr-mobil.com/zashchitnoe_steklo_huawei_honor_10_lite_hry-lx1_honor_10i_hry-lx1t_pro-flexi_hd_full_glue_black_10001413" TargetMode="External"/><Relationship Id="rId_hyperlink_212" Type="http://schemas.openxmlformats.org/officeDocument/2006/relationships/hyperlink" Target="https://old.ukr-mobil.com/zashchitnoe_steklo_huawei_honor_7x_bnd-l21_l22_al10_l31_pro-flexi_hd_full_glue_black_10001414" TargetMode="External"/><Relationship Id="rId_hyperlink_213" Type="http://schemas.openxmlformats.org/officeDocument/2006/relationships/hyperlink" Target="https://old.ukr-mobil.com/zashchitnoe_steklo_huawei_honor_8a_jat-lx1_jat-l29_8a_pro_y6_2019_mrd-lx1_y6_prime_2019_y6s_2019_jat-l41_pro-flexi_hd_full_glue_black_10001951" TargetMode="External"/><Relationship Id="rId_hyperlink_214" Type="http://schemas.openxmlformats.org/officeDocument/2006/relationships/hyperlink" Target="https://old.ukr-mobil.com/zashchitnoe_steklo_huawei_honor_8x_jsn-l21_jsn-al00_view_10_lite_pro-flexi_hd_full_glue_black_10001415" TargetMode="External"/><Relationship Id="rId_hyperlink_215" Type="http://schemas.openxmlformats.org/officeDocument/2006/relationships/hyperlink" Target="https://old.ukr-mobil.com/zashchitnoe_steklo_huawei_nova_4e_p30_lite_mar-l21_lx2_lx1m_pro-flexi_hd_full_glue_black_10001417" TargetMode="External"/><Relationship Id="rId_hyperlink_216" Type="http://schemas.openxmlformats.org/officeDocument/2006/relationships/hyperlink" Target="https://old.ukr-mobil.com/zashchitnoe_steklo_huawei_p_smart_fig-lx1_fig-l21_fig-l31_fig-la1_enjoy_7s_pro-flexi_hd_full_glue_black_10001416" TargetMode="External"/><Relationship Id="rId_hyperlink_217" Type="http://schemas.openxmlformats.org/officeDocument/2006/relationships/hyperlink" Target="https://old.ukr-mobil.com/zashchitnoe_steklo_huawei_p_smart_2019_pot-lx3_pot-lx1_pot-al00_pro-flexi_hd_full_glue_black_10001418" TargetMode="External"/><Relationship Id="rId_hyperlink_218" Type="http://schemas.openxmlformats.org/officeDocument/2006/relationships/hyperlink" Target="https://old.ukr-mobil.com/zashchitnoe_steklo_huawei_p_smart_2021_ppa-lx2_y7a_honor_10x_lite_pro-flexi_hd_full_glue_10001906" TargetMode="External"/><Relationship Id="rId_hyperlink_219" Type="http://schemas.openxmlformats.org/officeDocument/2006/relationships/hyperlink" Target="https://old.ukr-mobil.com/zashchitnoe_steklo_huawei_p_smart_s_2020_y8p_aqm-lx1_honor_play_4t_pro_enjoy_10s_pro-flexi_hd_full_glue_10001907" TargetMode="External"/><Relationship Id="rId_hyperlink_220" Type="http://schemas.openxmlformats.org/officeDocument/2006/relationships/hyperlink" Target="https://old.ukr-mobil.com/zashchitnoe_steklo_huawei_p_smart_z_p_smart_pro_y9_prime_2019_y9s_honor_9x_stk-lx1_stk-l21_stk-l22_pro-flexi_hd_full_glue_black_10001419" TargetMode="External"/><Relationship Id="rId_hyperlink_221" Type="http://schemas.openxmlformats.org/officeDocument/2006/relationships/hyperlink" Target="https://old.ukr-mobil.com/zashchitnoe_steklo_huawei_p40_lite_e_art-l28_art-l29_y7p_2020_honor_9c_pro-flexi_hd_full_glue_black_10001420" TargetMode="External"/><Relationship Id="rId_hyperlink_222" Type="http://schemas.openxmlformats.org/officeDocument/2006/relationships/hyperlink" Target="https://old.ukr-mobil.com/zashchitnoe_steklo_huawei_y6_2018_atu-l21_y6_prime_2018_atu-l31_honor_7a_pro_aum-l29_honor_7c_aum-l41_pro-flexi_hd_full_glue_black_10001421" TargetMode="External"/><Relationship Id="rId_hyperlink_223" Type="http://schemas.openxmlformats.org/officeDocument/2006/relationships/hyperlink" Target="https://old.ukr-mobil.com/zashchitnoe_steklo_huawei_y6p_2020_honor_9a_med-l29_lx9_lx9n_l29n_moa-lx9_lx9n_pro-flexi_hd_full_glue_10003731" TargetMode="External"/><Relationship Id="rId_hyperlink_224" Type="http://schemas.openxmlformats.org/officeDocument/2006/relationships/hyperlink" Target="https://old.ukr-mobil.com/zashchitnoe_steklo_motorola_e6s_xt2053_e6i_pro-flexi_hd_full_glue_black_10002792" TargetMode="External"/><Relationship Id="rId_hyperlink_225" Type="http://schemas.openxmlformats.org/officeDocument/2006/relationships/hyperlink" Target="https://old.ukr-mobil.com/zashchitnoe_steklo_motorola_e7_xt2095_e7_power_xt2097_e7i_power_pro-flexi_hd_full_glue_black_10002794" TargetMode="External"/><Relationship Id="rId_hyperlink_226" Type="http://schemas.openxmlformats.org/officeDocument/2006/relationships/hyperlink" Target="https://old.ukr-mobil.com/zashchitnoe_steklo_motorola_g10_xt2127_g10_power_g30_lenovo_k13_pro_pro-flexi_hd_full_glue_black_10002795" TargetMode="External"/><Relationship Id="rId_hyperlink_227" Type="http://schemas.openxmlformats.org/officeDocument/2006/relationships/hyperlink" Target="https://old.ukr-mobil.com/zashchitnoe_steklo_motorola_g8_power_xt2041-1_xt2041-3_pro-flexi_hd_full_glue_black_10002793" TargetMode="External"/><Relationship Id="rId_hyperlink_228" Type="http://schemas.openxmlformats.org/officeDocument/2006/relationships/hyperlink" Target="https://old.ukr-mobil.com/zashchitnoe_steklo_motorola_xt2013-2_moto_one_action_xt1970_moto_one_vision_pro-flexi_hd_full_glue_black_10001452" TargetMode="External"/><Relationship Id="rId_hyperlink_229" Type="http://schemas.openxmlformats.org/officeDocument/2006/relationships/hyperlink" Target="https://old.ukr-mobil.com/zashchitnoe_steklo_motorola_xt2081_moto_e7_plus_xt2083_moto_g9_play_pro-flexi_hd_full_glue_black_10002250" TargetMode="External"/><Relationship Id="rId_hyperlink_230" Type="http://schemas.openxmlformats.org/officeDocument/2006/relationships/hyperlink" Target="https://old.ukr-mobil.com/zashchitnoe_steklo_motorola_xt2087_moto_g9_plus_s_tachskrinom_pro-flexi_hd_full_glue_black_10002251" TargetMode="External"/><Relationship Id="rId_hyperlink_231" Type="http://schemas.openxmlformats.org/officeDocument/2006/relationships/hyperlink" Target="https://old.ukr-mobil.com/zashchitnoe_steklo_nokia_2_4_pro-flexi_hd_full_glue_black_10002797" TargetMode="External"/><Relationship Id="rId_hyperlink_232" Type="http://schemas.openxmlformats.org/officeDocument/2006/relationships/hyperlink" Target="https://old.ukr-mobil.com/zashchitnoe_steklo_nokia_3_1_plus_pro-flexi_hd_full_glue_black_10001423" TargetMode="External"/><Relationship Id="rId_hyperlink_233" Type="http://schemas.openxmlformats.org/officeDocument/2006/relationships/hyperlink" Target="https://old.ukr-mobil.com/zashchitnoe_steklo_nokia_3_2_pro-flexi_hd_full_glue_black_10001424" TargetMode="External"/><Relationship Id="rId_hyperlink_234" Type="http://schemas.openxmlformats.org/officeDocument/2006/relationships/hyperlink" Target="https://old.ukr-mobil.com/zashchitnoe_steklo_nokia_3_4_pro-flexi_hd_full_glue_black_10001466" TargetMode="External"/><Relationship Id="rId_hyperlink_235" Type="http://schemas.openxmlformats.org/officeDocument/2006/relationships/hyperlink" Target="https://old.ukr-mobil.com/zashchitnoe_steklo_nokia_5_1_plus_pro-flexi_hd_full_glue_black_10001425" TargetMode="External"/><Relationship Id="rId_hyperlink_236" Type="http://schemas.openxmlformats.org/officeDocument/2006/relationships/hyperlink" Target="https://old.ukr-mobil.com/zashchitnoe_steklo_nokia_5_3_pro-flexi_hd_full_glue_black_10001426" TargetMode="External"/><Relationship Id="rId_hyperlink_237" Type="http://schemas.openxmlformats.org/officeDocument/2006/relationships/hyperlink" Target="https://old.ukr-mobil.com/zashchitnoe_steklo_nokia_5_4_pro-flexi_hd_full_glue_black_10001467" TargetMode="External"/><Relationship Id="rId_hyperlink_238" Type="http://schemas.openxmlformats.org/officeDocument/2006/relationships/hyperlink" Target="https://old.ukr-mobil.com/zashchitnoe_steklo_nokia_6_2_pro-flexi_hd_full_glue_black_10001465" TargetMode="External"/><Relationship Id="rId_hyperlink_239" Type="http://schemas.openxmlformats.org/officeDocument/2006/relationships/hyperlink" Target="https://old.ukr-mobil.com/zashchitnoe_steklo_nokia_g10_ta-1334_ta-1351_g20_ta-1336_pro-flexi_hd_full_glue_black_10002796" TargetMode="External"/><Relationship Id="rId_hyperlink_240" Type="http://schemas.openxmlformats.org/officeDocument/2006/relationships/hyperlink" Target="https://old.ukr-mobil.com/zashchitnoe_steklo_oneplus_6_pro-flexi_hd_full_glue_black_10001455" TargetMode="External"/><Relationship Id="rId_hyperlink_241" Type="http://schemas.openxmlformats.org/officeDocument/2006/relationships/hyperlink" Target="https://old.ukr-mobil.com/zashchitnoe_steklo_oneplus_6t_pro-flexi_hd_full_glue_black_10001456" TargetMode="External"/><Relationship Id="rId_hyperlink_242" Type="http://schemas.openxmlformats.org/officeDocument/2006/relationships/hyperlink" Target="https://old.ukr-mobil.com/zashchitnoe_steklo_oneplus_7_pro_pro-flexi_hd_full_glue_black_10001458" TargetMode="External"/><Relationship Id="rId_hyperlink_243" Type="http://schemas.openxmlformats.org/officeDocument/2006/relationships/hyperlink" Target="https://old.ukr-mobil.com/zashchitnoe_steklo_oneplus_7_pro-flexi_hd_full_glue_black_10001457" TargetMode="External"/><Relationship Id="rId_hyperlink_244" Type="http://schemas.openxmlformats.org/officeDocument/2006/relationships/hyperlink" Target="https://old.ukr-mobil.com/zashchitnoe_steklo_oneplus_8_pro-flexi_hd_full_glue_black_10001459" TargetMode="External"/><Relationship Id="rId_hyperlink_245" Type="http://schemas.openxmlformats.org/officeDocument/2006/relationships/hyperlink" Target="https://old.ukr-mobil.com/zashchitnoe_steklo_oneplus_8t_pro-flexi_hd_full_glue_black_10001460" TargetMode="External"/><Relationship Id="rId_hyperlink_246" Type="http://schemas.openxmlformats.org/officeDocument/2006/relationships/hyperlink" Target="https://old.ukr-mobil.com/zashchitnoe_steklo_oneplus_nord_pro-flexi_hd_full_glue_black_10001454" TargetMode="External"/><Relationship Id="rId_hyperlink_247" Type="http://schemas.openxmlformats.org/officeDocument/2006/relationships/hyperlink" Target="https://old.ukr-mobil.com/zashchitnoe_steklo_oppo_a12_pro-flexi_hd_full_glue_black_10001447" TargetMode="External"/><Relationship Id="rId_hyperlink_248" Type="http://schemas.openxmlformats.org/officeDocument/2006/relationships/hyperlink" Target="https://old.ukr-mobil.com/zashchitnoe_steklo_oppo_a15_a15s_pro-flexi_hd_full_glue_black_10001449" TargetMode="External"/><Relationship Id="rId_hyperlink_249" Type="http://schemas.openxmlformats.org/officeDocument/2006/relationships/hyperlink" Target="https://old.ukr-mobil.com/zashchitnoe_steklo_oppo_a31_a5_2020_a9_2020_realme_5_pro-flexi_hd_full_glue_black_10001448" TargetMode="External"/><Relationship Id="rId_hyperlink_250" Type="http://schemas.openxmlformats.org/officeDocument/2006/relationships/hyperlink" Target="https://old.ukr-mobil.com/zashchitnoe_steklo_oppo_a32_a53_pro-flexi_hd_full_glue_black_10001446" TargetMode="External"/><Relationship Id="rId_hyperlink_251" Type="http://schemas.openxmlformats.org/officeDocument/2006/relationships/hyperlink" Target="https://old.ukr-mobil.com/zashchitnoe_steklo_oppo_a52_a72_a92_pro-flexi_hd_full_glue_black_10001498" TargetMode="External"/><Relationship Id="rId_hyperlink_252" Type="http://schemas.openxmlformats.org/officeDocument/2006/relationships/hyperlink" Target="https://old.ukr-mobil.com/zashchitnoe_steklo_oppo_a54_pro-flexi_hd_full_glue_10001954" TargetMode="External"/><Relationship Id="rId_hyperlink_253" Type="http://schemas.openxmlformats.org/officeDocument/2006/relationships/hyperlink" Target="https://old.ukr-mobil.com/zashchitnoe_steklo_oppo_a74_4g_a94_reno_5_lite_realme_7_pro_realme_8_realme_8_pro_realme_v_pro-flexi_hd_full_glue_black_10002799" TargetMode="External"/><Relationship Id="rId_hyperlink_254" Type="http://schemas.openxmlformats.org/officeDocument/2006/relationships/hyperlink" Target="https://old.ukr-mobil.com/zashchitnoe_steklo_oppo_a91_pro-flexi_hd_full_glue_black_10001445" TargetMode="External"/><Relationship Id="rId_hyperlink_255" Type="http://schemas.openxmlformats.org/officeDocument/2006/relationships/hyperlink" Target="https://old.ukr-mobil.com/zashchitnoe_steklo_oppo_realme_6_pro_s_tachskrinom_pro-flexi_hd_full_glue_black_10002252" TargetMode="External"/><Relationship Id="rId_hyperlink_256" Type="http://schemas.openxmlformats.org/officeDocument/2006/relationships/hyperlink" Target="https://old.ukr-mobil.com/zashchitnoe_steklo_realme_c11_2021_realme_c20_realme_c20a_realme_c21_pro-flexi_hd_full_glue_10003732" TargetMode="External"/><Relationship Id="rId_hyperlink_257" Type="http://schemas.openxmlformats.org/officeDocument/2006/relationships/hyperlink" Target="https://old.ukr-mobil.com/zashchitnoe_steklo_realme_c21y_realme_c25y_pro-flexi_hd_full_glue_black_10002798" TargetMode="External"/><Relationship Id="rId_hyperlink_258" Type="http://schemas.openxmlformats.org/officeDocument/2006/relationships/hyperlink" Target="https://old.ukr-mobil.com/zashchitnoe_steklo_samsung_a015_galaxy_a01_pro-flexi_hd_full_glue_black_10001908" TargetMode="External"/><Relationship Id="rId_hyperlink_259" Type="http://schemas.openxmlformats.org/officeDocument/2006/relationships/hyperlink" Target="https://old.ukr-mobil.com/zashchitnoe_steklo_samsung_a025_galaxy_a02s_m025_galaxy_m02s_pro-flexi_hd_full_glue_10001909" TargetMode="External"/><Relationship Id="rId_hyperlink_260" Type="http://schemas.openxmlformats.org/officeDocument/2006/relationships/hyperlink" Target="https://old.ukr-mobil.com/zashchitnoe_steklo_samsung_a105_galaxy_a10_2019_m105_galaxy_m10_pro-flexi_hd_full_glue_black_10001428" TargetMode="External"/><Relationship Id="rId_hyperlink_261" Type="http://schemas.openxmlformats.org/officeDocument/2006/relationships/hyperlink" Target="https://old.ukr-mobil.com/zashchitnoe_steklo_samsung_a107_galaxy_a10s_2019_pro-flexi_hd_full_glue_black_10001429" TargetMode="External"/><Relationship Id="rId_hyperlink_262" Type="http://schemas.openxmlformats.org/officeDocument/2006/relationships/hyperlink" Target="https://old.ukr-mobil.com/zashchitnoe_steklo_samsung_a115_galaxy_a11_pro-flexi_hd_full_glue_black_10001910" TargetMode="External"/><Relationship Id="rId_hyperlink_263" Type="http://schemas.openxmlformats.org/officeDocument/2006/relationships/hyperlink" Target="https://old.ukr-mobil.com/zashchitnoe_steklo_samsung_a022_galaxy_a02_pro-flexi_hd_full_glue_black_10001450" TargetMode="External"/><Relationship Id="rId_hyperlink_264" Type="http://schemas.openxmlformats.org/officeDocument/2006/relationships/hyperlink" Target="https://old.ukr-mobil.com/zashchitnoe_steklo_samsung_a217_galaxy_a21s_pro-flexi_hd_full_glue_10001911" TargetMode="External"/><Relationship Id="rId_hyperlink_265" Type="http://schemas.openxmlformats.org/officeDocument/2006/relationships/hyperlink" Target="https://old.ukr-mobil.com/zashchitnoe_steklo_samsung_a325_galaxy_a32_pro-flexi_hd_full_glue_10001959" TargetMode="External"/><Relationship Id="rId_hyperlink_266" Type="http://schemas.openxmlformats.org/officeDocument/2006/relationships/hyperlink" Target="https://old.ukr-mobil.com/zashchitnoe_steklo_samsung_a225_galaxy_a22_pro-flexi_hd_full_glue_10001957" TargetMode="External"/><Relationship Id="rId_hyperlink_267" Type="http://schemas.openxmlformats.org/officeDocument/2006/relationships/hyperlink" Target="https://old.ukr-mobil.com/zashchitnoe_steklo_samsung_a305_galaxy_a30_2019_a505_galaxy_a50_2019_m305_galaxy_m30_2019_pro-flexi_hd_full_glue_black_10001430" TargetMode="External"/><Relationship Id="rId_hyperlink_268" Type="http://schemas.openxmlformats.org/officeDocument/2006/relationships/hyperlink" Target="https://old.ukr-mobil.com/zashchitnoe_steklo_samsung_a307_galaxy_a30s_2019_pro-flexi_hd_full_glue_black_10001431" TargetMode="External"/><Relationship Id="rId_hyperlink_269" Type="http://schemas.openxmlformats.org/officeDocument/2006/relationships/hyperlink" Target="https://old.ukr-mobil.com/zashchitnoe_steklo_samsung_a315_galaxy_a31_pro-flexi_hd_full_glue_10001912" TargetMode="External"/><Relationship Id="rId_hyperlink_270" Type="http://schemas.openxmlformats.org/officeDocument/2006/relationships/hyperlink" Target="https://old.ukr-mobil.com/zashchitnoe_steklo_samsung_a515_galaxy_a51_pro-flexi_hd_full_glue_10001913" TargetMode="External"/><Relationship Id="rId_hyperlink_271" Type="http://schemas.openxmlformats.org/officeDocument/2006/relationships/hyperlink" Target="https://old.ukr-mobil.com/zashchitnoe_steklo_samsung_a525_galaxy_a52_pro-flexi_hd_full_glue_10001958" TargetMode="External"/><Relationship Id="rId_hyperlink_272" Type="http://schemas.openxmlformats.org/officeDocument/2006/relationships/hyperlink" Target="https://old.ukr-mobil.com/zashchitnoe_steklo_samsung_a715_galaxy_a71_m515_galaxy_m51_pro-flexi_hd_full_glue_10001914" TargetMode="External"/><Relationship Id="rId_hyperlink_273" Type="http://schemas.openxmlformats.org/officeDocument/2006/relationships/hyperlink" Target="https://old.ukr-mobil.com/zashchitnoe_steklo_samsung_a750_galaxy_a7_2018_pro-flexi_hd_full_glue_black_10001432" TargetMode="External"/><Relationship Id="rId_hyperlink_274" Type="http://schemas.openxmlformats.org/officeDocument/2006/relationships/hyperlink" Target="https://old.ukr-mobil.com/zashchitnoe_steklo_samsung_j610_galaxy_j6_plus_2018_j415_galaxy_j4_plus_2018_pro-flexi_hd_full_glue_black_10001433" TargetMode="External"/><Relationship Id="rId_hyperlink_275" Type="http://schemas.openxmlformats.org/officeDocument/2006/relationships/hyperlink" Target="https://old.ukr-mobil.com/zashchitnoe_steklo_samsung_m215_galaxy_m21_m217_galaxy_m21s_m315_galaxy_m31_m317_galaxy_m31s_pro-flexi_hd_full_glue_black_10001434" TargetMode="External"/><Relationship Id="rId_hyperlink_276" Type="http://schemas.openxmlformats.org/officeDocument/2006/relationships/hyperlink" Target="https://old.ukr-mobil.com/zashchitnoe_steklo_tecno_camon_12_air_cc6_pro-flexi_hd_full_glue_10002803" TargetMode="External"/><Relationship Id="rId_hyperlink_277" Type="http://schemas.openxmlformats.org/officeDocument/2006/relationships/hyperlink" Target="https://old.ukr-mobil.com/zashchitnoe_steklo_tecno_camon_17p_cg7n_pro-flexi_hd_full_glue_10002910" TargetMode="External"/><Relationship Id="rId_hyperlink_278" Type="http://schemas.openxmlformats.org/officeDocument/2006/relationships/hyperlink" Target="https://old.ukr-mobil.com/zashchitnoe_steklo_tecno_camon_18_ch6n_pro-flexi_hd_full_glue_black_10002804" TargetMode="External"/><Relationship Id="rId_hyperlink_279" Type="http://schemas.openxmlformats.org/officeDocument/2006/relationships/hyperlink" Target="https://old.ukr-mobil.com/zashchitnoe_steklo_tecno_pop_5_bd2p_pro-flexi_hd_full_glue_10002911" TargetMode="External"/><Relationship Id="rId_hyperlink_280" Type="http://schemas.openxmlformats.org/officeDocument/2006/relationships/hyperlink" Target="https://old.ukr-mobil.com/zashchitnoe_steklo_tecno_pova_2_le7n_pova_3_lf7n_pro-flexi_hd_full_glue_10002908" TargetMode="External"/><Relationship Id="rId_hyperlink_281" Type="http://schemas.openxmlformats.org/officeDocument/2006/relationships/hyperlink" Target="https://old.ukr-mobil.com/zashchitnoe_steklo_tecno_spark_6_ke7_camon_16_se_ce7j_pro-flexi_hd_full_glue_10002906" TargetMode="External"/><Relationship Id="rId_hyperlink_282" Type="http://schemas.openxmlformats.org/officeDocument/2006/relationships/hyperlink" Target="https://old.ukr-mobil.com/zashchitnoe_steklo_tecno_spark_7_kf6n_pro-flexi_hd_full_glue_10002907" TargetMode="External"/><Relationship Id="rId_hyperlink_283" Type="http://schemas.openxmlformats.org/officeDocument/2006/relationships/hyperlink" Target="https://old.ukr-mobil.com/zashchitnoe_steklo_tecno_spark_7_pro_kf8_camon_17_cg6_pro-flexi_hd_full_glue_10002909" TargetMode="External"/><Relationship Id="rId_hyperlink_284" Type="http://schemas.openxmlformats.org/officeDocument/2006/relationships/hyperlink" Target="https://old.ukr-mobil.com/zashchitnoe_steklo_xiaomi_cc9e_mi_a3_pro-flexi_hd_full_glue_black_10001436" TargetMode="External"/><Relationship Id="rId_hyperlink_285" Type="http://schemas.openxmlformats.org/officeDocument/2006/relationships/hyperlink" Target="https://old.ukr-mobil.com/zashchitnoe_steklo_xiaomi_mi_10_lite_pro-flexi_hd_full_glue_black_10001463" TargetMode="External"/><Relationship Id="rId_hyperlink_286" Type="http://schemas.openxmlformats.org/officeDocument/2006/relationships/hyperlink" Target="https://old.ukr-mobil.com/zashchitnoe_steklo_xiaomi_mi_10t_lite_poco_x3_poco_x3_pro_pro-flexi_hd_full_glue_10001955" TargetMode="External"/><Relationship Id="rId_hyperlink_287" Type="http://schemas.openxmlformats.org/officeDocument/2006/relationships/hyperlink" Target="https://old.ukr-mobil.com/zashchitnoe_steklo_xiaomi_mi_11i_poco_f3_redmi_k40_s_tachskrinom_pro-flexi_hd_full_glue_black_10002249" TargetMode="External"/><Relationship Id="rId_hyperlink_288" Type="http://schemas.openxmlformats.org/officeDocument/2006/relationships/hyperlink" Target="https://old.ukr-mobil.com/zashchitnoe_steklo_xiaomi_mi_9t_mi_9t_pro_redmi_k20_redmi_k20_pro_pro-flexi_hd_full_glue_black_10001437" TargetMode="External"/><Relationship Id="rId_hyperlink_289" Type="http://schemas.openxmlformats.org/officeDocument/2006/relationships/hyperlink" Target="https://old.ukr-mobil.com/zashchitnoe_steklo_xiaomi_mi_a2_lite_redmi_6_pro_pro-flexi_hd_full_glue_black_10001438" TargetMode="External"/><Relationship Id="rId_hyperlink_290" Type="http://schemas.openxmlformats.org/officeDocument/2006/relationships/hyperlink" Target="https://old.ukr-mobil.com/zashchitnoe_steklo_xiaomi_mi_a2_mi6x_pro-flexi_hd_full_glue_black_10001499" TargetMode="External"/><Relationship Id="rId_hyperlink_291" Type="http://schemas.openxmlformats.org/officeDocument/2006/relationships/hyperlink" Target="https://old.ukr-mobil.com/zashchitnoe_steklo_xiaomi_mi_note_10_mi_note_10_lite_mi_note_10_pro_pro-flexi_hd_full_glue_black_10001462" TargetMode="External"/><Relationship Id="rId_hyperlink_292" Type="http://schemas.openxmlformats.org/officeDocument/2006/relationships/hyperlink" Target="https://old.ukr-mobil.com/zashchitnoe_steklo_xiaomi_redmi_10_pro-flexi_hd_full_glue_10002181" TargetMode="External"/><Relationship Id="rId_hyperlink_293" Type="http://schemas.openxmlformats.org/officeDocument/2006/relationships/hyperlink" Target="https://old.ukr-mobil.com/zashchitnoe_steklo_xiaomi_redmi_10c_redmi_10_power_poco_c40_pro-flexi_hd_full_glue_10003729" TargetMode="External"/><Relationship Id="rId_hyperlink_294" Type="http://schemas.openxmlformats.org/officeDocument/2006/relationships/hyperlink" Target="https://old.ukr-mobil.com/zashchitnoe_steklo_xiaomi_redmi_12c_pro-flexi_hd_full_glue_10003730" TargetMode="External"/><Relationship Id="rId_hyperlink_295" Type="http://schemas.openxmlformats.org/officeDocument/2006/relationships/hyperlink" Target="https://old.ukr-mobil.com/zashchitnoe_steklo_xiaomi_redmi_5_pro-flexi_hd_full_glue_black_10001439" TargetMode="External"/><Relationship Id="rId_hyperlink_296" Type="http://schemas.openxmlformats.org/officeDocument/2006/relationships/hyperlink" Target="https://old.ukr-mobil.com/zashchitnoe_steklo_xiaomi_redmi_7_pro-flexi_hd_full_glue_black_10002800" TargetMode="External"/><Relationship Id="rId_hyperlink_297" Type="http://schemas.openxmlformats.org/officeDocument/2006/relationships/hyperlink" Target="https://old.ukr-mobil.com/zashchitnoe_steklo_xiaomi_redmi_7a_pro-flexi_hd_full_glue_black_10002913" TargetMode="External"/><Relationship Id="rId_hyperlink_298" Type="http://schemas.openxmlformats.org/officeDocument/2006/relationships/hyperlink" Target="https://old.ukr-mobil.com/zashchitnoe_steklo_xiaomi_redmi_8_pro-flexi_hd_full_glue_black_10001461" TargetMode="External"/><Relationship Id="rId_hyperlink_299" Type="http://schemas.openxmlformats.org/officeDocument/2006/relationships/hyperlink" Target="https://old.ukr-mobil.com/zashchitnoe_steklo_xiaomi_redmi_9_pro-flexi_hd_full_glue_10001920" TargetMode="External"/><Relationship Id="rId_hyperlink_300" Type="http://schemas.openxmlformats.org/officeDocument/2006/relationships/hyperlink" Target="https://old.ukr-mobil.com/zashchitnoe_steklo_xiaomi_redmi_9a_redmi_9c_pro-flexi_hd_full_glue_black_10001441" TargetMode="External"/><Relationship Id="rId_hyperlink_301" Type="http://schemas.openxmlformats.org/officeDocument/2006/relationships/hyperlink" Target="https://old.ukr-mobil.com/zashchitnoe_steklo_xiaomi_poco_m3_pro-flexi_hd_full_glue_black_10001464" TargetMode="External"/><Relationship Id="rId_hyperlink_302" Type="http://schemas.openxmlformats.org/officeDocument/2006/relationships/hyperlink" Target="https://old.ukr-mobil.com/zashchitnoe_steklo_xiaomi_redmi_note_10_5g_poco_m3_pro_poco_m3_pro_5g_pro-flexi_hd_full_glue_black_10002801" TargetMode="External"/><Relationship Id="rId_hyperlink_303" Type="http://schemas.openxmlformats.org/officeDocument/2006/relationships/hyperlink" Target="https://old.ukr-mobil.com/zashchitnoe_steklo_xiaomi_redmi_note_10_pro_pro-flexi_hd_full_glue_10001916" TargetMode="External"/><Relationship Id="rId_hyperlink_304" Type="http://schemas.openxmlformats.org/officeDocument/2006/relationships/hyperlink" Target="https://old.ukr-mobil.com/zashchitnoe_steklo_xiaomi_redmi_note_10_pro-flexi_hd_full_glue_10001915" TargetMode="External"/><Relationship Id="rId_hyperlink_305" Type="http://schemas.openxmlformats.org/officeDocument/2006/relationships/hyperlink" Target="https://old.ukr-mobil.com/zashchitnoe_steklo_xiaomi_redmi_note_5_redmi_note_5_pro_pro-flexi_hd_full_glue_black_10001440" TargetMode="External"/><Relationship Id="rId_hyperlink_306" Type="http://schemas.openxmlformats.org/officeDocument/2006/relationships/hyperlink" Target="https://old.ukr-mobil.com/zashchitnoe_steklo_xiaomi_redmi_note_6_pro_pro-flexi_hd_full_glue_black_10001442" TargetMode="External"/><Relationship Id="rId_hyperlink_307" Type="http://schemas.openxmlformats.org/officeDocument/2006/relationships/hyperlink" Target="https://old.ukr-mobil.com/zashchitnoe_steklo_xiaomi_redmi_note_7_redmi_note_7_pro_pro-flexi_hd_full_glue_10001917" TargetMode="External"/><Relationship Id="rId_hyperlink_308" Type="http://schemas.openxmlformats.org/officeDocument/2006/relationships/hyperlink" Target="https://old.ukr-mobil.com/zashchitnoe_steklo_xiaomi_redmi_note_8_pro_pro-flexi_hd_full_glue_10001956" TargetMode="External"/><Relationship Id="rId_hyperlink_309" Type="http://schemas.openxmlformats.org/officeDocument/2006/relationships/hyperlink" Target="https://old.ukr-mobil.com/zashchitnoe_steklo_xiaomi_redmi_note_8_pro-flexi_hd_full_glue_10001918" TargetMode="External"/><Relationship Id="rId_hyperlink_310" Type="http://schemas.openxmlformats.org/officeDocument/2006/relationships/hyperlink" Target="https://old.ukr-mobil.com/zashchitnoe_steklo_xiaomi_redmi_note_9_pro_redmi_note_9s_poco_x3_pro-flexi_hd_full_glue_black_10001443" TargetMode="External"/><Relationship Id="rId_hyperlink_311" Type="http://schemas.openxmlformats.org/officeDocument/2006/relationships/hyperlink" Target="https://old.ukr-mobil.com/zashchitnoe_steklo_xiaomi_redmi_note_9_pro-flexi_hd_full_glue_10001919" TargetMode="External"/><Relationship Id="rId_hyperlink_312" Type="http://schemas.openxmlformats.org/officeDocument/2006/relationships/hyperlink" Target="https://old.ukr-mobil.com/zashchitnoe_steklo_iphone_x_iphone_xs_flexible_glass_white_9762" TargetMode="External"/><Relationship Id="rId_hyperlink_313" Type="http://schemas.openxmlformats.org/officeDocument/2006/relationships/hyperlink" Target="https://old.ukr-mobil.com/zashchitnoe_steklo_flexible_glass_iphone_5_5s_white_9756" TargetMode="External"/><Relationship Id="rId_hyperlink_314" Type="http://schemas.openxmlformats.org/officeDocument/2006/relationships/hyperlink" Target="https://old.ukr-mobil.com/zashchitnoe_steklo_flexible_glass_iphone_6_plus_6s_plus_black_9757" TargetMode="External"/><Relationship Id="rId_hyperlink_315" Type="http://schemas.openxmlformats.org/officeDocument/2006/relationships/hyperlink" Target="https://old.ukr-mobil.com/zashchitnoe_steklo_flexible_glass_iphone_6_plus_6s_plus_white_9758" TargetMode="External"/><Relationship Id="rId_hyperlink_316" Type="http://schemas.openxmlformats.org/officeDocument/2006/relationships/hyperlink" Target="https://old.ukr-mobil.com/zashchitnoe_steklo_flexible_glass_iphone_7_plus_black_9857" TargetMode="External"/><Relationship Id="rId_hyperlink_317" Type="http://schemas.openxmlformats.org/officeDocument/2006/relationships/hyperlink" Target="https://old.ukr-mobil.com/zashchitnoe_steklo_flexible_glass_iphone_8_black_9759" TargetMode="External"/><Relationship Id="rId_hyperlink_318" Type="http://schemas.openxmlformats.org/officeDocument/2006/relationships/hyperlink" Target="https://old.ukr-mobil.com/zashchitnoe_steklo_flexible_glass_iphone_8_white_9760" TargetMode="External"/><Relationship Id="rId_hyperlink_319" Type="http://schemas.openxmlformats.org/officeDocument/2006/relationships/hyperlink" Target="https://old.ukr-mobil.com/zashchitnoe_steklo_flexible_glass_huawei_gr5_2017_bln-l21_honor_6x_black_10023" TargetMode="External"/><Relationship Id="rId_hyperlink_320" Type="http://schemas.openxmlformats.org/officeDocument/2006/relationships/hyperlink" Target="https://old.ukr-mobil.com/zashchitnoe_steklo_flexible_glass_huawei_gr5_2017_bln-l21_honor_6x_white_10024" TargetMode="External"/><Relationship Id="rId_hyperlink_321" Type="http://schemas.openxmlformats.org/officeDocument/2006/relationships/hyperlink" Target="https://old.ukr-mobil.com/zashchitnoe_steklo_flexible_glass_huawei_honor_6a_black_10025" TargetMode="External"/><Relationship Id="rId_hyperlink_322" Type="http://schemas.openxmlformats.org/officeDocument/2006/relationships/hyperlink" Target="https://old.ukr-mobil.com/zashchitnoe_steklo_flexible_glass_huawei_honor_6a_white_10026" TargetMode="External"/><Relationship Id="rId_hyperlink_323" Type="http://schemas.openxmlformats.org/officeDocument/2006/relationships/hyperlink" Target="https://old.ukr-mobil.com/zashchitnoe_steklo_flexible_glass_huawei_p10_black_10022" TargetMode="External"/><Relationship Id="rId_hyperlink_324" Type="http://schemas.openxmlformats.org/officeDocument/2006/relationships/hyperlink" Target="https://old.ukr-mobil.com/zashchitnoe_steklo_flexible_glass_huawei_p10_lite_black_10027" TargetMode="External"/><Relationship Id="rId_hyperlink_325" Type="http://schemas.openxmlformats.org/officeDocument/2006/relationships/hyperlink" Target="https://old.ukr-mobil.com/zashchitnoe_steklo_flexible_glass_huawei_p10_lite_white_10028" TargetMode="External"/><Relationship Id="rId_hyperlink_326" Type="http://schemas.openxmlformats.org/officeDocument/2006/relationships/hyperlink" Target="https://old.ukr-mobil.com/zashchitnoe_steklo_flexible_glass_samsung_a320_galaxy_a3_2017_black_10029" TargetMode="External"/><Relationship Id="rId_hyperlink_327" Type="http://schemas.openxmlformats.org/officeDocument/2006/relationships/hyperlink" Target="https://old.ukr-mobil.com/zashchitnoe_steklo_flexible_glass_samsung_a320_galaxy_a3_2017_white_10030" TargetMode="External"/><Relationship Id="rId_hyperlink_328" Type="http://schemas.openxmlformats.org/officeDocument/2006/relationships/hyperlink" Target="https://old.ukr-mobil.com/zashchitnoe_steklo_flexible_glass_samsung_a510_galaxy_a5_2016_black_10031" TargetMode="External"/><Relationship Id="rId_hyperlink_329" Type="http://schemas.openxmlformats.org/officeDocument/2006/relationships/hyperlink" Target="https://old.ukr-mobil.com/zashchitnoe_steklo_flexible_glass_samsung_a510_galaxy_a5_2016_white_10032" TargetMode="External"/><Relationship Id="rId_hyperlink_330" Type="http://schemas.openxmlformats.org/officeDocument/2006/relationships/hyperlink" Target="https://old.ukr-mobil.com/zashchitnoe_steklo_flexible_glass_samsung_a520_galaxy_a5_2017_black_10033" TargetMode="External"/><Relationship Id="rId_hyperlink_331" Type="http://schemas.openxmlformats.org/officeDocument/2006/relationships/hyperlink" Target="https://old.ukr-mobil.com/zashchitnoe_steklo_flexible_glass_samsung_a520_galaxy_a5_2017_white_10034" TargetMode="External"/><Relationship Id="rId_hyperlink_332" Type="http://schemas.openxmlformats.org/officeDocument/2006/relationships/hyperlink" Target="https://old.ukr-mobil.com/zashchitnoe_steklo_flexible_glass_samsung_j510_galaxy_j5_2016_black_10035" TargetMode="External"/><Relationship Id="rId_hyperlink_333" Type="http://schemas.openxmlformats.org/officeDocument/2006/relationships/hyperlink" Target="https://old.ukr-mobil.com/zashchitnoe_steklo_flexible_glass_samsung_j510_galaxy_j5_2016_white_10036" TargetMode="External"/><Relationship Id="rId_hyperlink_334" Type="http://schemas.openxmlformats.org/officeDocument/2006/relationships/hyperlink" Target="https://old.ukr-mobil.com/zashchitnoe_steklo_flexible_glass_samsung_j530_galaxy_j5_2017_black_10038" TargetMode="External"/><Relationship Id="rId_hyperlink_335" Type="http://schemas.openxmlformats.org/officeDocument/2006/relationships/hyperlink" Target="https://old.ukr-mobil.com/zashchitnoe_steklo_flexible_glass_samsung_j530_galaxy_j5_2017_white_10037" TargetMode="External"/><Relationship Id="rId_hyperlink_336" Type="http://schemas.openxmlformats.org/officeDocument/2006/relationships/hyperlink" Target="https://old.ukr-mobil.com/zashchitnoe_steklo_flexible_glass_xiaomi_mi_a1_mi5x_black_9763" TargetMode="External"/><Relationship Id="rId_hyperlink_337" Type="http://schemas.openxmlformats.org/officeDocument/2006/relationships/hyperlink" Target="https://old.ukr-mobil.com/zashchitnoe_steklo_flexible_glass_xiaomi_mi_a1_mi5x_white_9764" TargetMode="External"/><Relationship Id="rId_hyperlink_338" Type="http://schemas.openxmlformats.org/officeDocument/2006/relationships/hyperlink" Target="https://old.ukr-mobil.com/zashchitnoe_steklo_flexible_glass_xiaomi_mi_note_3_black_10018" TargetMode="External"/><Relationship Id="rId_hyperlink_339" Type="http://schemas.openxmlformats.org/officeDocument/2006/relationships/hyperlink" Target="https://old.ukr-mobil.com/zashchitnoe_steklo_flexible_glass_xiaomi_mi_note_3_white_10019" TargetMode="External"/><Relationship Id="rId_hyperlink_340" Type="http://schemas.openxmlformats.org/officeDocument/2006/relationships/hyperlink" Target="https://old.ukr-mobil.com/zashchitnoe_steklo_flexible_glass_xiaomi_redmi_4x_black_9765" TargetMode="External"/><Relationship Id="rId_hyperlink_341" Type="http://schemas.openxmlformats.org/officeDocument/2006/relationships/hyperlink" Target="https://old.ukr-mobil.com/zashchitnoe_steklo_flexible_glass_xiaomi_redmi_4x_white_9766" TargetMode="External"/><Relationship Id="rId_hyperlink_342" Type="http://schemas.openxmlformats.org/officeDocument/2006/relationships/hyperlink" Target="https://old.ukr-mobil.com/zashchitnoe_steklo_flexible_glass_xiaomi_redmi_5_black_10020" TargetMode="External"/><Relationship Id="rId_hyperlink_343" Type="http://schemas.openxmlformats.org/officeDocument/2006/relationships/hyperlink" Target="https://old.ukr-mobil.com/zashchitnoe_steklo_flexible_glass_xiaomi_redmi_5_white_10021" TargetMode="External"/><Relationship Id="rId_hyperlink_344" Type="http://schemas.openxmlformats.org/officeDocument/2006/relationships/hyperlink" Target="https://old.ukr-mobil.com/zashchitnoe_steklo_flexible_glass_xiaomi_redmi_note_4x_black_9767" TargetMode="External"/><Relationship Id="rId_hyperlink_345" Type="http://schemas.openxmlformats.org/officeDocument/2006/relationships/hyperlink" Target="https://old.ukr-mobil.com/zashchitnoe_steklo_flexible_glass_xiaomi_redmi_note_4x_white_9768" TargetMode="External"/><Relationship Id="rId_hyperlink_346" Type="http://schemas.openxmlformats.org/officeDocument/2006/relationships/hyperlink" Target="https://old.ukr-mobil.com/gidrogelevaya_plenka_apple_iphone_11_iphone_xr_sunshine_ss-057_glyanec_10003094" TargetMode="External"/><Relationship Id="rId_hyperlink_347" Type="http://schemas.openxmlformats.org/officeDocument/2006/relationships/hyperlink" Target="https://old.ukr-mobil.com/gidrogelevaya_plenka_apple_iphone_13_pro_max_sunshine_ss-057_glyanec_10003092" TargetMode="External"/><Relationship Id="rId_hyperlink_348" Type="http://schemas.openxmlformats.org/officeDocument/2006/relationships/hyperlink" Target="https://old.ukr-mobil.com/gidrogelevaya_plenka_apple_iphone_13_iphone_13_pro_sunshine_ss-057_glyanec_10003091" TargetMode="External"/><Relationship Id="rId_hyperlink_349" Type="http://schemas.openxmlformats.org/officeDocument/2006/relationships/hyperlink" Target="https://old.ukr-mobil.com/gidrogelevaya_plenka_apple_iphone_x_iphone_xs_sunshine_ss-057_glyanec_10003093" TargetMode="External"/><Relationship Id="rId_hyperlink_350" Type="http://schemas.openxmlformats.org/officeDocument/2006/relationships/hyperlink" Target="https://old.ukr-mobil.com/gidrogelevaya_plenka_hd_clear_tpu_180mm_120mm_upakovka_50_sht_10004357" TargetMode="External"/><Relationship Id="rId_hyperlink_351" Type="http://schemas.openxmlformats.org/officeDocument/2006/relationships/hyperlink" Target="https://old.ukr-mobil.com/gidrogelevaya_plenka_nova_8i_nen-lx1_nen-l22_honor_50_lite_honor_x20_ntn-l22_sunshine_ss-057e_matovaya_10002321" TargetMode="External"/><Relationship Id="rId_hyperlink_352" Type="http://schemas.openxmlformats.org/officeDocument/2006/relationships/hyperlink" Target="https://old.ukr-mobil.com/gidrogelevaya_plenka_premium_hd_clear_180mm_120mm_upakovka_50_sht_korea_10004355" TargetMode="External"/><Relationship Id="rId_hyperlink_353" Type="http://schemas.openxmlformats.org/officeDocument/2006/relationships/hyperlink" Target="https://old.ukr-mobil.com/gidrogelevaya_plenka_premium_hd_privacy_anti-shpion_180mm_120mm_upakovka_50_sht_korea_10004356" TargetMode="External"/><Relationship Id="rId_hyperlink_354" Type="http://schemas.openxmlformats.org/officeDocument/2006/relationships/hyperlink" Target="https://old.ukr-mobil.com/gidrogelevaya_plenka_samsung_a125_galaxy_a12_a022_galaxy_a02_a326_galaxy_a32_5g_m127_galaxy_m12_m022_galaxy_m02_sunshine_ss-057_glyanec_10003095" TargetMode="External"/><Relationship Id="rId_hyperlink_355" Type="http://schemas.openxmlformats.org/officeDocument/2006/relationships/hyperlink" Target="https://old.ukr-mobil.com/gidrogelevaya_plenka_samsung_n975_galaxy_note_10_plus_sunshine_ss-057_10003078" TargetMode="External"/><Relationship Id="rId_hyperlink_356" Type="http://schemas.openxmlformats.org/officeDocument/2006/relationships/hyperlink" Target="https://old.ukr-mobil.com/gidrogelevaya_plenka_sunshine_ss-057_180mm_120mm_10001078" TargetMode="External"/><Relationship Id="rId_hyperlink_357" Type="http://schemas.openxmlformats.org/officeDocument/2006/relationships/hyperlink" Target="https://old.ukr-mobil.com/gidrogelevaya_plenka_sunshine_ss-057b_180mm_120mm_antiblikovaya_10001079" TargetMode="External"/><Relationship Id="rId_hyperlink_358" Type="http://schemas.openxmlformats.org/officeDocument/2006/relationships/hyperlink" Target="https://old.ukr-mobil.com/gidrogelevaya_plenka_sunshine_ss-057e_matovaya_180mm_120mm_upakovka_50_sht_10001533" TargetMode="External"/><Relationship Id="rId_hyperlink_359" Type="http://schemas.openxmlformats.org/officeDocument/2006/relationships/hyperlink" Target="https://old.ukr-mobil.com/gidrogelevaya_plenka_sunshine_ss-057p_300mm_200mm_antiblikovaya_10001080" TargetMode="External"/><Relationship Id="rId_hyperlink_360" Type="http://schemas.openxmlformats.org/officeDocument/2006/relationships/hyperlink" Target="https://old.ukr-mobil.com/gidrogelevaya_plenka_sunshine_ss-057r_dlya_zakruglennyh_ehkranov_edge_180mm_120mm_upakovka_50_sht_korea_10003416" TargetMode="External"/><Relationship Id="rId_hyperlink_361" Type="http://schemas.openxmlformats.org/officeDocument/2006/relationships/hyperlink" Target="https://old.ukr-mobil.com/gidrogelevaya_plenka_sunshine_ss-075_180mm_120mm_upakovka_50_sht_china_10002299" TargetMode="External"/><Relationship Id="rId_hyperlink_362" Type="http://schemas.openxmlformats.org/officeDocument/2006/relationships/hyperlink" Target="https://old.ukr-mobil.com/gidrogelevaya_plenka_tecno_spark_6_go_ke5_sunshine_ss-057_glyanec_10003089" TargetMode="External"/><Relationship Id="rId_hyperlink_363" Type="http://schemas.openxmlformats.org/officeDocument/2006/relationships/hyperlink" Target="https://old.ukr-mobil.com/gidrogelevaya_plenka_tecno_spark_6_go_ke5_sunshine_ss-057e_matovaya_10002319" TargetMode="External"/><Relationship Id="rId_hyperlink_364" Type="http://schemas.openxmlformats.org/officeDocument/2006/relationships/hyperlink" Target="https://old.ukr-mobil.com/gidrogelevaya_plenka_tecno_spark_7_kf6n_sunshine_ss-057e_matovaya_10003054" TargetMode="External"/><Relationship Id="rId_hyperlink_365" Type="http://schemas.openxmlformats.org/officeDocument/2006/relationships/hyperlink" Target="https://old.ukr-mobil.com/gidrogelevaya_plenka_xiaomi_redmi_9a_redmi_9c_sunshine_ss-057_glyanec_10003090" TargetMode="External"/><Relationship Id="rId_hyperlink_366" Type="http://schemas.openxmlformats.org/officeDocument/2006/relationships/hyperlink" Target="https://old.ukr-mobil.com/universalnaya_gidrogelevaya_plenka_dlya_telefona_10001491" TargetMode="External"/><Relationship Id="rId_hyperlink_367" Type="http://schemas.openxmlformats.org/officeDocument/2006/relationships/hyperlink" Target="https://old.ukr-mobil.com/plenka_zashchitnaya_polimernaya_anti-microbial_dlya_apple_iphone_12_iphone_12_pro_10001731" TargetMode="External"/><Relationship Id="rId_hyperlink_368" Type="http://schemas.openxmlformats.org/officeDocument/2006/relationships/hyperlink" Target="https://old.ukr-mobil.com/plenka_zashchitnaya_polimernaya_anti-microbial_dlya_huawei_mate_40_10001721" TargetMode="External"/><Relationship Id="rId_hyperlink_369" Type="http://schemas.openxmlformats.org/officeDocument/2006/relationships/hyperlink" Target="https://old.ukr-mobil.com/plenka_zashchitnaya_polimernaya_anti-microbial_dlya_huawei_p30_pro_10001718" TargetMode="External"/><Relationship Id="rId_hyperlink_370" Type="http://schemas.openxmlformats.org/officeDocument/2006/relationships/hyperlink" Target="https://old.ukr-mobil.com/plenka_zashchitnaya_polimernaya_anti-microbial_dlya_huawei_p40_pro_10001719" TargetMode="External"/><Relationship Id="rId_hyperlink_371" Type="http://schemas.openxmlformats.org/officeDocument/2006/relationships/hyperlink" Target="https://old.ukr-mobil.com/plenka_zashchitnaya_polimernaya_anti-microbial_dlya_huawei_p40_pro_plus_10001720" TargetMode="External"/><Relationship Id="rId_hyperlink_372" Type="http://schemas.openxmlformats.org/officeDocument/2006/relationships/hyperlink" Target="https://old.ukr-mobil.com/plenka_zashchitnaya_polimernaya_anti-microbial_dlya_oneplus_8_10001732" TargetMode="External"/><Relationship Id="rId_hyperlink_373" Type="http://schemas.openxmlformats.org/officeDocument/2006/relationships/hyperlink" Target="https://old.ukr-mobil.com/plenka_zashchitnaya_polimernaya_anti-microbial_dlya_oppo_reno_4_pro_10001722" TargetMode="External"/><Relationship Id="rId_hyperlink_374" Type="http://schemas.openxmlformats.org/officeDocument/2006/relationships/hyperlink" Target="https://old.ukr-mobil.com/plenka_zashchitnaya_polimernaya_anti-microbial_dlya_samsung_g950_galaxy_s8_10001699" TargetMode="External"/><Relationship Id="rId_hyperlink_375" Type="http://schemas.openxmlformats.org/officeDocument/2006/relationships/hyperlink" Target="https://old.ukr-mobil.com/plenka_zashchitnaya_polimernaya_anti-microbial_dlya_samsung_g955_galaxy_s8_plus_10001700" TargetMode="External"/><Relationship Id="rId_hyperlink_376" Type="http://schemas.openxmlformats.org/officeDocument/2006/relationships/hyperlink" Target="https://old.ukr-mobil.com/plenka_zashchitnaya_polimernaya_anti-microbial_dlya_samsung_g960_galaxy_s9_10001701" TargetMode="External"/><Relationship Id="rId_hyperlink_377" Type="http://schemas.openxmlformats.org/officeDocument/2006/relationships/hyperlink" Target="https://old.ukr-mobil.com/plenka_zashchitnaya_polimernaya_anti-microbial_dlya_samsung_g965_galaxy_s9_plus_10001702" TargetMode="External"/><Relationship Id="rId_hyperlink_378" Type="http://schemas.openxmlformats.org/officeDocument/2006/relationships/hyperlink" Target="https://old.ukr-mobil.com/plenka_zashchitnaya_polimernaya_anti-microbial_dlya_samsung_g973_galaxy_s10_10001703" TargetMode="External"/><Relationship Id="rId_hyperlink_379" Type="http://schemas.openxmlformats.org/officeDocument/2006/relationships/hyperlink" Target="https://old.ukr-mobil.com/plenka_zashchitnaya_polimernaya_anti-microbial_dlya_samsung_g975_galaxy_s10_plus_10001704" TargetMode="External"/><Relationship Id="rId_hyperlink_380" Type="http://schemas.openxmlformats.org/officeDocument/2006/relationships/hyperlink" Target="https://old.ukr-mobil.com/plenka_zashchitnaya_polimernaya_anti-microbial_dlya_samsung_g980_galaxy_s20_10001705" TargetMode="External"/><Relationship Id="rId_hyperlink_381" Type="http://schemas.openxmlformats.org/officeDocument/2006/relationships/hyperlink" Target="https://old.ukr-mobil.com/plenka_zashchitnaya_polimernaya_anti-microbial_dlya_samsung_g985_galaxy_s20_plus_10001706" TargetMode="External"/><Relationship Id="rId_hyperlink_382" Type="http://schemas.openxmlformats.org/officeDocument/2006/relationships/hyperlink" Target="https://old.ukr-mobil.com/plenka_zashchitnaya_polimernaya_anti-microbial_dlya_samsung_g988_galaxy_s20_ultra_10001707" TargetMode="External"/><Relationship Id="rId_hyperlink_383" Type="http://schemas.openxmlformats.org/officeDocument/2006/relationships/hyperlink" Target="https://old.ukr-mobil.com/plenka_zashchitnaya_polimernaya_anti-microbial_dlya_samsung_g991_galaxy_s21_10001708" TargetMode="External"/><Relationship Id="rId_hyperlink_384" Type="http://schemas.openxmlformats.org/officeDocument/2006/relationships/hyperlink" Target="https://old.ukr-mobil.com/plenka_zashchitnaya_polimernaya_anti-microbial_dlya_samsung_g996_galaxy_s21_plus_10001709" TargetMode="External"/><Relationship Id="rId_hyperlink_385" Type="http://schemas.openxmlformats.org/officeDocument/2006/relationships/hyperlink" Target="https://old.ukr-mobil.com/plenka_zashchitnaya_polimernaya_anti-microbial_dlya_samsung_g998_galaxy_s21_ultra_10001710" TargetMode="External"/><Relationship Id="rId_hyperlink_386" Type="http://schemas.openxmlformats.org/officeDocument/2006/relationships/hyperlink" Target="https://old.ukr-mobil.com/plenka_zashchitnaya_polimernaya_anti-microbial_dlya_samsung_n950_galaxy_note_8_10001711" TargetMode="External"/><Relationship Id="rId_hyperlink_387" Type="http://schemas.openxmlformats.org/officeDocument/2006/relationships/hyperlink" Target="https://old.ukr-mobil.com/plenka_zashchitnaya_polimernaya_anti-microbial_dlya_samsung_n960_galaxy_note_9_10001712" TargetMode="External"/><Relationship Id="rId_hyperlink_388" Type="http://schemas.openxmlformats.org/officeDocument/2006/relationships/hyperlink" Target="https://old.ukr-mobil.com/plenka_zashchitnaya_polimernaya_anti-microbial_dlya_samsung_n970_galaxy_note_10_10001713" TargetMode="External"/><Relationship Id="rId_hyperlink_389" Type="http://schemas.openxmlformats.org/officeDocument/2006/relationships/hyperlink" Target="https://old.ukr-mobil.com/plenka_zashchitnaya_polimernaya_anti-microbial_dlya_samsung_n975_galaxy_note_10_plus_10001714" TargetMode="External"/><Relationship Id="rId_hyperlink_390" Type="http://schemas.openxmlformats.org/officeDocument/2006/relationships/hyperlink" Target="https://old.ukr-mobil.com/plenka_zashchitnaya_polimernaya_anti-microbial_dlya_samsung_n980_galaxy_note_20_10001715" TargetMode="External"/><Relationship Id="rId_hyperlink_391" Type="http://schemas.openxmlformats.org/officeDocument/2006/relationships/hyperlink" Target="https://old.ukr-mobil.com/plenka_zashchitnaya_polimernaya_anti-microbial_dlya_samsung_n985_galaxy_note_20_ultra_10001716" TargetMode="External"/><Relationship Id="rId_hyperlink_392" Type="http://schemas.openxmlformats.org/officeDocument/2006/relationships/hyperlink" Target="https://old.ukr-mobil.com/plenka_zashchitnaya_polimernaya_anti-microbial_dlya_xiaomi_mi_10_10001724" TargetMode="External"/><Relationship Id="rId_hyperlink_393" Type="http://schemas.openxmlformats.org/officeDocument/2006/relationships/hyperlink" Target="https://old.ukr-mobil.com/plenka_zashchitnaya_polimernaya_anti-microbial_dlya_xiaomi_mi_10_pro_10001725" TargetMode="External"/><Relationship Id="rId_hyperlink_394" Type="http://schemas.openxmlformats.org/officeDocument/2006/relationships/hyperlink" Target="https://old.ukr-mobil.com/plenka_zashchitnaya_polimernaya_anti-microbial_dlya_xiaomi_mi_11_10001726" TargetMode="External"/><Relationship Id="rId_hyperlink_395" Type="http://schemas.openxmlformats.org/officeDocument/2006/relationships/hyperlink" Target="https://old.ukr-mobil.com/plenka_zashchitnaya_polimernaya_anti-microbial_dlya_xiaomi_mi_11_pro_10001728" TargetMode="External"/><Relationship Id="rId_hyperlink_396" Type="http://schemas.openxmlformats.org/officeDocument/2006/relationships/hyperlink" Target="https://old.ukr-mobil.com/plenka_zashchitnaya_polimernaya_anti-microbial_dlya_xiaomi_mi_11_ultra_10001727" TargetMode="External"/><Relationship Id="rId_hyperlink_397" Type="http://schemas.openxmlformats.org/officeDocument/2006/relationships/hyperlink" Target="https://old.ukr-mobil.com/kabel_apple_lightning_to_usb_dlya_iphone_ipad_1m_md818_original_prc_10001519" TargetMode="External"/><Relationship Id="rId_hyperlink_398" Type="http://schemas.openxmlformats.org/officeDocument/2006/relationships/hyperlink" Target="https://old.ukr-mobil.com/kabel_apple_lightning_to_usb_dlya_iphone_ipad_2m_md819_original_prc_10001520" TargetMode="External"/><Relationship Id="rId_hyperlink_399" Type="http://schemas.openxmlformats.org/officeDocument/2006/relationships/hyperlink" Target="https://old.ukr-mobil.com/kabel_apple_lightning_to_usb-c_dlya_iphone_ipad_1m_mx0k2_bez_upakovki_original_prc_10001476" TargetMode="External"/><Relationship Id="rId_hyperlink_400" Type="http://schemas.openxmlformats.org/officeDocument/2006/relationships/hyperlink" Target="https://old.ukr-mobil.com/kabel_apple_lightning_to_usb-c_dlya_iphone_ipad_1m_mx0k2_original_prc_10001475" TargetMode="External"/><Relationship Id="rId_hyperlink_401" Type="http://schemas.openxmlformats.org/officeDocument/2006/relationships/hyperlink" Target="https://old.ukr-mobil.com/kabel_apple_lightning_to_usb-c_dlya_iphone_ipad_2m_md819_bez_upakovki_original_prc_10001478" TargetMode="External"/><Relationship Id="rId_hyperlink_402" Type="http://schemas.openxmlformats.org/officeDocument/2006/relationships/hyperlink" Target="https://old.ukr-mobil.com/kabel_apple_lightning_to_usb-c_dlya_iphone_ipad_2m_md819_original_prc_10001477" TargetMode="External"/><Relationship Id="rId_hyperlink_403" Type="http://schemas.openxmlformats.org/officeDocument/2006/relationships/hyperlink" Target="https://old.ukr-mobil.com/perekhodnik_dlya_naushnikov_lightning_to_3_5_jack_a1749_original_10001558" TargetMode="External"/><Relationship Id="rId_hyperlink_404" Type="http://schemas.openxmlformats.org/officeDocument/2006/relationships/hyperlink" Target="https://old.ukr-mobil.com/kabel_baseus_cafule_cable_special_edition_calklf-g91_usb_to_lightning_2_4a_1m_red_10002684" TargetMode="External"/><Relationship Id="rId_hyperlink_405" Type="http://schemas.openxmlformats.org/officeDocument/2006/relationships/hyperlink" Target="https://old.ukr-mobil.com/kabel_baseus_cafule_cable_special_edition_calklf-gg1_usb_to_lightning_2_4a_1m_black_10001658" TargetMode="External"/><Relationship Id="rId_hyperlink_406" Type="http://schemas.openxmlformats.org/officeDocument/2006/relationships/hyperlink" Target="https://old.ukr-mobil.com/kabel_baseus_cafule_flash_charging_catklf-alg1_type-c_to_type-c_100w_5a_pd_2_0_qc_3_0_2m_10001671" TargetMode="External"/><Relationship Id="rId_hyperlink_407" Type="http://schemas.openxmlformats.org/officeDocument/2006/relationships/hyperlink" Target="https://old.ukr-mobil.com/kabel_baseus_green_u-shaped_lamp_mobile_game_calux-b01_usb_to_lightning_1_5a_2m_black_10001659" TargetMode="External"/><Relationship Id="rId_hyperlink_408" Type="http://schemas.openxmlformats.org/officeDocument/2006/relationships/hyperlink" Target="https://old.ukr-mobil.com/kabel_baseus_high_definition_series_wkgq010001_type-c_to_hdmi_4k_60hz_1m_black_10003440" TargetMode="External"/><Relationship Id="rId_hyperlink_409" Type="http://schemas.openxmlformats.org/officeDocument/2006/relationships/hyperlink" Target="https://old.ukr-mobil.com/kabel_baseus_high_definition_series_wkgq020001_hdmi_to_hdmi_4k_60hz_1m_black_10003438" TargetMode="External"/><Relationship Id="rId_hyperlink_410" Type="http://schemas.openxmlformats.org/officeDocument/2006/relationships/hyperlink" Target="https://old.ukr-mobil.com/kabel_baseus_high_definition_series_wkgq020201_hdmi_to_hdmi_4k_60hz_2m_black_10003439" TargetMode="External"/><Relationship Id="rId_hyperlink_411" Type="http://schemas.openxmlformats.org/officeDocument/2006/relationships/hyperlink" Target="https://old.ukr-mobil.com/kabel_baseus_high_definition_series_wkgq020401_hdmi_to_hdmi_4k_60hz_5m_black_10003455" TargetMode="External"/><Relationship Id="rId_hyperlink_412" Type="http://schemas.openxmlformats.org/officeDocument/2006/relationships/hyperlink" Target="https://old.ukr-mobil.com/kabel_baseus_iridescent_lamp_mobile_game_cat7c-b01_usb_to_type-c_40w_4a_1m_10001660" TargetMode="External"/><Relationship Id="rId_hyperlink_413" Type="http://schemas.openxmlformats.org/officeDocument/2006/relationships/hyperlink" Target="https://old.ukr-mobil.com/kabel_baseus_sharp-bird_mobile_game_calmvp-d01_usb_to_lightning_2_4a_1m_black_10001663" TargetMode="External"/><Relationship Id="rId_hyperlink_414" Type="http://schemas.openxmlformats.org/officeDocument/2006/relationships/hyperlink" Target="https://old.ukr-mobil.com/kabel_baseus_sharp-bird_mobile_game_catmvp-d01_usb_to_type-c_3a_1m_10001661" TargetMode="External"/><Relationship Id="rId_hyperlink_415" Type="http://schemas.openxmlformats.org/officeDocument/2006/relationships/hyperlink" Target="https://old.ukr-mobil.com/kabel_baseus_calys-02_usb_to_lightning_2_4a_0_25m_white_10001667" TargetMode="External"/><Relationship Id="rId_hyperlink_416" Type="http://schemas.openxmlformats.org/officeDocument/2006/relationships/hyperlink" Target="https://old.ukr-mobil.com/kabel_baseus_calys-a02_usb_to_lightning_2_4a_1m_white_10001666" TargetMode="External"/><Relationship Id="rId_hyperlink_417" Type="http://schemas.openxmlformats.org/officeDocument/2006/relationships/hyperlink" Target="https://old.ukr-mobil.com/kabel_baseus_catlys-02_type-c_to_lightning_20w_0_25m_white_10001664" TargetMode="External"/><Relationship Id="rId_hyperlink_418" Type="http://schemas.openxmlformats.org/officeDocument/2006/relationships/hyperlink" Target="https://old.ukr-mobil.com/kabel_baseus_catlys-a02_type-c_to_lightning_20w_1m_white_10001665" TargetMode="External"/><Relationship Id="rId_hyperlink_419" Type="http://schemas.openxmlformats.org/officeDocument/2006/relationships/hyperlink" Target="https://old.ukr-mobil.com/kabel_baseus_superior_series_fast_charging_data_cable_camys-01_usb_to_micro_usb_2a_1m_black_10002714" TargetMode="External"/><Relationship Id="rId_hyperlink_420" Type="http://schemas.openxmlformats.org/officeDocument/2006/relationships/hyperlink" Target="https://old.ukr-mobil.com/kabel_baseus_catys-02_usb_to_type-c_66w_1m_white_10001657" TargetMode="External"/><Relationship Id="rId_hyperlink_421" Type="http://schemas.openxmlformats.org/officeDocument/2006/relationships/hyperlink" Target="https://old.ukr-mobil.com/kabel_baseus_tough_series_cable_camzy-b01_usb_to_micro_usb_2a_1m_black_10001672" TargetMode="External"/><Relationship Id="rId_hyperlink_422" Type="http://schemas.openxmlformats.org/officeDocument/2006/relationships/hyperlink" Target="https://old.ukr-mobil.com/kabel_baseus_twins_2_in_1_cable_catlyw-h01_type-c_to_type-c_60w_type-c_to_lighting_20w_1m_black_10001662" TargetMode="External"/><Relationship Id="rId_hyperlink_423" Type="http://schemas.openxmlformats.org/officeDocument/2006/relationships/hyperlink" Target="https://old.ukr-mobil.com/kabel_moxom_mx-cb52_2_4a_1m_lightning_10001591" TargetMode="External"/><Relationship Id="rId_hyperlink_424" Type="http://schemas.openxmlformats.org/officeDocument/2006/relationships/hyperlink" Target="https://old.ukr-mobil.com/kabel_moxom_mx-cb52_2_4a_1m_micro_usb_10001592" TargetMode="External"/><Relationship Id="rId_hyperlink_425" Type="http://schemas.openxmlformats.org/officeDocument/2006/relationships/hyperlink" Target="https://old.ukr-mobil.com/kabel_moxom_mx-cb52_2_4a_1m_type-c_10001593" TargetMode="External"/><Relationship Id="rId_hyperlink_426" Type="http://schemas.openxmlformats.org/officeDocument/2006/relationships/hyperlink" Target="https://old.ukr-mobil.com/kabel_moxom_mx-cb72_led_indikaciya_zaryada_1m_lightning_10001584" TargetMode="External"/><Relationship Id="rId_hyperlink_427" Type="http://schemas.openxmlformats.org/officeDocument/2006/relationships/hyperlink" Target="https://old.ukr-mobil.com/kabel_moxom_mx-cb72_led_indikaciya_zaryada_1m_micro_usb_10001582" TargetMode="External"/><Relationship Id="rId_hyperlink_428" Type="http://schemas.openxmlformats.org/officeDocument/2006/relationships/hyperlink" Target="https://old.ukr-mobil.com/kabel_moxom_mx-cb72_led_indikaciya_zaryada_1m_type-c_10001583" TargetMode="External"/><Relationship Id="rId_hyperlink_429" Type="http://schemas.openxmlformats.org/officeDocument/2006/relationships/hyperlink" Target="https://old.ukr-mobil.com/kabel_moxom_mx-cb73_led_indikaciya_zaryada_1m_lightning_10001585" TargetMode="External"/><Relationship Id="rId_hyperlink_430" Type="http://schemas.openxmlformats.org/officeDocument/2006/relationships/hyperlink" Target="https://old.ukr-mobil.com/kabel_moxom_mx-cb73_led_indikaciya_zaryada_1m_micro_usb_10001586" TargetMode="External"/><Relationship Id="rId_hyperlink_431" Type="http://schemas.openxmlformats.org/officeDocument/2006/relationships/hyperlink" Target="https://old.ukr-mobil.com/kabel_moxom_mx-cb73_led_indikaciya_zaryada_1m_type-c_10001587" TargetMode="External"/><Relationship Id="rId_hyperlink_432" Type="http://schemas.openxmlformats.org/officeDocument/2006/relationships/hyperlink" Target="https://old.ukr-mobil.com/kabel_moxom_mx-cb75_3a_1m_lightning_10001588" TargetMode="External"/><Relationship Id="rId_hyperlink_433" Type="http://schemas.openxmlformats.org/officeDocument/2006/relationships/hyperlink" Target="https://old.ukr-mobil.com/kabel_moxom_mx-cb75_3a_1m_micro_usb_10001589" TargetMode="External"/><Relationship Id="rId_hyperlink_434" Type="http://schemas.openxmlformats.org/officeDocument/2006/relationships/hyperlink" Target="https://old.ukr-mobil.com/kabel_moxom_mx-cb75_3a_1m_type-c_10001590" TargetMode="External"/><Relationship Id="rId_hyperlink_435" Type="http://schemas.openxmlformats.org/officeDocument/2006/relationships/hyperlink" Target="https://old.ukr-mobil.com/kabel_moxom_mx-cb77_power_delivery_3_0_20w_1m_usb-c_to_lightning_10001594" TargetMode="External"/><Relationship Id="rId_hyperlink_436" Type="http://schemas.openxmlformats.org/officeDocument/2006/relationships/hyperlink" Target="https://old.ukr-mobil.com/perekhodnik_razvetvitel_moxom_mx-ax18_lightning_to_2_lightning_10001652" TargetMode="External"/><Relationship Id="rId_hyperlink_437" Type="http://schemas.openxmlformats.org/officeDocument/2006/relationships/hyperlink" Target="https://old.ukr-mobil.com/poverbank_umb_baseus_adaman_metal_quick_charge_ppad000001_10000_mah_22_5w_3a_2usb_type-c_lighting_micro-usb_black_10002553" TargetMode="External"/><Relationship Id="rId_hyperlink_438" Type="http://schemas.openxmlformats.org/officeDocument/2006/relationships/hyperlink" Target="https://old.ukr-mobil.com/poverbank_umb_baseus_adaman_metal_quick_charge_ppad000101_20000_mah_22_5w_3a_2usb_type-c_lighting_micro-usb_black_10002554" TargetMode="External"/><Relationship Id="rId_hyperlink_439" Type="http://schemas.openxmlformats.org/officeDocument/2006/relationships/hyperlink" Target="https://old.ukr-mobil.com/poverbank_umb_baseus_airpow_ppap20k_20000_mah_20w_white_10002938" TargetMode="External"/><Relationship Id="rId_hyperlink_440" Type="http://schemas.openxmlformats.org/officeDocument/2006/relationships/hyperlink" Target="https://old.ukr-mobil.com/poverbank_umb_baseus_amblight_digital_display_quick_charge_pplg-a01_30000_mah_65w_v_komplekte_kabel_type-c_type-c_black_10003456" TargetMode="External"/><Relationship Id="rId_hyperlink_441" Type="http://schemas.openxmlformats.org/officeDocument/2006/relationships/hyperlink" Target="https://old.ukr-mobil.com/poverbank_umb_baseus_amblight_digital_display_quick_charge_pplg-a02_30000_mah_65w_v_komplekte_kabel_type-c_type-c_white_10003457" TargetMode="External"/><Relationship Id="rId_hyperlink_442" Type="http://schemas.openxmlformats.org/officeDocument/2006/relationships/hyperlink" Target="https://old.ukr-mobil.com/index.php?route=product&amp;product_id=10005784" TargetMode="External"/><Relationship Id="rId_hyperlink_443" Type="http://schemas.openxmlformats.org/officeDocument/2006/relationships/hyperlink" Target="https://old.ukr-mobil.com/poverbank_umb_baseus_bipow_digital_display_ppdml-i02_10000_mah_15w_3a_2usb_type-c_white_10002543" TargetMode="External"/><Relationship Id="rId_hyperlink_444" Type="http://schemas.openxmlformats.org/officeDocument/2006/relationships/hyperlink" Target="https://old.ukr-mobil.com/poverbank_umb_baseus_bipow_digital_display_ppdml-j02_20000_mah_15w_3a_2usb_type-c_white_10002542" TargetMode="External"/><Relationship Id="rId_hyperlink_445" Type="http://schemas.openxmlformats.org/officeDocument/2006/relationships/hyperlink" Target="https://old.ukr-mobil.com/poverbank_umb_baseus_bipow_digital_display_ppdml-k01_30000_mah_15w_3a_2usb_type-c_black_10002547" TargetMode="External"/><Relationship Id="rId_hyperlink_446" Type="http://schemas.openxmlformats.org/officeDocument/2006/relationships/hyperlink" Target="https://old.ukr-mobil.com/poverbank_umb_baseus_bipow_digital_display_ppdml-k02_30000_mah_15w_3a_2usb_type-c_white_10002544" TargetMode="External"/><Relationship Id="rId_hyperlink_447" Type="http://schemas.openxmlformats.org/officeDocument/2006/relationships/hyperlink" Target="https://old.ukr-mobil.com/poverbank_umb_baseus_bipow_digital_display_ppdml-m01_20000_mah_20w_3a_2usb_type-c_black_10002545" TargetMode="External"/><Relationship Id="rId_hyperlink_448" Type="http://schemas.openxmlformats.org/officeDocument/2006/relationships/hyperlink" Target="https://old.ukr-mobil.com/poverbank_umb_baseus_bipow_digital_display_ppdml-m02_20000_mah_20w_3a_2usb_type-c_white_10002548" TargetMode="External"/><Relationship Id="rId_hyperlink_449" Type="http://schemas.openxmlformats.org/officeDocument/2006/relationships/hyperlink" Target="https://old.ukr-mobil.com/poverbank_umb_baseus_bipow_digital_display_ppdml-n01_30000_mah_20w_3a_2usb_type-c_black_10002546" TargetMode="External"/><Relationship Id="rId_hyperlink_450" Type="http://schemas.openxmlformats.org/officeDocument/2006/relationships/hyperlink" Target="https://old.ukr-mobil.com/poverbank_umb_baseus_magnetic_wireless_fast_charging_ppcx010102_10000_mah_20w_2_4a_1usb_type-c_white_10002549" TargetMode="External"/><Relationship Id="rId_hyperlink_451" Type="http://schemas.openxmlformats.org/officeDocument/2006/relationships/hyperlink" Target="https://old.ukr-mobil.com/poverbank_umb_baseus_magnetic_wireless_fast_charging_ppcx010103_10000_mah_20w_2_4a_1usb_type-c_blue_10002550" TargetMode="External"/><Relationship Id="rId_hyperlink_452" Type="http://schemas.openxmlformats.org/officeDocument/2006/relationships/hyperlink" Target="https://old.ukr-mobil.com/poverbank_umb_baseus_magnetic_wireless_fast_charging_ppcx010105_10000_mah_20w_2_4a_1usb_type-c_purple_10002551" TargetMode="External"/><Relationship Id="rId_hyperlink_453" Type="http://schemas.openxmlformats.org/officeDocument/2006/relationships/hyperlink" Target="https://old.ukr-mobil.com/poverbank_umb_baseus_mini_ja_fast_charge_ppjan-c01_30000_mah_15w_3a_2usb_type-c_black_10002683" TargetMode="External"/><Relationship Id="rId_hyperlink_454" Type="http://schemas.openxmlformats.org/officeDocument/2006/relationships/hyperlink" Target="https://old.ukr-mobil.com/index.php?route=product&amp;product_id=10005785" TargetMode="External"/><Relationship Id="rId_hyperlink_455" Type="http://schemas.openxmlformats.org/officeDocument/2006/relationships/hyperlink" Target="https://old.ukr-mobil.com/index.php?route=product&amp;product_id=10005783" TargetMode="External"/><Relationship Id="rId_hyperlink_456" Type="http://schemas.openxmlformats.org/officeDocument/2006/relationships/hyperlink" Target="https://old.ukr-mobil.com/poverbank_umb_xo_pr122_20000_mah_2usb_type-c_black_10002973" TargetMode="External"/><Relationship Id="rId_hyperlink_457" Type="http://schemas.openxmlformats.org/officeDocument/2006/relationships/hyperlink" Target="https://old.ukr-mobil.com/poverbank_umb_xo_pr123_30000_mah_4usb_type-c_quick_charge_power_delivery_22_5w_s_fonarikom_black_10003002" TargetMode="External"/><Relationship Id="rId_hyperlink_458" Type="http://schemas.openxmlformats.org/officeDocument/2006/relationships/hyperlink" Target="https://old.ukr-mobil.com/poverbank_umb_xo_pr124_40000_mah_4usb_type-c_s_fonarikom_black_10002960" TargetMode="External"/><Relationship Id="rId_hyperlink_459" Type="http://schemas.openxmlformats.org/officeDocument/2006/relationships/hyperlink" Target="https://old.ukr-mobil.com/poverbank_umb_xo_pr125_50000_mah_4usb_type-c_185_wh_s_fonarikom_black_10003001" TargetMode="External"/><Relationship Id="rId_hyperlink_460" Type="http://schemas.openxmlformats.org/officeDocument/2006/relationships/hyperlink" Target="https://old.ukr-mobil.com/poverbank_umb_xo_pr127_20000_mah_2usb_type-c_quick_charge_power_delivery_22_5w_black_10002992" TargetMode="External"/><Relationship Id="rId_hyperlink_461" Type="http://schemas.openxmlformats.org/officeDocument/2006/relationships/hyperlink" Target="https://old.ukr-mobil.com/poverbank_umb_xo_pr127_20000_mah_2usb_type-c_quick_charge_power_delivery_22_5w_white_10002993" TargetMode="External"/><Relationship Id="rId_hyperlink_462" Type="http://schemas.openxmlformats.org/officeDocument/2006/relationships/hyperlink" Target="https://old.ukr-mobil.com/poverbank_umb_xo_pr129_20000_mah_2usb_type-c_quick_charge_power_delivery_22_5w_s_fonarikom_black_10002990" TargetMode="External"/><Relationship Id="rId_hyperlink_463" Type="http://schemas.openxmlformats.org/officeDocument/2006/relationships/hyperlink" Target="https://old.ukr-mobil.com/poverbank_umb_xo_pr129_20000_mah_2usb_type-c_quick_charge_power_delivery_22_5w_s_fonarikom_white_10002991" TargetMode="External"/><Relationship Id="rId_hyperlink_464" Type="http://schemas.openxmlformats.org/officeDocument/2006/relationships/hyperlink" Target="https://old.ukr-mobil.com/poverbank_umb_xo_pr130_40000_mah_2usb_type-c_quick_charge_power_delivery_22_5w_s_fonarikom_black_10002989" TargetMode="External"/><Relationship Id="rId_hyperlink_465" Type="http://schemas.openxmlformats.org/officeDocument/2006/relationships/hyperlink" Target="https://old.ukr-mobil.com/poverbank_umb_xo_pr142_30000_mah_2usb_type-c_micro_usb_s_fonarikom_s_kabelyami_type-c_micro_usb_lighting_black_10003000" TargetMode="External"/><Relationship Id="rId_hyperlink_466" Type="http://schemas.openxmlformats.org/officeDocument/2006/relationships/hyperlink" Target="https://old.ukr-mobil.com/poverbank_umb_xo_pr143_10000_mah_usb_type-c_pd_20w_qc_3_0_22_5w_white_10004494" TargetMode="External"/><Relationship Id="rId_hyperlink_467" Type="http://schemas.openxmlformats.org/officeDocument/2006/relationships/hyperlink" Target="https://old.ukr-mobil.com/poverbank_umb_xo_pr150_20000_mah_usb_type-c_quick_charge_18w_power_delivery_20w_black_10002987" TargetMode="External"/><Relationship Id="rId_hyperlink_468" Type="http://schemas.openxmlformats.org/officeDocument/2006/relationships/hyperlink" Target="https://old.ukr-mobil.com/poverbank_umb_xo_pr150_20000_mah_usb_type-c_quick_charge_18w_power_delivery_20w_white_10002988" TargetMode="External"/><Relationship Id="rId_hyperlink_469" Type="http://schemas.openxmlformats.org/officeDocument/2006/relationships/hyperlink" Target="https://old.ukr-mobil.com/poverbank_umb_xo_pr151_2_sht_po_10000_mah_zaryadnaya_stanciya_usb_type-c_white_10004495" TargetMode="External"/><Relationship Id="rId_hyperlink_470" Type="http://schemas.openxmlformats.org/officeDocument/2006/relationships/hyperlink" Target="https://old.ukr-mobil.com/poverbank_umb_xo_pr156_30000_mah_3usb_type-c_lighting_quick_charge_power_delivery_22_5w_black_10003003" TargetMode="External"/><Relationship Id="rId_hyperlink_471" Type="http://schemas.openxmlformats.org/officeDocument/2006/relationships/hyperlink" Target="https://old.ukr-mobil.com/poverbank_umb_xo_pr163_20000_mah_2usb_type-c_micro_usb_s_fonarikom_s_kabelyami_type-c_micro_usb_lighting_black_10002996" TargetMode="External"/><Relationship Id="rId_hyperlink_472" Type="http://schemas.openxmlformats.org/officeDocument/2006/relationships/hyperlink" Target="https://old.ukr-mobil.com/poverbank_umb_xo_pr163_20000_mah_2usb_type-c_micro_usb_s_fonarikom_s_kabelyami_type-c_micro_usb_lighting_white_10002997" TargetMode="External"/><Relationship Id="rId_hyperlink_473" Type="http://schemas.openxmlformats.org/officeDocument/2006/relationships/hyperlink" Target="https://old.ukr-mobil.com/poverbank_umb_xo_pr164_30000_mah_2usb_type-c_micro_usb_s_fonarikom_s_kabelyami_type-c_micro_usb_lighting_black_10002998" TargetMode="External"/><Relationship Id="rId_hyperlink_474" Type="http://schemas.openxmlformats.org/officeDocument/2006/relationships/hyperlink" Target="https://old.ukr-mobil.com/poverbank_umb_xo_pr164_30000_mah_2usb_type-c_micro_usb_s_fonarikom_s_kabelyami_type-c_micro_usb_lighting_white_10002999" TargetMode="External"/><Relationship Id="rId_hyperlink_475" Type="http://schemas.openxmlformats.org/officeDocument/2006/relationships/hyperlink" Target="https://old.ukr-mobil.com/poverbank_umb_xo_pr183_20000_mah_2usb_type-c_black_10002995" TargetMode="External"/><Relationship Id="rId_hyperlink_476" Type="http://schemas.openxmlformats.org/officeDocument/2006/relationships/hyperlink" Target="https://old.ukr-mobil.com/poverbank_umb_xo_pr183_20000_mah_2usb_type-c_white_10002994" TargetMode="External"/><Relationship Id="rId_hyperlink_477" Type="http://schemas.openxmlformats.org/officeDocument/2006/relationships/hyperlink" Target="https://old.ukr-mobil.com/index.php?route=product&amp;product_id=10005749" TargetMode="External"/><Relationship Id="rId_hyperlink_478" Type="http://schemas.openxmlformats.org/officeDocument/2006/relationships/hyperlink" Target="https://old.ukr-mobil.com/setevoe_zaryadnoe_ustrojstvo_apple_usb-c_power_adapter_20w_original_prc_10001406" TargetMode="External"/><Relationship Id="rId_hyperlink_479" Type="http://schemas.openxmlformats.org/officeDocument/2006/relationships/hyperlink" Target="https://old.ukr-mobil.com/setevoe_zaryadnoe_ustrojstvo_baseus_compact_charger_ccxj010201_10_5w_2xusb-a_black_10003446" TargetMode="External"/><Relationship Id="rId_hyperlink_480" Type="http://schemas.openxmlformats.org/officeDocument/2006/relationships/hyperlink" Target="https://old.ukr-mobil.com/setevoe_zaryadnoe_ustrojstvo_baseus_compact_charger_ccxj010202_10_5w_2xusb-a_white_10003445" TargetMode="External"/><Relationship Id="rId_hyperlink_481" Type="http://schemas.openxmlformats.org/officeDocument/2006/relationships/hyperlink" Target="https://old.ukr-mobil.com/setevoe_zaryadnoe_ustrojstvo_baseus_compact_charger_ccxj020101_17w_3xusb-a_black_10003447" TargetMode="External"/><Relationship Id="rId_hyperlink_482" Type="http://schemas.openxmlformats.org/officeDocument/2006/relationships/hyperlink" Target="https://old.ukr-mobil.com/setevoe_zaryadnoe_ustrojstvo_baseus_compact_charger_ccxj020102_17w_3xusb-a_white_10003448" TargetMode="External"/><Relationship Id="rId_hyperlink_483" Type="http://schemas.openxmlformats.org/officeDocument/2006/relationships/hyperlink" Target="https://old.ukr-mobil.com/setevoe_zaryadnoe_ustrojstvo_baseus_compact_quick_charger_ccxj-b01_20w_1xusb-a_1xtype-c_black_10003462" TargetMode="External"/><Relationship Id="rId_hyperlink_484" Type="http://schemas.openxmlformats.org/officeDocument/2006/relationships/hyperlink" Target="https://old.ukr-mobil.com/setevoe_zaryadnoe_ustrojstvo_baseus_compact_quick_charger_ccxj-b02_20w_1xusb-a_1xtype-c_white_10003461" TargetMode="External"/><Relationship Id="rId_hyperlink_485" Type="http://schemas.openxmlformats.org/officeDocument/2006/relationships/hyperlink" Target="https://old.ukr-mobil.com/setevoe_zaryadnoe_ustrojstvo_baseus_fast_charger_ccxj-e01_30w_2xusb-a_1xtype-c_black_10003444" TargetMode="External"/><Relationship Id="rId_hyperlink_486" Type="http://schemas.openxmlformats.org/officeDocument/2006/relationships/hyperlink" Target="https://old.ukr-mobil.com/setevoe_zaryadnoe_ustrojstvo_baseus_fast_charger_ccxj-e02_30w_2xusb-a_1xtype-c_white_10003443" TargetMode="External"/><Relationship Id="rId_hyperlink_487" Type="http://schemas.openxmlformats.org/officeDocument/2006/relationships/hyperlink" Target="https://old.ukr-mobil.com/setevoe_zaryadnoe_ustrojstvo_baseus_gan2_lite_quick_charger_ccgan2l-b01_65w_type-c_usb_black_10001669" TargetMode="External"/><Relationship Id="rId_hyperlink_488" Type="http://schemas.openxmlformats.org/officeDocument/2006/relationships/hyperlink" Target="https://old.ukr-mobil.com/setevoe_zaryadnoe_ustrojstvo_baseus_gan2_lite_quick_charger_ccgan2l-b02_65w_type-c_usb_white_10001668" TargetMode="External"/><Relationship Id="rId_hyperlink_489" Type="http://schemas.openxmlformats.org/officeDocument/2006/relationships/hyperlink" Target="https://old.ukr-mobil.com/setevoe_zaryadnoe_ustrojstvo_baseus_gan2_pro_quick_charger_ccgan-j01_120w_2_type-c_usb_v_komplekte_kabel_type-c_black_10001653" TargetMode="External"/><Relationship Id="rId_hyperlink_490" Type="http://schemas.openxmlformats.org/officeDocument/2006/relationships/hyperlink" Target="https://old.ukr-mobil.com/setevoe_zaryadnoe_ustrojstvo_baseus_gan2_pro_quick_charger_ccgan-j02_120w_2_type-c_usb_v_komplekte_kabel_type-c_white_10001656" TargetMode="External"/><Relationship Id="rId_hyperlink_491" Type="http://schemas.openxmlformats.org/officeDocument/2006/relationships/hyperlink" Target="https://old.ukr-mobil.com/setevoe_zaryadnoe_ustrojstvo_baseus_gan3_pro_desktop_fast_charger_ccgp000101_100w_2xusb-a_2xtype-c_black_10003460" TargetMode="External"/><Relationship Id="rId_hyperlink_492" Type="http://schemas.openxmlformats.org/officeDocument/2006/relationships/hyperlink" Target="https://old.ukr-mobil.com/setevoe_zaryadnoe_ustrojstvo_baseus_gan5_pro_fast_charger_ccgp090201_100w_v_komplekte_kabel_type-c_x_type-c_100w_20v_5a_dlya_macbook_black_10003464" TargetMode="External"/><Relationship Id="rId_hyperlink_493" Type="http://schemas.openxmlformats.org/officeDocument/2006/relationships/hyperlink" Target="https://old.ukr-mobil.com/setevoe_zaryadnoe_ustrojstvo_baseus_gan5_pro_fast_charger_ccgp090202_100w_v_komplekte_kabel_type-c_x_type-c_100w_20v_5a_dlya_macbook_white_10003463" TargetMode="External"/><Relationship Id="rId_hyperlink_494" Type="http://schemas.openxmlformats.org/officeDocument/2006/relationships/hyperlink" Target="https://old.ukr-mobil.com/setevoe_zaryadnoe_ustrojstvo_baseus_gan5_pro_fast_charger_ccgp100201_140w_v_komplekte_kabel_type-c_x_type-c_240w_48v_5a_dlya_macbook_black_10003458" TargetMode="External"/><Relationship Id="rId_hyperlink_495" Type="http://schemas.openxmlformats.org/officeDocument/2006/relationships/hyperlink" Target="https://old.ukr-mobil.com/setevoe_zaryadnoe_ustrojstvo_baseus_gan5_pro_fast_charger_ccgp100202_140w_v_komplekte_kabel_type-c_x_type-c_240w_48v_5a_dlya_macbook_white_10003459" TargetMode="External"/><Relationship Id="rId_hyperlink_496" Type="http://schemas.openxmlformats.org/officeDocument/2006/relationships/hyperlink" Target="https://old.ukr-mobil.com/setevoe_zaryadnoe_ustrojstvo_baseus_gan5_pro_fast_charger_ccgp120201_65w_1xusb-a_2xtype-c_v_komplekte_kabel_type-c_type-c_black_10003441" TargetMode="External"/><Relationship Id="rId_hyperlink_497" Type="http://schemas.openxmlformats.org/officeDocument/2006/relationships/hyperlink" Target="https://old.ukr-mobil.com/setevoe_zaryadnoe_ustrojstvo_baseus_gan5_pro_fast_charger_ccgp120202_65w_1xusb-a_2xtype-c_v_komplekte_kabel_type-c_type-c_white_10003442" TargetMode="External"/><Relationship Id="rId_hyperlink_498" Type="http://schemas.openxmlformats.org/officeDocument/2006/relationships/hyperlink" Target="https://old.ukr-mobil.com/setevoe_zaryadnoe_ustrojstvo_baseus_mini_dual-u_charger_ccall-mn02_2_1a_10_5w_2_usb_white_10001655" TargetMode="External"/><Relationship Id="rId_hyperlink_499" Type="http://schemas.openxmlformats.org/officeDocument/2006/relationships/hyperlink" Target="https://old.ukr-mobil.com/setevoe_zaryadnoe_ustrojstvo_baseus_speed_dual_qc3_0_quick_charger_ccfs-e01_30w_2_usb_black_10001670" TargetMode="External"/><Relationship Id="rId_hyperlink_500" Type="http://schemas.openxmlformats.org/officeDocument/2006/relationships/hyperlink" Target="https://old.ukr-mobil.com/setevoe_zaryadnoe_ustrojstvo_baseus_super_si_quick_charger_ccsp020101_25w_1xtype-c_black_10003467" TargetMode="External"/><Relationship Id="rId_hyperlink_501" Type="http://schemas.openxmlformats.org/officeDocument/2006/relationships/hyperlink" Target="https://old.ukr-mobil.com/setevoe_zaryadnoe_ustrojstvo_baseus_super_si_quick_charger_ccsup-b01_20w_type-c_black_10001654" TargetMode="External"/><Relationship Id="rId_hyperlink_502" Type="http://schemas.openxmlformats.org/officeDocument/2006/relationships/hyperlink" Target="https://old.ukr-mobil.com/setevoe_zaryadnoe_ustrojstvo_moxom_kh-31y_lightning_qc_3_0_v_komplekte_kabel_lightning_10001571" TargetMode="External"/><Relationship Id="rId_hyperlink_503" Type="http://schemas.openxmlformats.org/officeDocument/2006/relationships/hyperlink" Target="https://old.ukr-mobil.com/setevoe_zaryadnoe_ustrojstvo_moxom_kh-31y_micro_usb_qc_3_0_v_komplekte_kabel_micro_usb_10001570" TargetMode="External"/><Relationship Id="rId_hyperlink_504" Type="http://schemas.openxmlformats.org/officeDocument/2006/relationships/hyperlink" Target="https://old.ukr-mobil.com/setevoe_zaryadnoe_ustrojstvo_moxom_kh-31y_type-c_qc_3_0_v_komplekte_kabel_type-c_10001572" TargetMode="External"/><Relationship Id="rId_hyperlink_505" Type="http://schemas.openxmlformats.org/officeDocument/2006/relationships/hyperlink" Target="https://old.ukr-mobil.com/setevoe_zaryadnoe_ustrojstvo_moxom_kh-67y_lightning_qc_3_0_v_komplekte_kabel_lightning_10001565" TargetMode="External"/><Relationship Id="rId_hyperlink_506" Type="http://schemas.openxmlformats.org/officeDocument/2006/relationships/hyperlink" Target="https://old.ukr-mobil.com/setevoe_zaryadnoe_ustrojstvo_moxom_kh-67y_micro_usb_qc_3_0_v_komplekte_kabel_micro_usb_10001566" TargetMode="External"/><Relationship Id="rId_hyperlink_507" Type="http://schemas.openxmlformats.org/officeDocument/2006/relationships/hyperlink" Target="https://old.ukr-mobil.com/setevoe_zaryadnoe_ustrojstvo_moxom_kh-67y_type-c_qc_3_0_v_komplekte_kabel_type-c_10001567" TargetMode="External"/><Relationship Id="rId_hyperlink_508" Type="http://schemas.openxmlformats.org/officeDocument/2006/relationships/hyperlink" Target="https://old.ukr-mobil.com/setevoe_zaryadnoe_ustrojstvo_moxom_mx-hc12_lightning_qc_3_0_2usb_v_komplekte_kabel_lightning_10001562" TargetMode="External"/><Relationship Id="rId_hyperlink_509" Type="http://schemas.openxmlformats.org/officeDocument/2006/relationships/hyperlink" Target="https://old.ukr-mobil.com/setevoe_zaryadnoe_ustrojstvo_moxom_mx-hc12_micro_usb_qc_3_0_2usb_v_komplekte_kabel_micro_usb_10001561" TargetMode="External"/><Relationship Id="rId_hyperlink_510" Type="http://schemas.openxmlformats.org/officeDocument/2006/relationships/hyperlink" Target="https://old.ukr-mobil.com/setevoe_zaryadnoe_ustrojstvo_moxom_mx-hc12_type-c_qc_3_0_2usb_v_komplekte_kabel_type-c_10001560" TargetMode="External"/><Relationship Id="rId_hyperlink_511" Type="http://schemas.openxmlformats.org/officeDocument/2006/relationships/hyperlink" Target="https://old.ukr-mobil.com/setevoe_zaryadnoe_ustrojstvo_moxom_mx-hc22_lightning_2usb_v_komplekte_kabel_lightning_10001573" TargetMode="External"/><Relationship Id="rId_hyperlink_512" Type="http://schemas.openxmlformats.org/officeDocument/2006/relationships/hyperlink" Target="https://old.ukr-mobil.com/setevoe_zaryadnoe_ustrojstvo_moxom_mx-hc22_micro_usb_2usb_v_komplekte_kabel_micro_usb_10001574" TargetMode="External"/><Relationship Id="rId_hyperlink_513" Type="http://schemas.openxmlformats.org/officeDocument/2006/relationships/hyperlink" Target="https://old.ukr-mobil.com/setevoe_zaryadnoe_ustrojstvo_moxom_mx-hc22_type-c_2usb_v_komplekte_kabel_type-c_10001575" TargetMode="External"/><Relationship Id="rId_hyperlink_514" Type="http://schemas.openxmlformats.org/officeDocument/2006/relationships/hyperlink" Target="https://old.ukr-mobil.com/setevoe_zaryadnoe_ustrojstvo_moxom_mx-hc27_qc_3_0_22_5w_power_delivery_3_0_18w_10001564" TargetMode="External"/><Relationship Id="rId_hyperlink_515" Type="http://schemas.openxmlformats.org/officeDocument/2006/relationships/hyperlink" Target="https://old.ukr-mobil.com/setevoe_zaryadnoe_ustrojstvo_moxom_mx-hc29_qc_3_0_22_5w_power_delivery_3_0_45w_10001563" TargetMode="External"/><Relationship Id="rId_hyperlink_516" Type="http://schemas.openxmlformats.org/officeDocument/2006/relationships/hyperlink" Target="https://old.ukr-mobil.com/usb_lampa_xo-y1_5v_belyj_svet_10004704" TargetMode="External"/><Relationship Id="rId_hyperlink_517" Type="http://schemas.openxmlformats.org/officeDocument/2006/relationships/hyperlink" Target="https://old.ukr-mobil.com/lampa_svetodiodnaya_xo-yh04_s_akkumulyatorom_18650_na_1200_mah_micro_usb_10004609" TargetMode="External"/><Relationship Id="rId_hyperlink_518" Type="http://schemas.openxmlformats.org/officeDocument/2006/relationships/hyperlink" Target="https://old.ukr-mobil.com/index.php?route=product&amp;product_id=10005763" TargetMode="External"/><Relationship Id="rId_hyperlink_519" Type="http://schemas.openxmlformats.org/officeDocument/2006/relationships/hyperlink" Target="https://old.ukr-mobil.com/index.php?route=product&amp;product_id=10005762" TargetMode="External"/><Relationship Id="rId_hyperlink_520" Type="http://schemas.openxmlformats.org/officeDocument/2006/relationships/hyperlink" Target="https://old.ukr-mobil.com/index.php?route=product&amp;product_id=10005761" TargetMode="External"/><Relationship Id="rId_hyperlink_521" Type="http://schemas.openxmlformats.org/officeDocument/2006/relationships/hyperlink" Target="https://old.ukr-mobil.com/index.php?route=product&amp;product_id=10005773" TargetMode="External"/><Relationship Id="rId_hyperlink_522" Type="http://schemas.openxmlformats.org/officeDocument/2006/relationships/hyperlink" Target="https://old.ukr-mobil.com/index.php?route=product&amp;product_id=10005776" TargetMode="External"/><Relationship Id="rId_hyperlink_523" Type="http://schemas.openxmlformats.org/officeDocument/2006/relationships/hyperlink" Target="https://old.ukr-mobil.com/index.php?route=product&amp;product_id=10005774" TargetMode="External"/><Relationship Id="rId_hyperlink_524" Type="http://schemas.openxmlformats.org/officeDocument/2006/relationships/hyperlink" Target="https://old.ukr-mobil.com/akkumulyator_gelevyj_gel_sunpal_100_ah_12_v_god_proizvodstva_2023_10003192" TargetMode="External"/><Relationship Id="rId_hyperlink_525" Type="http://schemas.openxmlformats.org/officeDocument/2006/relationships/hyperlink" Target="https://old.ukr-mobil.com/akkumulyator_gelevyj_gel_sunpal_150_ah_12_v_god_proizvodstva_2023_10003193" TargetMode="External"/><Relationship Id="rId_hyperlink_526" Type="http://schemas.openxmlformats.org/officeDocument/2006/relationships/hyperlink" Target="https://old.ukr-mobil.com/akkumulyator_gelevyj_gel_sunpal_200_ah_12_v_god_proizvodstva_2023_10003194" TargetMode="External"/><Relationship Id="rId_hyperlink_527" Type="http://schemas.openxmlformats.org/officeDocument/2006/relationships/hyperlink" Target="https://old.ukr-mobil.com/akkumulyator_gelevyj_gel_sunpal_250_ah_12_v_god_proizvodstva_2023_10003195" TargetMode="External"/><Relationship Id="rId_hyperlink_528" Type="http://schemas.openxmlformats.org/officeDocument/2006/relationships/hyperlink" Target="https://old.ukr-mobil.com/index.php?route=product&amp;product_id=10006039" TargetMode="External"/><Relationship Id="rId_hyperlink_529" Type="http://schemas.openxmlformats.org/officeDocument/2006/relationships/hyperlink" Target="https://old.ukr-mobil.com/index.php?route=product&amp;product_id=10006038" TargetMode="External"/><Relationship Id="rId_hyperlink_530" Type="http://schemas.openxmlformats.org/officeDocument/2006/relationships/hyperlink" Target="https://old.ukr-mobil.com/index.php?route=product&amp;product_id=10006040" TargetMode="External"/><Relationship Id="rId_hyperlink_531" Type="http://schemas.openxmlformats.org/officeDocument/2006/relationships/hyperlink" Target="https://old.ukr-mobil.com/index.php?route=product&amp;product_id=10005880" TargetMode="External"/><Relationship Id="rId_hyperlink_532" Type="http://schemas.openxmlformats.org/officeDocument/2006/relationships/hyperlink" Target="https://old.ukr-mobil.com/index.php?route=product&amp;product_id=10005855" TargetMode="External"/><Relationship Id="rId_hyperlink_533" Type="http://schemas.openxmlformats.org/officeDocument/2006/relationships/hyperlink" Target="https://old.ukr-mobil.com/zaryadnaya_stanciya_souop_sp-upp-1200_1200w_lifepo4_310000_mah_992_wh_10002981" TargetMode="External"/><Relationship Id="rId_hyperlink_534" Type="http://schemas.openxmlformats.org/officeDocument/2006/relationships/hyperlink" Target="https://old.ukr-mobil.com/index.php?route=product&amp;product_id=10005879" TargetMode="External"/><Relationship Id="rId_hyperlink_535" Type="http://schemas.openxmlformats.org/officeDocument/2006/relationships/hyperlink" Target="https://old.ukr-mobil.com/index.php?route=product&amp;product_id=10005860" TargetMode="External"/><Relationship Id="rId_hyperlink_536" Type="http://schemas.openxmlformats.org/officeDocument/2006/relationships/hyperlink" Target="https://old.ukr-mobil.com/zaryadnaya_stanciya_souop_sp-upp-1800_1800w_lifepo4_465000_mah_1488_wh_10002982" TargetMode="External"/><Relationship Id="rId_hyperlink_537" Type="http://schemas.openxmlformats.org/officeDocument/2006/relationships/hyperlink" Target="https://old.ukr-mobil.com/zaryadnaya_stanciya_souop_sp-upp-2400_2400w_lifepo4_697500_mah_2232_wh_10002983" TargetMode="External"/><Relationship Id="rId_hyperlink_538" Type="http://schemas.openxmlformats.org/officeDocument/2006/relationships/hyperlink" Target="https://old.ukr-mobil.com/zaryadnaya_stanciya_suoup_sp-upp-600_600w_lifepo4_186000_mah_19_2v_595_wh_10002974" TargetMode="External"/><Relationship Id="rId_hyperlink_539" Type="http://schemas.openxmlformats.org/officeDocument/2006/relationships/hyperlink" Target="https://old.ukr-mobil.com/portativnaya_zaryadnaya_stanciya_xo_psa-1000_210000_mah_756wh_lifepo4_10004493" TargetMode="External"/><Relationship Id="rId_hyperlink_540" Type="http://schemas.openxmlformats.org/officeDocument/2006/relationships/hyperlink" Target="https://old.ukr-mobil.com/portativnaya_zaryadnaya_stanciya_xo_psa-1200_1229_wh_lifepo4_10003247" TargetMode="External"/><Relationship Id="rId_hyperlink_541" Type="http://schemas.openxmlformats.org/officeDocument/2006/relationships/hyperlink" Target="https://old.ukr-mobil.com/portativnaya_zaryadnaya_stanciya_xo_psa-1200q_1080_wh_lifepo4_10003248" TargetMode="External"/><Relationship Id="rId_hyperlink_542" Type="http://schemas.openxmlformats.org/officeDocument/2006/relationships/hyperlink" Target="https://old.ukr-mobil.com/portativnaya_zaryadnaya_stanciya_xo_psa-700_614_wh_lifepo4_10003255" TargetMode="External"/><Relationship Id="rId_hyperlink_543" Type="http://schemas.openxmlformats.org/officeDocument/2006/relationships/hyperlink" Target="https://old.ukr-mobil.com/solnechnaya_panel_pv-220_portativnaya_220w_19_8v_10002986" TargetMode="External"/><Relationship Id="rId_hyperlink_544" Type="http://schemas.openxmlformats.org/officeDocument/2006/relationships/hyperlink" Target="https://old.ukr-mobil.com/index.php?route=product&amp;product_id=10005862" TargetMode="External"/><Relationship Id="rId_hyperlink_545" Type="http://schemas.openxmlformats.org/officeDocument/2006/relationships/hyperlink" Target="https://old.ukr-mobil.com/index.php?route=product&amp;product_id=10005861" TargetMode="External"/><Relationship Id="rId_hyperlink_546" Type="http://schemas.openxmlformats.org/officeDocument/2006/relationships/hyperlink" Target="https://old.ukr-mobil.com/index.php?route=product&amp;product_id=10006079" TargetMode="External"/><Relationship Id="rId_hyperlink_547" Type="http://schemas.openxmlformats.org/officeDocument/2006/relationships/hyperlink" Target="https://old.ukr-mobil.com/index.php?route=product&amp;product_id=10006080" TargetMode="External"/><Relationship Id="rId_hyperlink_548" Type="http://schemas.openxmlformats.org/officeDocument/2006/relationships/hyperlink" Target="https://old.ukr-mobil.com/index.php?route=product&amp;product_id=10006081" TargetMode="External"/><Relationship Id="rId_hyperlink_549" Type="http://schemas.openxmlformats.org/officeDocument/2006/relationships/hyperlink" Target="https://old.ukr-mobil.com/index.php?route=product&amp;product_id=10006082" TargetMode="External"/><Relationship Id="rId_hyperlink_550" Type="http://schemas.openxmlformats.org/officeDocument/2006/relationships/hyperlink" Target="https://old.ukr-mobil.com/index.php?route=product&amp;product_id=10006066" TargetMode="External"/><Relationship Id="rId_hyperlink_551" Type="http://schemas.openxmlformats.org/officeDocument/2006/relationships/hyperlink" Target="https://old.ukr-mobil.com/index.php?route=product&amp;product_id=10006065" TargetMode="External"/><Relationship Id="rId_hyperlink_552" Type="http://schemas.openxmlformats.org/officeDocument/2006/relationships/hyperlink" Target="https://old.ukr-mobil.com/index.php?route=product&amp;product_id=10006076" TargetMode="External"/><Relationship Id="rId_hyperlink_553" Type="http://schemas.openxmlformats.org/officeDocument/2006/relationships/hyperlink" Target="https://old.ukr-mobil.com/index.php?route=product&amp;product_id=10006077" TargetMode="External"/><Relationship Id="rId_hyperlink_554" Type="http://schemas.openxmlformats.org/officeDocument/2006/relationships/hyperlink" Target="https://old.ukr-mobil.com/index.php?route=product&amp;product_id=10006078" TargetMode="External"/><Relationship Id="rId_hyperlink_555" Type="http://schemas.openxmlformats.org/officeDocument/2006/relationships/hyperlink" Target="https://old.ukr-mobil.com/index.php?route=product&amp;product_id=10006075" TargetMode="External"/><Relationship Id="rId_hyperlink_556" Type="http://schemas.openxmlformats.org/officeDocument/2006/relationships/hyperlink" Target="https://old.ukr-mobil.com/index.php?route=product&amp;product_id=10005752" TargetMode="External"/><Relationship Id="rId_hyperlink_557" Type="http://schemas.openxmlformats.org/officeDocument/2006/relationships/hyperlink" Target="https://old.ukr-mobil.com/index.php?route=product&amp;product_id=10005753" TargetMode="External"/><Relationship Id="rId_hyperlink_558" Type="http://schemas.openxmlformats.org/officeDocument/2006/relationships/hyperlink" Target="https://old.ukr-mobil.com/index.php?route=product&amp;product_id=10005754" TargetMode="External"/><Relationship Id="rId_hyperlink_559" Type="http://schemas.openxmlformats.org/officeDocument/2006/relationships/hyperlink" Target="https://old.ukr-mobil.com/index.php?route=product&amp;product_id=10005757" TargetMode="External"/><Relationship Id="rId_hyperlink_560" Type="http://schemas.openxmlformats.org/officeDocument/2006/relationships/hyperlink" Target="https://old.ukr-mobil.com/index.php?route=product&amp;product_id=10005758" TargetMode="External"/><Relationship Id="rId_hyperlink_561" Type="http://schemas.openxmlformats.org/officeDocument/2006/relationships/hyperlink" Target="https://old.ukr-mobil.com/index.php?route=product&amp;product_id=10005759" TargetMode="External"/><Relationship Id="rId_hyperlink_562" Type="http://schemas.openxmlformats.org/officeDocument/2006/relationships/hyperlink" Target="https://old.ukr-mobil.com/invertor_gibridnyj_deye_sun-8k-sg01lp1-eu_8_kw_10004178" TargetMode="External"/><Relationship Id="rId_hyperlink_563" Type="http://schemas.openxmlformats.org/officeDocument/2006/relationships/hyperlink" Target="https://old.ukr-mobil.com/invertor_solnechnyj_gibridnyj_s_chistoj_sinusoidoj_1000_w_12v_220v_10003432" TargetMode="External"/><Relationship Id="rId_hyperlink_564" Type="http://schemas.openxmlformats.org/officeDocument/2006/relationships/hyperlink" Target="https://old.ukr-mobil.com/invertor_solnechnyj_gibridnyj_s_chistoj_sinusoidoj_3000_w_24v_220v_10003433" TargetMode="External"/><Relationship Id="rId_hyperlink_565" Type="http://schemas.openxmlformats.org/officeDocument/2006/relationships/hyperlink" Target="https://old.ukr-mobil.com/index.php?route=product&amp;product_id=10005714" TargetMode="External"/><Relationship Id="rId_hyperlink_566" Type="http://schemas.openxmlformats.org/officeDocument/2006/relationships/hyperlink" Target="https://old.ukr-mobil.com/index.php?route=product&amp;product_id=10005772" TargetMode="External"/><Relationship Id="rId_hyperlink_567" Type="http://schemas.openxmlformats.org/officeDocument/2006/relationships/hyperlink" Target="https://old.ukr-mobil.com/index.php?route=product&amp;product_id=10005925" TargetMode="External"/><Relationship Id="rId_hyperlink_568" Type="http://schemas.openxmlformats.org/officeDocument/2006/relationships/hyperlink" Target="https://old.ukr-mobil.com/index.php?route=product&amp;product_id=10005914" TargetMode="External"/><Relationship Id="rId_hyperlink_569" Type="http://schemas.openxmlformats.org/officeDocument/2006/relationships/hyperlink" Target="https://old.ukr-mobil.com/index.php?route=product&amp;product_id=10005915" TargetMode="External"/><Relationship Id="rId_hyperlink_570" Type="http://schemas.openxmlformats.org/officeDocument/2006/relationships/hyperlink" Target="https://old.ukr-mobil.com/index.php?route=product&amp;product_id=10005907" TargetMode="External"/><Relationship Id="rId_hyperlink_571" Type="http://schemas.openxmlformats.org/officeDocument/2006/relationships/hyperlink" Target="https://old.ukr-mobil.com/index.php?route=product&amp;product_id=10005903" TargetMode="External"/><Relationship Id="rId_hyperlink_572" Type="http://schemas.openxmlformats.org/officeDocument/2006/relationships/hyperlink" Target="https://old.ukr-mobil.com/index.php?route=product&amp;product_id=10005908" TargetMode="External"/><Relationship Id="rId_hyperlink_573" Type="http://schemas.openxmlformats.org/officeDocument/2006/relationships/hyperlink" Target="https://old.ukr-mobil.com/index.php?route=product&amp;product_id=10005904" TargetMode="External"/><Relationship Id="rId_hyperlink_574" Type="http://schemas.openxmlformats.org/officeDocument/2006/relationships/hyperlink" Target="https://old.ukr-mobil.com/index.php?route=product&amp;product_id=10005916" TargetMode="External"/><Relationship Id="rId_hyperlink_575" Type="http://schemas.openxmlformats.org/officeDocument/2006/relationships/hyperlink" Target="https://old.ukr-mobil.com/index.php?route=product&amp;product_id=10005917" TargetMode="External"/><Relationship Id="rId_hyperlink_576" Type="http://schemas.openxmlformats.org/officeDocument/2006/relationships/hyperlink" Target="https://old.ukr-mobil.com/index.php?route=product&amp;product_id=10005905" TargetMode="External"/><Relationship Id="rId_hyperlink_577" Type="http://schemas.openxmlformats.org/officeDocument/2006/relationships/hyperlink" Target="https://old.ukr-mobil.com/index.php?route=product&amp;product_id=10005906" TargetMode="External"/><Relationship Id="rId_hyperlink_578" Type="http://schemas.openxmlformats.org/officeDocument/2006/relationships/hyperlink" Target="https://old.ukr-mobil.com/index.php?route=product&amp;product_id=10005911" TargetMode="External"/><Relationship Id="rId_hyperlink_579" Type="http://schemas.openxmlformats.org/officeDocument/2006/relationships/hyperlink" Target="https://old.ukr-mobil.com/index.php?route=product&amp;product_id=10005912" TargetMode="External"/><Relationship Id="rId_hyperlink_580" Type="http://schemas.openxmlformats.org/officeDocument/2006/relationships/hyperlink" Target="https://old.ukr-mobil.com/index.php?route=product&amp;product_id=10005913" TargetMode="External"/><Relationship Id="rId_hyperlink_581" Type="http://schemas.openxmlformats.org/officeDocument/2006/relationships/hyperlink" Target="https://old.ukr-mobil.com/index.php?route=product&amp;product_id=10005854" TargetMode="External"/><Relationship Id="rId_hyperlink_582" Type="http://schemas.openxmlformats.org/officeDocument/2006/relationships/hyperlink" Target="https://old.ukr-mobil.com/index.php?route=product&amp;product_id=10005853" TargetMode="External"/><Relationship Id="rId_hyperlink_583" Type="http://schemas.openxmlformats.org/officeDocument/2006/relationships/hyperlink" Target="https://old.ukr-mobil.com/index.php?route=product&amp;product_id=10005958" TargetMode="External"/><Relationship Id="rId_hyperlink_584" Type="http://schemas.openxmlformats.org/officeDocument/2006/relationships/hyperlink" Target="https://old.ukr-mobil.com/akkumulyator_litij_zhelezo_fosfatnyj_lifepo4_catl_3_2_v_125_ah_10003177" TargetMode="External"/><Relationship Id="rId_hyperlink_585" Type="http://schemas.openxmlformats.org/officeDocument/2006/relationships/hyperlink" Target="https://old.ukr-mobil.com/akkumulyator_litij_zhelezo_fosfatnyj_lifepo4_eve_3_2_v_100_ah_original_qr_klas_a_10003176" TargetMode="External"/><Relationship Id="rId_hyperlink_586" Type="http://schemas.openxmlformats.org/officeDocument/2006/relationships/hyperlink" Target="https://old.ukr-mobil.com/akkumulyator_litij_zhelezo_fosfatnyj_lifepo4_eve_3_2_v_105_ah_original_qr_klas_a_10003167" TargetMode="External"/><Relationship Id="rId_hyperlink_587" Type="http://schemas.openxmlformats.org/officeDocument/2006/relationships/hyperlink" Target="https://old.ukr-mobil.com/akkumulyator_litij_zhelezo_fosfatnyj_lifepo4_eve_3_2_v_280_ah_original_qr_klas_a_10003728" TargetMode="External"/><Relationship Id="rId_hyperlink_588" Type="http://schemas.openxmlformats.org/officeDocument/2006/relationships/hyperlink" Target="https://old.ukr-mobil.com/akkumulyator_litij_zhelezo_fosfatnyj_lifepo4_lishen_3_28_v_150_ah_10003189" TargetMode="External"/><Relationship Id="rId_hyperlink_589" Type="http://schemas.openxmlformats.org/officeDocument/2006/relationships/hyperlink" Target="https://old.ukr-mobil.com/index.php?route=product&amp;product_id=10005764" TargetMode="External"/><Relationship Id="rId_hyperlink_590" Type="http://schemas.openxmlformats.org/officeDocument/2006/relationships/hyperlink" Target="https://old.ukr-mobil.com/index.php?route=product&amp;product_id=10005768" TargetMode="External"/><Relationship Id="rId_hyperlink_591" Type="http://schemas.openxmlformats.org/officeDocument/2006/relationships/hyperlink" Target="https://old.ukr-mobil.com/index.php?route=product&amp;product_id=10005769" TargetMode="External"/><Relationship Id="rId_hyperlink_592" Type="http://schemas.openxmlformats.org/officeDocument/2006/relationships/hyperlink" Target="https://old.ukr-mobil.com/oca_plenka_na_ipad_air_2_dlya_prikleivaniya_stekla_7939" TargetMode="External"/><Relationship Id="rId_hyperlink_593" Type="http://schemas.openxmlformats.org/officeDocument/2006/relationships/hyperlink" Target="https://old.ukr-mobil.com/oca_plenka_na_ipad_mini_4_dlya_prikleivaniya_stekla_11720" TargetMode="External"/><Relationship Id="rId_hyperlink_594" Type="http://schemas.openxmlformats.org/officeDocument/2006/relationships/hyperlink" Target="https://old.ukr-mobil.com/oca_plenka_apple_ipad_pro_10_5_163mm_h_217mm_10_5_inch_250_um_10002020" TargetMode="External"/><Relationship Id="rId_hyperlink_595" Type="http://schemas.openxmlformats.org/officeDocument/2006/relationships/hyperlink" Target="https://old.ukr-mobil.com/oca_plenka_apple_ipad_pro_12_9_140mm_h_220mm_12_9_inch_250_um_10002021" TargetMode="External"/><Relationship Id="rId_hyperlink_596" Type="http://schemas.openxmlformats.org/officeDocument/2006/relationships/hyperlink" Target="https://old.ukr-mobil.com/oca_plenka_huawei_p_smart_z_71_mm_x_153_mm_250_um_10001131" TargetMode="External"/><Relationship Id="rId_hyperlink_597" Type="http://schemas.openxmlformats.org/officeDocument/2006/relationships/hyperlink" Target="https://old.ukr-mobil.com/oca_plenka_huawei_p_smart_z_71_mm_x_153_mm_250_um_upakovka_50_sht_10001132" TargetMode="External"/><Relationship Id="rId_hyperlink_598" Type="http://schemas.openxmlformats.org/officeDocument/2006/relationships/hyperlink" Target="https://old.ukr-mobil.com/oca_plenka_na_iphone_4g_dlya_prikleivaniya_stekla_5563" TargetMode="External"/><Relationship Id="rId_hyperlink_599" Type="http://schemas.openxmlformats.org/officeDocument/2006/relationships/hyperlink" Target="https://old.ukr-mobil.com/oca_plenka_na_iphone_6_plus_6s_plus_dlya_prikleivaniya_stekla_6812" TargetMode="External"/><Relationship Id="rId_hyperlink_600" Type="http://schemas.openxmlformats.org/officeDocument/2006/relationships/hyperlink" Target="https://old.ukr-mobil.com/oca_plenka_na_iphone_6_6s_dlya_prikleivaniya_stekla_5565" TargetMode="External"/><Relationship Id="rId_hyperlink_601" Type="http://schemas.openxmlformats.org/officeDocument/2006/relationships/hyperlink" Target="https://old.ukr-mobil.com/oca_plenka_na_iphone_x_dlya_prikleivaniya_stekla_displeya_9656" TargetMode="External"/><Relationship Id="rId_hyperlink_602" Type="http://schemas.openxmlformats.org/officeDocument/2006/relationships/hyperlink" Target="https://old.ukr-mobil.com/oca_plenka_iwatch_38mm_11832" TargetMode="External"/><Relationship Id="rId_hyperlink_603" Type="http://schemas.openxmlformats.org/officeDocument/2006/relationships/hyperlink" Target="https://old.ukr-mobil.com/oca_plenka_iwatch_40mm_11834" TargetMode="External"/><Relationship Id="rId_hyperlink_604" Type="http://schemas.openxmlformats.org/officeDocument/2006/relationships/hyperlink" Target="https://old.ukr-mobil.com/oca_plenka_iwatch_42mm_11833" TargetMode="External"/><Relationship Id="rId_hyperlink_605" Type="http://schemas.openxmlformats.org/officeDocument/2006/relationships/hyperlink" Target="https://old.ukr-mobil.com/oca_plenka_iwatch_44mm_11835" TargetMode="External"/><Relationship Id="rId_hyperlink_606" Type="http://schemas.openxmlformats.org/officeDocument/2006/relationships/hyperlink" Target="https://old.ukr-mobil.com/oca_plenka_samsung_a505_galaxy_a50_150_mm_x_70_mm_250_um_10001128" TargetMode="External"/><Relationship Id="rId_hyperlink_607" Type="http://schemas.openxmlformats.org/officeDocument/2006/relationships/hyperlink" Target="https://old.ukr-mobil.com/oca_plenka_samsung_a505_galaxy_a50_150_mm_x_70_mm_250_um_upakovka_50_sht_10001129" TargetMode="External"/><Relationship Id="rId_hyperlink_608" Type="http://schemas.openxmlformats.org/officeDocument/2006/relationships/hyperlink" Target="https://old.ukr-mobil.com/oca_plenka_samsung_a705_galaxy_a70_158_mm_x_73_mm_250_um_10001126" TargetMode="External"/><Relationship Id="rId_hyperlink_609" Type="http://schemas.openxmlformats.org/officeDocument/2006/relationships/hyperlink" Target="https://old.ukr-mobil.com/oca_plenka_samsung_a705_galaxy_a70_158_mm_x_73_mm_250_um_upakovka_50_sht_10001127" TargetMode="External"/><Relationship Id="rId_hyperlink_610" Type="http://schemas.openxmlformats.org/officeDocument/2006/relationships/hyperlink" Target="https://old.ukr-mobil.com/oca_plenka_na_samsung_galaxy_s8_g950_dlya_prikleivaniya_stekla_displeya_9657" TargetMode="External"/><Relationship Id="rId_hyperlink_611" Type="http://schemas.openxmlformats.org/officeDocument/2006/relationships/hyperlink" Target="https://old.ukr-mobil.com/oca_plenka_na_samsung_galaxy_s8_plus_g955_dlya_prikleivaniya_stekla_displeya_9658" TargetMode="External"/><Relationship Id="rId_hyperlink_612" Type="http://schemas.openxmlformats.org/officeDocument/2006/relationships/hyperlink" Target="https://old.ukr-mobil.com/oca_plenka_samsung_g973_galaxy_s10_68mm_x_143mm_150_um_10002034" TargetMode="External"/><Relationship Id="rId_hyperlink_613" Type="http://schemas.openxmlformats.org/officeDocument/2006/relationships/hyperlink" Target="https://old.ukr-mobil.com/oca_plenka_na_samsung_g973_galaxy_s10_dlya_prikleivaniya_stekla_displeya_12284" TargetMode="External"/><Relationship Id="rId_hyperlink_614" Type="http://schemas.openxmlformats.org/officeDocument/2006/relationships/hyperlink" Target="https://old.ukr-mobil.com/oca_plenka_samsung_g975_galaxy_s10_plus_73mm_x_150mm_150_um_10002035" TargetMode="External"/><Relationship Id="rId_hyperlink_615" Type="http://schemas.openxmlformats.org/officeDocument/2006/relationships/hyperlink" Target="https://old.ukr-mobil.com/oca_plenka_na_samsung_g975_galaxy_s10_plus_dlya_prikleivaniya_stekla_displeya_12285" TargetMode="External"/><Relationship Id="rId_hyperlink_616" Type="http://schemas.openxmlformats.org/officeDocument/2006/relationships/hyperlink" Target="https://old.ukr-mobil.com/oca_plenka_samsung_g980_galaxy_s20_g991_galaxy_s21_67mm_x_147mm_150_um_10002036" TargetMode="External"/><Relationship Id="rId_hyperlink_617" Type="http://schemas.openxmlformats.org/officeDocument/2006/relationships/hyperlink" Target="https://old.ukr-mobil.com/oca_plenka_samsung_g985_galaxy_s20_plus_71mm_x_152mm_150_um_10002037" TargetMode="External"/><Relationship Id="rId_hyperlink_618" Type="http://schemas.openxmlformats.org/officeDocument/2006/relationships/hyperlink" Target="https://old.ukr-mobil.com/oca_plenka_samsung_g988_galaxy_s20_ultra_g998_galaxy_s21_ultra_73mm_x_160mm_150_um_10002038" TargetMode="External"/><Relationship Id="rId_hyperlink_619" Type="http://schemas.openxmlformats.org/officeDocument/2006/relationships/hyperlink" Target="https://old.ukr-mobil.com/oca_plenka_na_samsung_galaxy_mega_i9200_143mm_80mm_dlya_prikleivaniya_stekla_displeya_11148" TargetMode="External"/><Relationship Id="rId_hyperlink_620" Type="http://schemas.openxmlformats.org/officeDocument/2006/relationships/hyperlink" Target="https://old.ukr-mobil.com/oca_plenka_na_samsung_n950_galaxy_note_8_dlya_prikleivaniya_stekla_displeya_11831" TargetMode="External"/><Relationship Id="rId_hyperlink_621" Type="http://schemas.openxmlformats.org/officeDocument/2006/relationships/hyperlink" Target="https://old.ukr-mobil.com/oca_plenka_samsung_n970_galaxy_note_10_71mm_x_146mm_150_um_10002039" TargetMode="External"/><Relationship Id="rId_hyperlink_622" Type="http://schemas.openxmlformats.org/officeDocument/2006/relationships/hyperlink" Target="https://old.ukr-mobil.com/oca_plenka_samsung_n975_galaxy_note_10_plus_71mm_x_153mm_150_um_10002040" TargetMode="External"/><Relationship Id="rId_hyperlink_623" Type="http://schemas.openxmlformats.org/officeDocument/2006/relationships/hyperlink" Target="https://old.ukr-mobil.com/oca_plenka_samsung_n980_galaxy_note_20_72mm_x_157mm_150_um_10002041" TargetMode="External"/><Relationship Id="rId_hyperlink_624" Type="http://schemas.openxmlformats.org/officeDocument/2006/relationships/hyperlink" Target="https://old.ukr-mobil.com/oca_plenka_samsung_n985_galaxy_note_20_ultra_76mm_x_160mm_150_um_10002042" TargetMode="External"/><Relationship Id="rId_hyperlink_625" Type="http://schemas.openxmlformats.org/officeDocument/2006/relationships/hyperlink" Target="https://old.ukr-mobil.com/oca_plenka_na_samsung_galaxy_j1_j110_dlya_prikleivaniya_stekla_displeya_7656" TargetMode="External"/><Relationship Id="rId_hyperlink_626" Type="http://schemas.openxmlformats.org/officeDocument/2006/relationships/hyperlink" Target="https://old.ukr-mobil.com/oca_plenka_na_samsung_galaxy_s7_edge_g935_dlya_prikleivaniya_stekla_7654" TargetMode="External"/><Relationship Id="rId_hyperlink_627" Type="http://schemas.openxmlformats.org/officeDocument/2006/relationships/hyperlink" Target="https://old.ukr-mobil.com/oca_plenka_na_samsung_galaxy_s9_plus_g965_dlya_prikleivaniya_stekla_displeya_12283" TargetMode="External"/><Relationship Id="rId_hyperlink_628" Type="http://schemas.openxmlformats.org/officeDocument/2006/relationships/hyperlink" Target="https://old.ukr-mobil.com/oca_plenka_na_sony_c6602_xperia_z_dlya_prikleivaniya_stekla_7659" TargetMode="External"/><Relationship Id="rId_hyperlink_629" Type="http://schemas.openxmlformats.org/officeDocument/2006/relationships/hyperlink" Target="https://old.ukr-mobil.com/oca_plenka_na_sony_d5803_xperia_z3_mini_dlya_prikleivaniya_stekla_7665" TargetMode="External"/><Relationship Id="rId_hyperlink_630" Type="http://schemas.openxmlformats.org/officeDocument/2006/relationships/hyperlink" Target="https://old.ukr-mobil.com/oca_plenka_na_sony_d6502_xperia_z2_dlya_prikleivaniya_stekla_7661" TargetMode="External"/><Relationship Id="rId_hyperlink_631" Type="http://schemas.openxmlformats.org/officeDocument/2006/relationships/hyperlink" Target="https://old.ukr-mobil.com/oca_plenka_na_sony_d6603_xperia_z3_dlya_prikleivaniya_stekla_7662" TargetMode="External"/><Relationship Id="rId_hyperlink_632" Type="http://schemas.openxmlformats.org/officeDocument/2006/relationships/hyperlink" Target="https://old.ukr-mobil.com/oca_plenka_na_sony_e5823_xperia_z5_mini_dlya_prikleivaniya_stekla_7664" TargetMode="External"/><Relationship Id="rId_hyperlink_633" Type="http://schemas.openxmlformats.org/officeDocument/2006/relationships/hyperlink" Target="https://old.ukr-mobil.com/oca_plenka_na_sony_e6602_xperia_z5_dlya_prikleivaniya_stekla_7663" TargetMode="External"/><Relationship Id="rId_hyperlink_634" Type="http://schemas.openxmlformats.org/officeDocument/2006/relationships/hyperlink" Target="https://old.ukr-mobil.com/stiker_dlya_oca-plenki_polyarizacionnoj_plenki_40_sht_8235" TargetMode="External"/><Relationship Id="rId_hyperlink_635" Type="http://schemas.openxmlformats.org/officeDocument/2006/relationships/hyperlink" Target="https://old.ukr-mobil.com/oca_plenka_112mm_h_176mm_8_inch_150_um_10002045" TargetMode="External"/><Relationship Id="rId_hyperlink_636" Type="http://schemas.openxmlformats.org/officeDocument/2006/relationships/hyperlink" Target="https://old.ukr-mobil.com/oca_plenka_140mm_h_220mm_10_inch_150_um_10002043" TargetMode="External"/><Relationship Id="rId_hyperlink_637" Type="http://schemas.openxmlformats.org/officeDocument/2006/relationships/hyperlink" Target="https://old.ukr-mobil.com/oca_plenka_10_inches_220mm_140mm_dlya_prikleivaniya_stekla_10000545" TargetMode="External"/><Relationship Id="rId_hyperlink_638" Type="http://schemas.openxmlformats.org/officeDocument/2006/relationships/hyperlink" Target="https://old.ukr-mobil.com/oca_plenka_140_mm_h_220_mm_10_inch_250_um_upakovka_50_sht_10001133" TargetMode="External"/><Relationship Id="rId_hyperlink_639" Type="http://schemas.openxmlformats.org/officeDocument/2006/relationships/hyperlink" Target="https://old.ukr-mobil.com/oca_plenka_83_mm_h_146_mm_6_5_inch_250_um_10001124" TargetMode="External"/><Relationship Id="rId_hyperlink_640" Type="http://schemas.openxmlformats.org/officeDocument/2006/relationships/hyperlink" Target="https://old.ukr-mobil.com/oca_plenka_83_mm_h_146_mm_6_5_inch_250_um_upakovka_50_sht_10001125" TargetMode="External"/><Relationship Id="rId_hyperlink_641" Type="http://schemas.openxmlformats.org/officeDocument/2006/relationships/hyperlink" Target="https://old.ukr-mobil.com/oca_plenka_99mm_h_155mm_7_inch_250_um_10002023" TargetMode="External"/><Relationship Id="rId_hyperlink_642" Type="http://schemas.openxmlformats.org/officeDocument/2006/relationships/hyperlink" Target="https://old.ukr-mobil.com/vodozashchitnaya_proklejka_displeya_apple_iphone_11_10001991" TargetMode="External"/><Relationship Id="rId_hyperlink_643" Type="http://schemas.openxmlformats.org/officeDocument/2006/relationships/hyperlink" Target="https://old.ukr-mobil.com/vodozashchitnaya_proklejka_displeya_apple_iphone_11_pro_10002413" TargetMode="External"/><Relationship Id="rId_hyperlink_644" Type="http://schemas.openxmlformats.org/officeDocument/2006/relationships/hyperlink" Target="https://old.ukr-mobil.com/vodozashchitnaya_proklejka_displeya_apple_iphone_11_pro_max_10002414" TargetMode="External"/><Relationship Id="rId_hyperlink_645" Type="http://schemas.openxmlformats.org/officeDocument/2006/relationships/hyperlink" Target="https://old.ukr-mobil.com/vodozashchitnaya_proklejka_displeya_apple_iphone_12_pro_max_10002416" TargetMode="External"/><Relationship Id="rId_hyperlink_646" Type="http://schemas.openxmlformats.org/officeDocument/2006/relationships/hyperlink" Target="https://old.ukr-mobil.com/vodozashchitnaya_proklejka_displeya_apple_iphone_12_iphone_12_pro_10002415" TargetMode="External"/><Relationship Id="rId_hyperlink_647" Type="http://schemas.openxmlformats.org/officeDocument/2006/relationships/hyperlink" Target="https://old.ukr-mobil.com/vodozashchitnaya_proklejka_displeya_apple_iphone_13_10003223" TargetMode="External"/><Relationship Id="rId_hyperlink_648" Type="http://schemas.openxmlformats.org/officeDocument/2006/relationships/hyperlink" Target="https://old.ukr-mobil.com/vodozashchitnaya_proklejka_displeya_apple_iphone_13_pro_10003224" TargetMode="External"/><Relationship Id="rId_hyperlink_649" Type="http://schemas.openxmlformats.org/officeDocument/2006/relationships/hyperlink" Target="https://old.ukr-mobil.com/vodozashchitnaya_proklejka_displeya_apple_iphone_13_pro_max_10003225" TargetMode="External"/><Relationship Id="rId_hyperlink_650" Type="http://schemas.openxmlformats.org/officeDocument/2006/relationships/hyperlink" Target="https://old.ukr-mobil.com/vodozashchitnaya_proklejka_displeya_apple_iphone_14_10003226" TargetMode="External"/><Relationship Id="rId_hyperlink_651" Type="http://schemas.openxmlformats.org/officeDocument/2006/relationships/hyperlink" Target="https://old.ukr-mobil.com/vodozashchitnaya_proklejka_displeya_apple_iphone_14_plus_10003227" TargetMode="External"/><Relationship Id="rId_hyperlink_652" Type="http://schemas.openxmlformats.org/officeDocument/2006/relationships/hyperlink" Target="https://old.ukr-mobil.com/vodozashchitnaya_proklejka_displeya_apple_iphone_14_pro_10003249" TargetMode="External"/><Relationship Id="rId_hyperlink_653" Type="http://schemas.openxmlformats.org/officeDocument/2006/relationships/hyperlink" Target="https://old.ukr-mobil.com/vodozashchitnaya_proklejka_displeya_apple_iphone_14_pro_max_10003250" TargetMode="External"/><Relationship Id="rId_hyperlink_654" Type="http://schemas.openxmlformats.org/officeDocument/2006/relationships/hyperlink" Target="https://old.ukr-mobil.com/vodozashchitnaya_proklejka_displeya_apple_iphone_7_10001992" TargetMode="External"/><Relationship Id="rId_hyperlink_655" Type="http://schemas.openxmlformats.org/officeDocument/2006/relationships/hyperlink" Target="https://old.ukr-mobil.com/vodozashchitnaya_proklejka_displeya_apple_iphone_7_plus_10001986" TargetMode="External"/><Relationship Id="rId_hyperlink_656" Type="http://schemas.openxmlformats.org/officeDocument/2006/relationships/hyperlink" Target="https://old.ukr-mobil.com/vodozashchitnaya_proklejka_displeya_apple_iphone_x_10001987" TargetMode="External"/><Relationship Id="rId_hyperlink_657" Type="http://schemas.openxmlformats.org/officeDocument/2006/relationships/hyperlink" Target="https://old.ukr-mobil.com/vodozashchitnaya_proklejka_displeya_apple_iphone_xr_10001989" TargetMode="External"/><Relationship Id="rId_hyperlink_658" Type="http://schemas.openxmlformats.org/officeDocument/2006/relationships/hyperlink" Target="https://old.ukr-mobil.com/vodozashchitnaya_proklejka_displeya_apple_iphone_xs_10001988" TargetMode="External"/><Relationship Id="rId_hyperlink_659" Type="http://schemas.openxmlformats.org/officeDocument/2006/relationships/hyperlink" Target="https://old.ukr-mobil.com/vodozashchitnaya_proklejka_displeya_apple_iphone_xs_max_10001990" TargetMode="External"/><Relationship Id="rId_hyperlink_660" Type="http://schemas.openxmlformats.org/officeDocument/2006/relationships/hyperlink" Target="https://old.ukr-mobil.com/instrument_dlya_podnyatiya_displeya_lopatka_metallicheskaya_mechanic_x22_tolshchina_0_2_mm_10002748" TargetMode="External"/><Relationship Id="rId_hyperlink_661" Type="http://schemas.openxmlformats.org/officeDocument/2006/relationships/hyperlink" Target="https://old.ukr-mobil.com/instrument_dlya_podnyatiya_displeya_lopatka_metallicheskaya_mechanic_x8_tolshchina_0_1_mm_10002750" TargetMode="External"/><Relationship Id="rId_hyperlink_662" Type="http://schemas.openxmlformats.org/officeDocument/2006/relationships/hyperlink" Target="https://old.ukr-mobil.com/instrument_dlya_podnyatiya_displeya_razborki_korpusnyh_detalej_mechanic_x5_10002749" TargetMode="External"/><Relationship Id="rId_hyperlink_663" Type="http://schemas.openxmlformats.org/officeDocument/2006/relationships/hyperlink" Target="https://old.ukr-mobil.com/instrument_ehlektricheskij_dlya_snyatiya_oca_kleya_relife_rl-056c_10002691" TargetMode="External"/><Relationship Id="rId_hyperlink_664" Type="http://schemas.openxmlformats.org/officeDocument/2006/relationships/hyperlink" Target="https://old.ukr-mobil.com/instrument_ehlektricheskij_dlya_snyatiya_oca_kleya_relife_rl-056f_10004523" TargetMode="External"/><Relationship Id="rId_hyperlink_665" Type="http://schemas.openxmlformats.org/officeDocument/2006/relationships/hyperlink" Target="https://old.ukr-mobil.com/lezviya-skrebok_mechanic_fr1_shirina_38_mm_5_sht_10002781" TargetMode="External"/><Relationship Id="rId_hyperlink_666" Type="http://schemas.openxmlformats.org/officeDocument/2006/relationships/hyperlink" Target="https://old.ukr-mobil.com/index.php?route=product&amp;product_id=10005585" TargetMode="External"/><Relationship Id="rId_hyperlink_667" Type="http://schemas.openxmlformats.org/officeDocument/2006/relationships/hyperlink" Target="https://old.ukr-mobil.com/index.php?route=product&amp;product_id=10005586" TargetMode="External"/><Relationship Id="rId_hyperlink_668" Type="http://schemas.openxmlformats.org/officeDocument/2006/relationships/hyperlink" Target="https://old.ukr-mobil.com/index.php?route=product&amp;product_id=10005583" TargetMode="External"/><Relationship Id="rId_hyperlink_669" Type="http://schemas.openxmlformats.org/officeDocument/2006/relationships/hyperlink" Target="https://old.ukr-mobil.com/index.php?route=product&amp;product_id=10005587" TargetMode="External"/><Relationship Id="rId_hyperlink_670" Type="http://schemas.openxmlformats.org/officeDocument/2006/relationships/hyperlink" Target="https://old.ukr-mobil.com/skotch_akkumulyatora_batarei_dlya_iphone_5s_iphone_5se_iphone_5_10002313" TargetMode="External"/><Relationship Id="rId_hyperlink_671" Type="http://schemas.openxmlformats.org/officeDocument/2006/relationships/hyperlink" Target="https://old.ukr-mobil.com/index.php?route=product&amp;product_id=10005727" TargetMode="External"/><Relationship Id="rId_hyperlink_672" Type="http://schemas.openxmlformats.org/officeDocument/2006/relationships/hyperlink" Target="https://old.ukr-mobil.com/skotch_akkumulyatora_batarei_dlya_iphone_6_iphone_7_iphone_8_10002312" TargetMode="External"/><Relationship Id="rId_hyperlink_673" Type="http://schemas.openxmlformats.org/officeDocument/2006/relationships/hyperlink" Target="https://old.ukr-mobil.com/index.php?route=product&amp;product_id=10005584" TargetMode="External"/><Relationship Id="rId_hyperlink_674" Type="http://schemas.openxmlformats.org/officeDocument/2006/relationships/hyperlink" Target="https://old.ukr-mobil.com/zhidkost_dlya_udaleniya_kleya_oca_mechanic_8366_250ml_10002740" TargetMode="External"/><Relationship Id="rId_hyperlink_675" Type="http://schemas.openxmlformats.org/officeDocument/2006/relationships/hyperlink" Target="https://old.ukr-mobil.com/zhidkost_dlya_udaleniya_kleya_oca_mechanic_883l_300ml_10002741" TargetMode="External"/><Relationship Id="rId_hyperlink_676" Type="http://schemas.openxmlformats.org/officeDocument/2006/relationships/hyperlink" Target="https://old.ukr-mobil.com/zhidkost_dlya_udaleniya_kleya_oca_mechanic_993l_300ml_10002738" TargetMode="External"/><Relationship Id="rId_hyperlink_677" Type="http://schemas.openxmlformats.org/officeDocument/2006/relationships/hyperlink" Target="https://old.ukr-mobil.com/zhidkost_ochistitel_mechanic_8111_max_dlya_demontazha_ramki_300ml_10002742" TargetMode="External"/><Relationship Id="rId_hyperlink_678" Type="http://schemas.openxmlformats.org/officeDocument/2006/relationships/hyperlink" Target="https://old.ukr-mobil.com/zhidkost_ochistitel_mechanic_n10l_dlya_demontazha_ramki_300ml_10002737" TargetMode="External"/><Relationship Id="rId_hyperlink_679" Type="http://schemas.openxmlformats.org/officeDocument/2006/relationships/hyperlink" Target="https://old.ukr-mobil.com/zhidkost_ochistitel_mechanic_rx08_dlya_demontazha_ramki_300ml_10002743" TargetMode="External"/><Relationship Id="rId_hyperlink_680" Type="http://schemas.openxmlformats.org/officeDocument/2006/relationships/hyperlink" Target="https://old.ukr-mobil.com/klej_sunshine_g20_dlya_prikleivaniya_sensorov_i_displeev_prozrachnyj_15_ml_10002718" TargetMode="External"/><Relationship Id="rId_hyperlink_681" Type="http://schemas.openxmlformats.org/officeDocument/2006/relationships/hyperlink" Target="https://old.ukr-mobil.com/klej_sunshine_g20_dlya_prikleivaniya_sensorov_i_displeev_prozrachnyj_50_ml_10001386" TargetMode="External"/><Relationship Id="rId_hyperlink_682" Type="http://schemas.openxmlformats.org/officeDocument/2006/relationships/hyperlink" Target="https://old.ukr-mobil.com/klej_sunshine_g21_dlya_prikleivaniya_sensorov_i_displeev_black_15_ml_10002719" TargetMode="External"/><Relationship Id="rId_hyperlink_683" Type="http://schemas.openxmlformats.org/officeDocument/2006/relationships/hyperlink" Target="https://old.ukr-mobil.com/klej_sunshine_g21_dlya_prikleivaniya_sensorov_i_displeev_black_50_ml_10001387" TargetMode="External"/><Relationship Id="rId_hyperlink_684" Type="http://schemas.openxmlformats.org/officeDocument/2006/relationships/hyperlink" Target="https://old.ukr-mobil.com/klej_dlya_ramok_displeev_relife_rl-035a_prozrachnyj_10_ml_10002688" TargetMode="External"/><Relationship Id="rId_hyperlink_685" Type="http://schemas.openxmlformats.org/officeDocument/2006/relationships/hyperlink" Target="https://old.ukr-mobil.com/index.php?route=product&amp;product_id=10005190" TargetMode="External"/><Relationship Id="rId_hyperlink_686" Type="http://schemas.openxmlformats.org/officeDocument/2006/relationships/hyperlink" Target="https://old.ukr-mobil.com/klej_dlya_ramok_displeev_sunshine_ss-035_10_ml_10000563" TargetMode="External"/><Relationship Id="rId_hyperlink_687" Type="http://schemas.openxmlformats.org/officeDocument/2006/relationships/hyperlink" Target="https://old.ukr-mobil.com/klej_dlya_sensorov_i_displeev_b7000_15_ml_prozrachnyj_10998" TargetMode="External"/><Relationship Id="rId_hyperlink_688" Type="http://schemas.openxmlformats.org/officeDocument/2006/relationships/hyperlink" Target="https://old.ukr-mobil.com/klej_dlya_sensorov_i_displeev_b7000_50_ml_prozrachnyj_4708" TargetMode="External"/><Relationship Id="rId_hyperlink_689" Type="http://schemas.openxmlformats.org/officeDocument/2006/relationships/hyperlink" Target="https://old.ukr-mobil.com/salfetka_sunshine_iz_mikrofibry_dlya_ustraneniya_pyli_i_otpechatkov_100mm_100mm_100sht_10000585" TargetMode="External"/><Relationship Id="rId_hyperlink_690" Type="http://schemas.openxmlformats.org/officeDocument/2006/relationships/hyperlink" Target="https://old.ukr-mobil.com/salfetka_iz_mikrofibry_dlya_ustraneniya_pyli_i_otpechatkov_100mm_100mm_40sht_7666" TargetMode="External"/><Relationship Id="rId_hyperlink_691" Type="http://schemas.openxmlformats.org/officeDocument/2006/relationships/hyperlink" Target="https://old.ukr-mobil.com/salfetka_iz_mikrofibry_dlya_ustraneniya_pyli_i_otpechatkov_relife_rl-045_100mm_100mm_50sht_10002787" TargetMode="External"/><Relationship Id="rId_hyperlink_692" Type="http://schemas.openxmlformats.org/officeDocument/2006/relationships/hyperlink" Target="https://old.ukr-mobil.com/bespylevoe_rabochee_mesto_sunshine_ss-917c_s_filtrami_i_lampami_10002173" TargetMode="External"/><Relationship Id="rId_hyperlink_693" Type="http://schemas.openxmlformats.org/officeDocument/2006/relationships/hyperlink" Target="https://old.ukr-mobil.com/laminator_plenki_oca_polyarizacionnoj_s_vakuumnym_nasosom_6596" TargetMode="External"/><Relationship Id="rId_hyperlink_694" Type="http://schemas.openxmlformats.org/officeDocument/2006/relationships/hyperlink" Target="https://old.ukr-mobil.com/laminator_plenki_oca_polyarizacionnoj_s_avtoprivodom_s_vakuumnym_nasosom_s-919b_dlya_vsekh_tipov_displeev_vklyuchaya_samsung_g925_galaxy_s6_edge_g928_9066" TargetMode="External"/><Relationship Id="rId_hyperlink_695" Type="http://schemas.openxmlformats.org/officeDocument/2006/relationships/hyperlink" Target="https://old.ukr-mobil.com/apparat_dlya_srezki_stekla_displeya_sunshine_ss-918g_10001385" TargetMode="External"/><Relationship Id="rId_hyperlink_696" Type="http://schemas.openxmlformats.org/officeDocument/2006/relationships/hyperlink" Target="https://old.ukr-mobil.com/mnogofunkcionalnyj_demontazhnyj_stol_dlya_snyatiya_displeya_relife_rl-601s_plus_s_povorotnoj_platformoj_10002715" TargetMode="External"/><Relationship Id="rId_hyperlink_697" Type="http://schemas.openxmlformats.org/officeDocument/2006/relationships/hyperlink" Target="https://old.ukr-mobil.com/separator_displejnyh_modulej_katex_kd-968d_vakuumnyj_stol_14_dyujmov_10000754" TargetMode="External"/><Relationship Id="rId_hyperlink_698" Type="http://schemas.openxmlformats.org/officeDocument/2006/relationships/hyperlink" Target="https://old.ukr-mobil.com/separator_displejnyh_modulej_triangel_cp-150_vakuumnyj_stol_14_dyujmov_10001735" TargetMode="External"/><Relationship Id="rId_hyperlink_699" Type="http://schemas.openxmlformats.org/officeDocument/2006/relationships/hyperlink" Target="https://old.ukr-mobil.com/separator_displejnyh_modulej_sunshine_ss-918f_plus_mnogofunkcionalnyj_5in1_naklonnaya_panel_45_360_10002692" TargetMode="External"/><Relationship Id="rId_hyperlink_700" Type="http://schemas.openxmlformats.org/officeDocument/2006/relationships/hyperlink" Target="https://old.ukr-mobil.com/separator_displejnyh_modulej_s_vakuumnym_nasosom_5_v_1_6112" TargetMode="External"/><Relationship Id="rId_hyperlink_701" Type="http://schemas.openxmlformats.org/officeDocument/2006/relationships/hyperlink" Target="https://old.ukr-mobil.com/separator_displejnyh_modulej_s_termostatom_rex-c100_baku_948b_4302" TargetMode="External"/><Relationship Id="rId_hyperlink_702" Type="http://schemas.openxmlformats.org/officeDocument/2006/relationships/hyperlink" Target="https://old.ukr-mobil.com/separator_displejnyh_modulej_s_termostatom_rex-c100_yaxun_989_s_ultrafioletovoj_lampoj_vakuumnym_nasosom_diodnoj_podsvetkoj_4998" TargetMode="External"/><Relationship Id="rId_hyperlink_703" Type="http://schemas.openxmlformats.org/officeDocument/2006/relationships/hyperlink" Target="https://old.ukr-mobil.com/separator_displejnyh_modulej_s_termostatom_rex-c100_yaxun_996_4999" TargetMode="External"/><Relationship Id="rId_hyperlink_704" Type="http://schemas.openxmlformats.org/officeDocument/2006/relationships/hyperlink" Target="https://old.ukr-mobil.com/separator_displejnyh_modulej_s_termostatom_rex-c100_yaxun_997b_5355" TargetMode="External"/><Relationship Id="rId_hyperlink_705" Type="http://schemas.openxmlformats.org/officeDocument/2006/relationships/hyperlink" Target="https://old.ukr-mobil.com/separator_displejnyh_modulej_s_cifrovym_kontrollerom_baku_946a_alyuminievaya_rabochaya_poverhnost_4540" TargetMode="External"/><Relationship Id="rId_hyperlink_706" Type="http://schemas.openxmlformats.org/officeDocument/2006/relationships/hyperlink" Target="https://old.ukr-mobil.com/separator_displejnyh_modulej_s_cifrovym_kontrollerom_baku_946d_vakuumnij_5750" TargetMode="External"/><Relationship Id="rId_hyperlink_707" Type="http://schemas.openxmlformats.org/officeDocument/2006/relationships/hyperlink" Target="https://old.ukr-mobil.com/separator_displejnyh_modulej_s_cifrovym_kontrollerom_baku_968_vakuumnij_350vt_razmer_10_1_inch_6147" TargetMode="External"/><Relationship Id="rId_hyperlink_708" Type="http://schemas.openxmlformats.org/officeDocument/2006/relationships/hyperlink" Target="https://old.ukr-mobil.com/separator_displejnyh_modulej_s_cifrovym_kontrollerom_baku_968_vakuumnij_500vt_razmer_10_1_inch_6108" TargetMode="External"/><Relationship Id="rId_hyperlink_709" Type="http://schemas.openxmlformats.org/officeDocument/2006/relationships/hyperlink" Target="https://old.ukr-mobil.com/separator_displejnyh_modulej_vakuumnyj_stol_12_dyujmov_ya_xun_940_11001" TargetMode="External"/><Relationship Id="rId_hyperlink_710" Type="http://schemas.openxmlformats.org/officeDocument/2006/relationships/hyperlink" Target="https://old.ukr-mobil.com/separator_displejnyh_modulej_vakuumnyj_stol_8_dyujmov_ya_xun_999_5743" TargetMode="External"/><Relationship Id="rId_hyperlink_711" Type="http://schemas.openxmlformats.org/officeDocument/2006/relationships/hyperlink" Target="https://old.ukr-mobil.com/separator-morozilnik_180_s_dlya_raskleivaniya_displejnogo_modulya_8060" TargetMode="External"/><Relationship Id="rId_hyperlink_712" Type="http://schemas.openxmlformats.org/officeDocument/2006/relationships/hyperlink" Target="https://old.ukr-mobil.com/universalnyj_instrument_dlya_snyatiya_displeya_sunshine_ss-601g_10002689" TargetMode="External"/><Relationship Id="rId_hyperlink_713" Type="http://schemas.openxmlformats.org/officeDocument/2006/relationships/hyperlink" Target="https://old.ukr-mobil.com/aparat_dlya_naneseniya_uv_kleya_2in1_yaxun_yx-855_vakuumnaya_podacha_i_vsasyvanie_kleya_7650" TargetMode="External"/><Relationship Id="rId_hyperlink_714" Type="http://schemas.openxmlformats.org/officeDocument/2006/relationships/hyperlink" Target="https://old.ukr-mobil.com/ustrojstvo_dlya_skleivaniya_displejnogo_modulya_m-triangel_m103_pres_avtoklav_v_komplekte_s_press-formami_dlya_samsung_galaxy_s6_edge_s6_edge_plus_s7_10360" TargetMode="External"/><Relationship Id="rId_hyperlink_715" Type="http://schemas.openxmlformats.org/officeDocument/2006/relationships/hyperlink" Target="https://old.ukr-mobil.com/ustrojstvo_dlya_skleivaniya_displejnogo_modulya_m-triangel_mt12_s_avtozamkami_all_in_one_dlya_ehkranov_do_12_10002309" TargetMode="External"/><Relationship Id="rId_hyperlink_716" Type="http://schemas.openxmlformats.org/officeDocument/2006/relationships/hyperlink" Target="https://old.ukr-mobil.com/ustrojstvo_dlya_skleivaniya_displejnogo_modulya_avtoklav_10362" TargetMode="External"/><Relationship Id="rId_hyperlink_717" Type="http://schemas.openxmlformats.org/officeDocument/2006/relationships/hyperlink" Target="https://old.ukr-mobil.com/ustrojstvo_dlya_skleivaniya_displejnogo_modulya_pres_avtoklav_s_avtozamkami_all_in_one_sunshine_959v_rabochaya_poverhnost_16_inch_10002302" TargetMode="External"/><Relationship Id="rId_hyperlink_718" Type="http://schemas.openxmlformats.org/officeDocument/2006/relationships/hyperlink" Target="https://old.ukr-mobil.com/ustrojstvo_dlya_skleivaniya_displejnogo_modulya_pres_avtoklav_s_avtozamkami_all_in_one_tbk-808_10000384" TargetMode="External"/><Relationship Id="rId_hyperlink_719" Type="http://schemas.openxmlformats.org/officeDocument/2006/relationships/hyperlink" Target="https://old.ukr-mobil.com/podsvetka_displeya_iphone_6_plus_7421" TargetMode="External"/><Relationship Id="rId_hyperlink_720" Type="http://schemas.openxmlformats.org/officeDocument/2006/relationships/hyperlink" Target="https://old.ukr-mobil.com/podsvetka_displeya_iphone_6s_plus_7423" TargetMode="External"/><Relationship Id="rId_hyperlink_721" Type="http://schemas.openxmlformats.org/officeDocument/2006/relationships/hyperlink" Target="https://old.ukr-mobil.com/podsvetka_displeya_iphone_7_7753" TargetMode="External"/><Relationship Id="rId_hyperlink_722" Type="http://schemas.openxmlformats.org/officeDocument/2006/relationships/hyperlink" Target="https://old.ukr-mobil.com/podsvetka_displeya_huawei_honor_10_lite_10001780" TargetMode="External"/><Relationship Id="rId_hyperlink_723" Type="http://schemas.openxmlformats.org/officeDocument/2006/relationships/hyperlink" Target="https://old.ukr-mobil.com/podsvetka_displeya_huawei_honor_20_10001781" TargetMode="External"/><Relationship Id="rId_hyperlink_724" Type="http://schemas.openxmlformats.org/officeDocument/2006/relationships/hyperlink" Target="https://old.ukr-mobil.com/podsvetka_displeya_huawei_honor_8x_10001782" TargetMode="External"/><Relationship Id="rId_hyperlink_725" Type="http://schemas.openxmlformats.org/officeDocument/2006/relationships/hyperlink" Target="https://old.ukr-mobil.com/podsvetka_displeya_huawei_p_smart_2021_y7a_honor_10x_lite_10001786" TargetMode="External"/><Relationship Id="rId_hyperlink_726" Type="http://schemas.openxmlformats.org/officeDocument/2006/relationships/hyperlink" Target="https://old.ukr-mobil.com/podsvetka_displeya_huawei_p30_lite_nova_4e_mar-l21_lx2_lx1m_10001789" TargetMode="External"/><Relationship Id="rId_hyperlink_727" Type="http://schemas.openxmlformats.org/officeDocument/2006/relationships/hyperlink" Target="https://old.ukr-mobil.com/podsvetka_displeya_huawei_p40_lite_nova_6_se_jny-lx1_l21a_l01a_l21b_l22a_l02a_l22b_10001790" TargetMode="External"/><Relationship Id="rId_hyperlink_728" Type="http://schemas.openxmlformats.org/officeDocument/2006/relationships/hyperlink" Target="https://old.ukr-mobil.com/podsvetka_displeya_huawei_p40_lite_e_art-l28_art-l29_y7p_2020_honor_9c_10003874" TargetMode="External"/><Relationship Id="rId_hyperlink_729" Type="http://schemas.openxmlformats.org/officeDocument/2006/relationships/hyperlink" Target="https://old.ukr-mobil.com/podsvetka_displeya_huawei_y6_2019_y6_prime_2019_y6s_honor_8a_y6_pro_2019_8a_pro_mrd-lx1_jat-lx_10001791" TargetMode="External"/><Relationship Id="rId_hyperlink_730" Type="http://schemas.openxmlformats.org/officeDocument/2006/relationships/hyperlink" Target="https://old.ukr-mobil.com/podsvetka_displeya_huawei_y6p_2020_honor_9a_med-l29_lx9_lx9n_l29n_moa-lx9_lx9n_10001783" TargetMode="External"/><Relationship Id="rId_hyperlink_731" Type="http://schemas.openxmlformats.org/officeDocument/2006/relationships/hyperlink" Target="https://old.ukr-mobil.com/podsvetka_displeya_huawei_y7_2019_dub-lx3_dub-l23_dub-lx1_y7_prime_2019_y7_pro_2019_10001792" TargetMode="External"/><Relationship Id="rId_hyperlink_732" Type="http://schemas.openxmlformats.org/officeDocument/2006/relationships/hyperlink" Target="https://old.ukr-mobil.com/podsvetka_displeya_huawei_y9_2018_fla-lx1_fla-lx3_enjoy_8_plus_10001793" TargetMode="External"/><Relationship Id="rId_hyperlink_733" Type="http://schemas.openxmlformats.org/officeDocument/2006/relationships/hyperlink" Target="https://old.ukr-mobil.com/podsvetka_displeya_oppo_a12_a5s_a7_realme_3_10001795" TargetMode="External"/><Relationship Id="rId_hyperlink_734" Type="http://schemas.openxmlformats.org/officeDocument/2006/relationships/hyperlink" Target="https://old.ukr-mobil.com/podsvetka_displeya_oppo_a32_2020_a53_realme_7i_10001796" TargetMode="External"/><Relationship Id="rId_hyperlink_735" Type="http://schemas.openxmlformats.org/officeDocument/2006/relationships/hyperlink" Target="https://old.ukr-mobil.com/podsvetka_displeya_oppo_a52_a72_a92_10001798" TargetMode="External"/><Relationship Id="rId_hyperlink_736" Type="http://schemas.openxmlformats.org/officeDocument/2006/relationships/hyperlink" Target="https://old.ukr-mobil.com/podsvetka_displeya_oppo_realme_6_10001799" TargetMode="External"/><Relationship Id="rId_hyperlink_737" Type="http://schemas.openxmlformats.org/officeDocument/2006/relationships/hyperlink" Target="https://old.ukr-mobil.com/podsvetka_displeya_samsung_a015_galaxy_a01_10001801" TargetMode="External"/><Relationship Id="rId_hyperlink_738" Type="http://schemas.openxmlformats.org/officeDocument/2006/relationships/hyperlink" Target="https://old.ukr-mobil.com/podsvetka_displeya_samsung_a025_galaxy_a02s_m025_galaxy_m02s_10001803" TargetMode="External"/><Relationship Id="rId_hyperlink_739" Type="http://schemas.openxmlformats.org/officeDocument/2006/relationships/hyperlink" Target="https://old.ukr-mobil.com/podsvetka_displeya_samsung_a105_galaxy_a10_10001802" TargetMode="External"/><Relationship Id="rId_hyperlink_740" Type="http://schemas.openxmlformats.org/officeDocument/2006/relationships/hyperlink" Target="https://old.ukr-mobil.com/podsvetka_displeya_samsung_a107_galaxy_a10s_10001804" TargetMode="External"/><Relationship Id="rId_hyperlink_741" Type="http://schemas.openxmlformats.org/officeDocument/2006/relationships/hyperlink" Target="https://old.ukr-mobil.com/podsvetka_displeya_samsung_a115_galaxy_a11_m115_galaxy_m11_10001805" TargetMode="External"/><Relationship Id="rId_hyperlink_742" Type="http://schemas.openxmlformats.org/officeDocument/2006/relationships/hyperlink" Target="https://old.ukr-mobil.com/podsvetka_displeya_samsung_a125_galaxy_a12_a022_galaxy_a02_a325_galaxy_a32_a326_galaxy_a32_5g_m127_galaxy_m12_10001806" TargetMode="External"/><Relationship Id="rId_hyperlink_743" Type="http://schemas.openxmlformats.org/officeDocument/2006/relationships/hyperlink" Target="https://old.ukr-mobil.com/podsvetka_displeya_samsung_a135_galaxy_a13_10002963" TargetMode="External"/><Relationship Id="rId_hyperlink_744" Type="http://schemas.openxmlformats.org/officeDocument/2006/relationships/hyperlink" Target="https://old.ukr-mobil.com/podsvetka_displeya_samsung_a207_galaxy_a20s_10001807" TargetMode="External"/><Relationship Id="rId_hyperlink_745" Type="http://schemas.openxmlformats.org/officeDocument/2006/relationships/hyperlink" Target="https://old.ukr-mobil.com/podsvetka_displeya_samsung_a217_galaxy_a21s_10001808" TargetMode="External"/><Relationship Id="rId_hyperlink_746" Type="http://schemas.openxmlformats.org/officeDocument/2006/relationships/hyperlink" Target="https://old.ukr-mobil.com/podsvetka_displeya_samsung_a226_galaxy_a22_5g_10003850" TargetMode="External"/><Relationship Id="rId_hyperlink_747" Type="http://schemas.openxmlformats.org/officeDocument/2006/relationships/hyperlink" Target="https://old.ukr-mobil.com/podsvetka_displeya_samsung_m205_galaxy_m20_10003849" TargetMode="External"/><Relationship Id="rId_hyperlink_748" Type="http://schemas.openxmlformats.org/officeDocument/2006/relationships/hyperlink" Target="https://old.ukr-mobil.com/podsvetka_displeya_vivo_y11_2019_y12_2019_y15_2019_y17_2019_10001827" TargetMode="External"/><Relationship Id="rId_hyperlink_749" Type="http://schemas.openxmlformats.org/officeDocument/2006/relationships/hyperlink" Target="https://old.ukr-mobil.com/podsvetka_displeya_xiaomi_mi_8_lite_10001811" TargetMode="External"/><Relationship Id="rId_hyperlink_750" Type="http://schemas.openxmlformats.org/officeDocument/2006/relationships/hyperlink" Target="https://old.ukr-mobil.com/podsvetka_displeya_xiaomi_mi_a2_10001812" TargetMode="External"/><Relationship Id="rId_hyperlink_751" Type="http://schemas.openxmlformats.org/officeDocument/2006/relationships/hyperlink" Target="https://old.ukr-mobil.com/podsvetka_displeya_xiaomi_mi_a2_lite_redmi_6_pro_10001813" TargetMode="External"/><Relationship Id="rId_hyperlink_752" Type="http://schemas.openxmlformats.org/officeDocument/2006/relationships/hyperlink" Target="https://old.ukr-mobil.com/podsvetka_displeya_xiaomi_mi_max_3_10001814" TargetMode="External"/><Relationship Id="rId_hyperlink_753" Type="http://schemas.openxmlformats.org/officeDocument/2006/relationships/hyperlink" Target="https://old.ukr-mobil.com/podsvetka_displeya_xiaomi_redmi_10_redmi_note_11_4g_10003852" TargetMode="External"/><Relationship Id="rId_hyperlink_754" Type="http://schemas.openxmlformats.org/officeDocument/2006/relationships/hyperlink" Target="https://old.ukr-mobil.com/podsvetka_displeya_xiaomi_redmi_10c_redmi_10_power_poco_c40_10003851" TargetMode="External"/><Relationship Id="rId_hyperlink_755" Type="http://schemas.openxmlformats.org/officeDocument/2006/relationships/hyperlink" Target="https://old.ukr-mobil.com/podsvetka_displeya_xiaomi_redmi_5_plus_redmi_note_5_10001815" TargetMode="External"/><Relationship Id="rId_hyperlink_756" Type="http://schemas.openxmlformats.org/officeDocument/2006/relationships/hyperlink" Target="https://old.ukr-mobil.com/podsvetka_displeya_xiaomi_redmi_7_10001816" TargetMode="External"/><Relationship Id="rId_hyperlink_757" Type="http://schemas.openxmlformats.org/officeDocument/2006/relationships/hyperlink" Target="https://old.ukr-mobil.com/podsvetka_displeya_xiaomi_redmi_8_redmi_8a_10001817" TargetMode="External"/><Relationship Id="rId_hyperlink_758" Type="http://schemas.openxmlformats.org/officeDocument/2006/relationships/hyperlink" Target="https://old.ukr-mobil.com/podsvetka_displeya_xiaomi_redmi_9_10001818" TargetMode="External"/><Relationship Id="rId_hyperlink_759" Type="http://schemas.openxmlformats.org/officeDocument/2006/relationships/hyperlink" Target="https://old.ukr-mobil.com/podsvetka_displeya_xiaomi_redmi_9t_redmi_9_power_redmi_note_9_4g_poco_m3_10001828" TargetMode="External"/><Relationship Id="rId_hyperlink_760" Type="http://schemas.openxmlformats.org/officeDocument/2006/relationships/hyperlink" Target="https://old.ukr-mobil.com/podsvetka_displeya_xiaomi_redmi_note_10_5g_10002959" TargetMode="External"/><Relationship Id="rId_hyperlink_761" Type="http://schemas.openxmlformats.org/officeDocument/2006/relationships/hyperlink" Target="https://old.ukr-mobil.com/podsvetka_displeya_xiaomi_redmi_note_6_pro_10001820" TargetMode="External"/><Relationship Id="rId_hyperlink_762" Type="http://schemas.openxmlformats.org/officeDocument/2006/relationships/hyperlink" Target="https://old.ukr-mobil.com/podsvetka_displeya_xiaomi_redmi_note_7_redmi_note_7_pro_redmi_note_8_redmi_note_8t_10001821" TargetMode="External"/><Relationship Id="rId_hyperlink_763" Type="http://schemas.openxmlformats.org/officeDocument/2006/relationships/hyperlink" Target="https://old.ukr-mobil.com/podsvetka_displeya_xiaomi_redmi_note_8_pro_10001822" TargetMode="External"/><Relationship Id="rId_hyperlink_764" Type="http://schemas.openxmlformats.org/officeDocument/2006/relationships/hyperlink" Target="https://old.ukr-mobil.com/podsvetka_displeya_xiaomi_redmi_note_9_pro_redmi_note_9s_10001824" TargetMode="External"/><Relationship Id="rId_hyperlink_765" Type="http://schemas.openxmlformats.org/officeDocument/2006/relationships/hyperlink" Target="https://old.ukr-mobil.com/polyarizacionnaya_plenka_apple_iphone_4_iphone_4s_7903" TargetMode="External"/><Relationship Id="rId_hyperlink_766" Type="http://schemas.openxmlformats.org/officeDocument/2006/relationships/hyperlink" Target="https://old.ukr-mobil.com/polyarizacionnaya_plenka_samsung_g930_galaxy_s7_11732" TargetMode="External"/><Relationship Id="rId_hyperlink_767" Type="http://schemas.openxmlformats.org/officeDocument/2006/relationships/hyperlink" Target="https://old.ukr-mobil.com/polyarizacionnaya_plenka_samsung_g935_galaxy_s7_edge_11733" TargetMode="External"/><Relationship Id="rId_hyperlink_768" Type="http://schemas.openxmlformats.org/officeDocument/2006/relationships/hyperlink" Target="https://old.ukr-mobil.com/polyarizacionnaya_plenka_samsung_g950_galaxy_s8_11734" TargetMode="External"/><Relationship Id="rId_hyperlink_769" Type="http://schemas.openxmlformats.org/officeDocument/2006/relationships/hyperlink" Target="https://old.ukr-mobil.com/polyarizacionnaya_plenka_samsung_g955_galaxy_s8_plus_11735" TargetMode="External"/><Relationship Id="rId_hyperlink_770" Type="http://schemas.openxmlformats.org/officeDocument/2006/relationships/hyperlink" Target="https://old.ukr-mobil.com/polyarizacionnaya_plenka_dlya_lcd_ips_displeev_10_inch_220_x_140_mm_10003776" TargetMode="External"/><Relationship Id="rId_hyperlink_771" Type="http://schemas.openxmlformats.org/officeDocument/2006/relationships/hyperlink" Target="https://old.ukr-mobil.com/polyarizacionnaya_plenka_dlya_lcd_ips_displeev_12_inch_255_x_173_mm_10004381" TargetMode="External"/><Relationship Id="rId_hyperlink_772" Type="http://schemas.openxmlformats.org/officeDocument/2006/relationships/hyperlink" Target="https://old.ukr-mobil.com/polyarizacionnaya_plenka_dlya_lcd_ips_displeev_7_inch_155_x_100_mm_10003775" TargetMode="External"/><Relationship Id="rId_hyperlink_773" Type="http://schemas.openxmlformats.org/officeDocument/2006/relationships/hyperlink" Target="https://old.ukr-mobil.com/polyarizacionnaya_plenka_dlya_oled_amoled_displeev_10_inch_220_x_140_mm_10003777" TargetMode="External"/><Relationship Id="rId_hyperlink_774" Type="http://schemas.openxmlformats.org/officeDocument/2006/relationships/hyperlink" Target="https://old.ukr-mobil.com/polyarizacionnaya_plenka_dlya_oled_amoled_displeev_12_inch_255_x_173_mm_10004382" TargetMode="External"/><Relationship Id="rId_hyperlink_775" Type="http://schemas.openxmlformats.org/officeDocument/2006/relationships/hyperlink" Target="https://old.ukr-mobil.com/polyarizacionnaya_plenka_dlya_oled_amoled_displeev_9_7_inch_10001841" TargetMode="External"/><Relationship Id="rId_hyperlink_776" Type="http://schemas.openxmlformats.org/officeDocument/2006/relationships/hyperlink" Target="https://old.ukr-mobil.com/ramka_displeya_iphone_11_pro_max_original_10000549" TargetMode="External"/><Relationship Id="rId_hyperlink_777" Type="http://schemas.openxmlformats.org/officeDocument/2006/relationships/hyperlink" Target="https://old.ukr-mobil.com/ramka_displeya_iphone_11_pro_original_10000548" TargetMode="External"/><Relationship Id="rId_hyperlink_778" Type="http://schemas.openxmlformats.org/officeDocument/2006/relationships/hyperlink" Target="https://old.ukr-mobil.com/ramka_displeya_iphone_11_original_10000547" TargetMode="External"/><Relationship Id="rId_hyperlink_779" Type="http://schemas.openxmlformats.org/officeDocument/2006/relationships/hyperlink" Target="https://old.ukr-mobil.com/ramka_displeya_apple_iphone_12_mini_10003097" TargetMode="External"/><Relationship Id="rId_hyperlink_780" Type="http://schemas.openxmlformats.org/officeDocument/2006/relationships/hyperlink" Target="https://old.ukr-mobil.com/ramka_displeya_iphone_12_pro_max_original_10001269" TargetMode="External"/><Relationship Id="rId_hyperlink_781" Type="http://schemas.openxmlformats.org/officeDocument/2006/relationships/hyperlink" Target="https://old.ukr-mobil.com/ramka_displeya_iphone_12_iphone_12_pro_original_10001268" TargetMode="External"/><Relationship Id="rId_hyperlink_782" Type="http://schemas.openxmlformats.org/officeDocument/2006/relationships/hyperlink" Target="https://old.ukr-mobil.com/ramka_displeya_apple_iphone_13_10002421" TargetMode="External"/><Relationship Id="rId_hyperlink_783" Type="http://schemas.openxmlformats.org/officeDocument/2006/relationships/hyperlink" Target="https://old.ukr-mobil.com/ramka_displeya_apple_iphone_13_mini_10003096" TargetMode="External"/><Relationship Id="rId_hyperlink_784" Type="http://schemas.openxmlformats.org/officeDocument/2006/relationships/hyperlink" Target="https://old.ukr-mobil.com/ramka_displeya_apple_iphone_13_apple_iphone_13_pro_original_10002150" TargetMode="External"/><Relationship Id="rId_hyperlink_785" Type="http://schemas.openxmlformats.org/officeDocument/2006/relationships/hyperlink" Target="https://old.ukr-mobil.com/ramka_displeya_apple_iphone_13_pro_max_original_10002149" TargetMode="External"/><Relationship Id="rId_hyperlink_786" Type="http://schemas.openxmlformats.org/officeDocument/2006/relationships/hyperlink" Target="https://old.ukr-mobil.com/ramka_displeya_apple_iphone_14_plus_original_10003084" TargetMode="External"/><Relationship Id="rId_hyperlink_787" Type="http://schemas.openxmlformats.org/officeDocument/2006/relationships/hyperlink" Target="https://old.ukr-mobil.com/ramka_displeya_apple_iphone_14_pro_max_original_10003086" TargetMode="External"/><Relationship Id="rId_hyperlink_788" Type="http://schemas.openxmlformats.org/officeDocument/2006/relationships/hyperlink" Target="https://old.ukr-mobil.com/ramka_displeya_apple_iphone_14_pro_original_10003085" TargetMode="External"/><Relationship Id="rId_hyperlink_789" Type="http://schemas.openxmlformats.org/officeDocument/2006/relationships/hyperlink" Target="https://old.ukr-mobil.com/ramka_displeya_apple_iphone_14_original_10003083" TargetMode="External"/><Relationship Id="rId_hyperlink_790" Type="http://schemas.openxmlformats.org/officeDocument/2006/relationships/hyperlink" Target="https://old.ukr-mobil.com/ramka_displeya_iphone_5_black_6106" TargetMode="External"/><Relationship Id="rId_hyperlink_791" Type="http://schemas.openxmlformats.org/officeDocument/2006/relationships/hyperlink" Target="https://old.ukr-mobil.com/ramka_displeya_iphone_5_white_6708" TargetMode="External"/><Relationship Id="rId_hyperlink_792" Type="http://schemas.openxmlformats.org/officeDocument/2006/relationships/hyperlink" Target="https://old.ukr-mobil.com/ramka_displeya_iphone_6_plus_black_7000" TargetMode="External"/><Relationship Id="rId_hyperlink_793" Type="http://schemas.openxmlformats.org/officeDocument/2006/relationships/hyperlink" Target="https://old.ukr-mobil.com/ramka_displeya_iphone_6_plus_white_7001" TargetMode="External"/><Relationship Id="rId_hyperlink_794" Type="http://schemas.openxmlformats.org/officeDocument/2006/relationships/hyperlink" Target="https://old.ukr-mobil.com/ramka_displeya_iphone_6_black_6710" TargetMode="External"/><Relationship Id="rId_hyperlink_795" Type="http://schemas.openxmlformats.org/officeDocument/2006/relationships/hyperlink" Target="https://old.ukr-mobil.com/ramka_displeya_iphone_6_white_6709" TargetMode="External"/><Relationship Id="rId_hyperlink_796" Type="http://schemas.openxmlformats.org/officeDocument/2006/relationships/hyperlink" Target="https://old.ukr-mobil.com/ramka_displeya_iphone_6s_plus_white_7445" TargetMode="External"/><Relationship Id="rId_hyperlink_797" Type="http://schemas.openxmlformats.org/officeDocument/2006/relationships/hyperlink" Target="https://old.ukr-mobil.com/ramka_displeya_iphone_6s_black_8070" TargetMode="External"/><Relationship Id="rId_hyperlink_798" Type="http://schemas.openxmlformats.org/officeDocument/2006/relationships/hyperlink" Target="https://old.ukr-mobil.com/ramka_displeya_iphone_6s_white_8071" TargetMode="External"/><Relationship Id="rId_hyperlink_799" Type="http://schemas.openxmlformats.org/officeDocument/2006/relationships/hyperlink" Target="https://old.ukr-mobil.com/ramka_displeya_iphone_7_plus_black_9244" TargetMode="External"/><Relationship Id="rId_hyperlink_800" Type="http://schemas.openxmlformats.org/officeDocument/2006/relationships/hyperlink" Target="https://old.ukr-mobil.com/ramka_displeya_iphone_7_plus_white_8461" TargetMode="External"/><Relationship Id="rId_hyperlink_801" Type="http://schemas.openxmlformats.org/officeDocument/2006/relationships/hyperlink" Target="https://old.ukr-mobil.com/ramka_displeya_iphone_7_black_7003" TargetMode="External"/><Relationship Id="rId_hyperlink_802" Type="http://schemas.openxmlformats.org/officeDocument/2006/relationships/hyperlink" Target="https://old.ukr-mobil.com/ramka_displeya_iphone_7_white_7002" TargetMode="External"/><Relationship Id="rId_hyperlink_803" Type="http://schemas.openxmlformats.org/officeDocument/2006/relationships/hyperlink" Target="https://old.ukr-mobil.com/ramka_displeya_iphone_8_plus_black_9438" TargetMode="External"/><Relationship Id="rId_hyperlink_804" Type="http://schemas.openxmlformats.org/officeDocument/2006/relationships/hyperlink" Target="https://old.ukr-mobil.com/ramka_displeya_iphone_x_original_9655" TargetMode="External"/><Relationship Id="rId_hyperlink_805" Type="http://schemas.openxmlformats.org/officeDocument/2006/relationships/hyperlink" Target="https://old.ukr-mobil.com/ramka_displeya_iphone_xr_original_10000546" TargetMode="External"/><Relationship Id="rId_hyperlink_806" Type="http://schemas.openxmlformats.org/officeDocument/2006/relationships/hyperlink" Target="https://old.ukr-mobil.com/ramka_displeya_iphone_xs_max_original_11151" TargetMode="External"/><Relationship Id="rId_hyperlink_807" Type="http://schemas.openxmlformats.org/officeDocument/2006/relationships/hyperlink" Target="https://old.ukr-mobil.com/ramka_displeya_iphone_xs_original_11408" TargetMode="External"/><Relationship Id="rId_hyperlink_808" Type="http://schemas.openxmlformats.org/officeDocument/2006/relationships/hyperlink" Target="https://old.ukr-mobil.com/sensor_displeya_iphone_5_black_10040" TargetMode="External"/><Relationship Id="rId_hyperlink_809" Type="http://schemas.openxmlformats.org/officeDocument/2006/relationships/hyperlink" Target="https://old.ukr-mobil.com/sensor_displeya_iphone_5_white_10041" TargetMode="External"/><Relationship Id="rId_hyperlink_810" Type="http://schemas.openxmlformats.org/officeDocument/2006/relationships/hyperlink" Target="https://old.ukr-mobil.com/sensor_displeya_iphone_5s_black_10043" TargetMode="External"/><Relationship Id="rId_hyperlink_811" Type="http://schemas.openxmlformats.org/officeDocument/2006/relationships/hyperlink" Target="https://old.ukr-mobil.com/sensor_displeya_iphone_5s_white_10042" TargetMode="External"/><Relationship Id="rId_hyperlink_812" Type="http://schemas.openxmlformats.org/officeDocument/2006/relationships/hyperlink" Target="https://old.ukr-mobil.com/setka_dinamika_iphone_6_plus_8265" TargetMode="External"/><Relationship Id="rId_hyperlink_813" Type="http://schemas.openxmlformats.org/officeDocument/2006/relationships/hyperlink" Target="https://old.ukr-mobil.com/index.php?route=product&amp;product_id=10004758" TargetMode="External"/><Relationship Id="rId_hyperlink_814" Type="http://schemas.openxmlformats.org/officeDocument/2006/relationships/hyperlink" Target="https://old.ukr-mobil.com/index.php?route=product&amp;product_id=10004756" TargetMode="External"/><Relationship Id="rId_hyperlink_815" Type="http://schemas.openxmlformats.org/officeDocument/2006/relationships/hyperlink" Target="https://old.ukr-mobil.com/steklo_iphone_4g_black_4113" TargetMode="External"/><Relationship Id="rId_hyperlink_816" Type="http://schemas.openxmlformats.org/officeDocument/2006/relationships/hyperlink" Target="https://old.ukr-mobil.com/steklo_iphone_5_5s_black_4117" TargetMode="External"/><Relationship Id="rId_hyperlink_817" Type="http://schemas.openxmlformats.org/officeDocument/2006/relationships/hyperlink" Target="https://old.ukr-mobil.com/steklo_iphone_5_5s_white_4118" TargetMode="External"/><Relationship Id="rId_hyperlink_818" Type="http://schemas.openxmlformats.org/officeDocument/2006/relationships/hyperlink" Target="https://old.ukr-mobil.com/steklo_iphone_6_plus_6s_plus_black_5310" TargetMode="External"/><Relationship Id="rId_hyperlink_819" Type="http://schemas.openxmlformats.org/officeDocument/2006/relationships/hyperlink" Target="https://old.ukr-mobil.com/steklo_iphone_6_plus_6s_plus_white_5311" TargetMode="External"/><Relationship Id="rId_hyperlink_820" Type="http://schemas.openxmlformats.org/officeDocument/2006/relationships/hyperlink" Target="https://old.ukr-mobil.com/steklo_iphone_7_plus_black_7448" TargetMode="External"/><Relationship Id="rId_hyperlink_821" Type="http://schemas.openxmlformats.org/officeDocument/2006/relationships/hyperlink" Target="https://old.ukr-mobil.com/steklo_iphone_7_plus_black_original_9639" TargetMode="External"/><Relationship Id="rId_hyperlink_822" Type="http://schemas.openxmlformats.org/officeDocument/2006/relationships/hyperlink" Target="https://old.ukr-mobil.com/steklo_iphone_7_plus_white_7449" TargetMode="External"/><Relationship Id="rId_hyperlink_823" Type="http://schemas.openxmlformats.org/officeDocument/2006/relationships/hyperlink" Target="https://old.ukr-mobil.com/steklo_iphone_7_plus_white_original_9640" TargetMode="External"/><Relationship Id="rId_hyperlink_824" Type="http://schemas.openxmlformats.org/officeDocument/2006/relationships/hyperlink" Target="https://old.ukr-mobil.com/steklo_iphone_7_black_original_8212" TargetMode="External"/><Relationship Id="rId_hyperlink_825" Type="http://schemas.openxmlformats.org/officeDocument/2006/relationships/hyperlink" Target="https://old.ukr-mobil.com/steklo_iphone_7_white_7446" TargetMode="External"/><Relationship Id="rId_hyperlink_826" Type="http://schemas.openxmlformats.org/officeDocument/2006/relationships/hyperlink" Target="https://old.ukr-mobil.com/steklo_iphone_7_white_original_8214" TargetMode="External"/><Relationship Id="rId_hyperlink_827" Type="http://schemas.openxmlformats.org/officeDocument/2006/relationships/hyperlink" Target="https://old.ukr-mobil.com/steklo_iphone_8_plus_black_original_9433" TargetMode="External"/><Relationship Id="rId_hyperlink_828" Type="http://schemas.openxmlformats.org/officeDocument/2006/relationships/hyperlink" Target="https://old.ukr-mobil.com/steklo_iphone_8_plus_white_original_9434" TargetMode="External"/><Relationship Id="rId_hyperlink_829" Type="http://schemas.openxmlformats.org/officeDocument/2006/relationships/hyperlink" Target="https://old.ukr-mobil.com/steklo_iphone_8_black_original_9432" TargetMode="External"/><Relationship Id="rId_hyperlink_830" Type="http://schemas.openxmlformats.org/officeDocument/2006/relationships/hyperlink" Target="https://old.ukr-mobil.com/steklo_displeya_s_plenkoj_oca_iphone_11_pro_max_original_black_10000458" TargetMode="External"/><Relationship Id="rId_hyperlink_831" Type="http://schemas.openxmlformats.org/officeDocument/2006/relationships/hyperlink" Target="https://old.ukr-mobil.com/steklo_displeya_apple_iphone_11_pro_max_s_tachskrinom_original_black_10001738" TargetMode="External"/><Relationship Id="rId_hyperlink_832" Type="http://schemas.openxmlformats.org/officeDocument/2006/relationships/hyperlink" Target="https://old.ukr-mobil.com/steklo_displeya_apple_iphone_11_pro_max_s_tachskrinom_s_plenkoj_oca_original_black_10002917" TargetMode="External"/><Relationship Id="rId_hyperlink_833" Type="http://schemas.openxmlformats.org/officeDocument/2006/relationships/hyperlink" Target="https://old.ukr-mobil.com/steklo_displeya_s_plenkoj_oca_iphone_11_pro_original_black_10000457" TargetMode="External"/><Relationship Id="rId_hyperlink_834" Type="http://schemas.openxmlformats.org/officeDocument/2006/relationships/hyperlink" Target="https://old.ukr-mobil.com/steklo_displeya_apple_iphone_11_pro_s_tachskrinom_original_black_10001739" TargetMode="External"/><Relationship Id="rId_hyperlink_835" Type="http://schemas.openxmlformats.org/officeDocument/2006/relationships/hyperlink" Target="https://old.ukr-mobil.com/steklo_displeya_apple_iphone_11_pro_s_tachskrinom_s_plenkoj_oca_original_10002921" TargetMode="External"/><Relationship Id="rId_hyperlink_836" Type="http://schemas.openxmlformats.org/officeDocument/2006/relationships/hyperlink" Target="https://old.ukr-mobil.com/steklo_displeya_iphone_11_s_plenkoj_oca_original_black_10000586" TargetMode="External"/><Relationship Id="rId_hyperlink_837" Type="http://schemas.openxmlformats.org/officeDocument/2006/relationships/hyperlink" Target="https://old.ukr-mobil.com/steklo_displeya_iphone_11_s_plenkoj_oca_i_ramkoj_original_black_10000456" TargetMode="External"/><Relationship Id="rId_hyperlink_838" Type="http://schemas.openxmlformats.org/officeDocument/2006/relationships/hyperlink" Target="https://old.ukr-mobil.com/steklo_displeya_apple_iphone_11_s_tachskrinom_s_ramkoj_original_black_10001740" TargetMode="External"/><Relationship Id="rId_hyperlink_839" Type="http://schemas.openxmlformats.org/officeDocument/2006/relationships/hyperlink" Target="https://old.ukr-mobil.com/steklo_displeya_apple_iphone_11_s_tachskrinom_s_ramkoj_s_plenkoj_oca_original_10002920" TargetMode="External"/><Relationship Id="rId_hyperlink_840" Type="http://schemas.openxmlformats.org/officeDocument/2006/relationships/hyperlink" Target="https://old.ukr-mobil.com/steklo_displeya_apple_iphone_12_mini_s_plenkoj_oca_original_10004526" TargetMode="External"/><Relationship Id="rId_hyperlink_841" Type="http://schemas.openxmlformats.org/officeDocument/2006/relationships/hyperlink" Target="https://old.ukr-mobil.com/steklo_displeya_iphone_12_pro_max_s_plenkoj_oca_original_10001267" TargetMode="External"/><Relationship Id="rId_hyperlink_842" Type="http://schemas.openxmlformats.org/officeDocument/2006/relationships/hyperlink" Target="https://old.ukr-mobil.com/steklo_displeya_apple_iphone_12_pro_max_s_plenkoj_oca_original_10002916" TargetMode="External"/><Relationship Id="rId_hyperlink_843" Type="http://schemas.openxmlformats.org/officeDocument/2006/relationships/hyperlink" Target="https://old.ukr-mobil.com/steklo_displeya_iphone_12_iphone_12_pro_s_plenkoj_oca_original_10001266" TargetMode="External"/><Relationship Id="rId_hyperlink_844" Type="http://schemas.openxmlformats.org/officeDocument/2006/relationships/hyperlink" Target="https://old.ukr-mobil.com/steklo_displeya_apple_iphone_12_iphone_12_pro_s_tachskrinom_s_plenkoj_oca_original_10002922" TargetMode="External"/><Relationship Id="rId_hyperlink_845" Type="http://schemas.openxmlformats.org/officeDocument/2006/relationships/hyperlink" Target="https://old.ukr-mobil.com/steklo_displeya_apple_iphone_13_mini_s_plenkoj_oca_original_10004527" TargetMode="External"/><Relationship Id="rId_hyperlink_846" Type="http://schemas.openxmlformats.org/officeDocument/2006/relationships/hyperlink" Target="https://old.ukr-mobil.com/steklo_displeya_apple_iphone_13_pro_max_s_plenkoj_oca_original_10002153" TargetMode="External"/><Relationship Id="rId_hyperlink_847" Type="http://schemas.openxmlformats.org/officeDocument/2006/relationships/hyperlink" Target="https://old.ukr-mobil.com/steklo_displeya_apple_iphone_13_iphone_13_pro_s_plenkoj_oca_original_10002154" TargetMode="External"/><Relationship Id="rId_hyperlink_848" Type="http://schemas.openxmlformats.org/officeDocument/2006/relationships/hyperlink" Target="https://old.ukr-mobil.com/steklo_displeya_apple_iphone_14_plus_s_plenkoj_oca_original_10003080" TargetMode="External"/><Relationship Id="rId_hyperlink_849" Type="http://schemas.openxmlformats.org/officeDocument/2006/relationships/hyperlink" Target="https://old.ukr-mobil.com/steklo_displeya_apple_iphone_14_pro_max_s_plenkoj_oca_original_10003082" TargetMode="External"/><Relationship Id="rId_hyperlink_850" Type="http://schemas.openxmlformats.org/officeDocument/2006/relationships/hyperlink" Target="https://old.ukr-mobil.com/steklo_displeya_apple_iphone_14_pro_s_plenkoj_oca_original_10003081" TargetMode="External"/><Relationship Id="rId_hyperlink_851" Type="http://schemas.openxmlformats.org/officeDocument/2006/relationships/hyperlink" Target="https://old.ukr-mobil.com/steklo_displeya_apple_iphone_14_s_plenkoj_oca_original_10003079" TargetMode="External"/><Relationship Id="rId_hyperlink_852" Type="http://schemas.openxmlformats.org/officeDocument/2006/relationships/hyperlink" Target="https://old.ukr-mobil.com/steklo_displeya_iphone_x_original_9654" TargetMode="External"/><Relationship Id="rId_hyperlink_853" Type="http://schemas.openxmlformats.org/officeDocument/2006/relationships/hyperlink" Target="https://old.ukr-mobil.com/steklo_displeya_s_plenkoj_oca_iphone_x_xs_original_black_10204" TargetMode="External"/><Relationship Id="rId_hyperlink_854" Type="http://schemas.openxmlformats.org/officeDocument/2006/relationships/hyperlink" Target="https://old.ukr-mobil.com/steklo_displeya_apple_iphone_x_s_plenkoj_oca_s_ramkoj_original_10001850" TargetMode="External"/><Relationship Id="rId_hyperlink_855" Type="http://schemas.openxmlformats.org/officeDocument/2006/relationships/hyperlink" Target="https://old.ukr-mobil.com/steklo_displeya_apple_iphone_x_s_tachskrinom_original_10001849" TargetMode="External"/><Relationship Id="rId_hyperlink_856" Type="http://schemas.openxmlformats.org/officeDocument/2006/relationships/hyperlink" Target="https://old.ukr-mobil.com/steklo_displeya_apple_iphone_x_s_tachskrinom_original_black_10001741" TargetMode="External"/><Relationship Id="rId_hyperlink_857" Type="http://schemas.openxmlformats.org/officeDocument/2006/relationships/hyperlink" Target="https://old.ukr-mobil.com/steklo_displeya_apple_iphone_x_s_tachskrinom_s_plenkoj_oca_original_10002417" TargetMode="External"/><Relationship Id="rId_hyperlink_858" Type="http://schemas.openxmlformats.org/officeDocument/2006/relationships/hyperlink" Target="https://old.ukr-mobil.com/steklo_displeya_s_plenkoj_oca_iphone_xr_original_black_11989" TargetMode="External"/><Relationship Id="rId_hyperlink_859" Type="http://schemas.openxmlformats.org/officeDocument/2006/relationships/hyperlink" Target="https://old.ukr-mobil.com/steklo_displeya_apple_iphone_xr_s_plenkoj_oca_s_ramkoj_original_10002914" TargetMode="External"/><Relationship Id="rId_hyperlink_860" Type="http://schemas.openxmlformats.org/officeDocument/2006/relationships/hyperlink" Target="https://old.ukr-mobil.com/steklo_displeya_apple_iphone_xr_s_tachskrinom_s_ramkoj_original_black_10001742" TargetMode="External"/><Relationship Id="rId_hyperlink_861" Type="http://schemas.openxmlformats.org/officeDocument/2006/relationships/hyperlink" Target="https://old.ukr-mobil.com/steklo_displeya_apple_iphone_xr_s_tachskrinom_s_ramkoj_s_plenkoj_oca_original_10002919" TargetMode="External"/><Relationship Id="rId_hyperlink_862" Type="http://schemas.openxmlformats.org/officeDocument/2006/relationships/hyperlink" Target="https://old.ukr-mobil.com/steklo_displeya_iphone_xs_max_original_11150" TargetMode="External"/><Relationship Id="rId_hyperlink_863" Type="http://schemas.openxmlformats.org/officeDocument/2006/relationships/hyperlink" Target="https://old.ukr-mobil.com/steklo_displeya_s_plenkoj_oca_iphone_xs_max_original_black_11894" TargetMode="External"/><Relationship Id="rId_hyperlink_864" Type="http://schemas.openxmlformats.org/officeDocument/2006/relationships/hyperlink" Target="https://old.ukr-mobil.com/steklo_displeya_apple_iphone_xs_max_s_tachskrinom_original_black_10001743" TargetMode="External"/><Relationship Id="rId_hyperlink_865" Type="http://schemas.openxmlformats.org/officeDocument/2006/relationships/hyperlink" Target="https://old.ukr-mobil.com/steklo_displeya_apple_iphone_xs_max_s_tachskrinom_s_plenkoj_oca_original_10002918" TargetMode="External"/><Relationship Id="rId_hyperlink_866" Type="http://schemas.openxmlformats.org/officeDocument/2006/relationships/hyperlink" Target="https://old.ukr-mobil.com/steklo_displeya_apple_iphone_xs_s_tachskrinom_original_black_10001744" TargetMode="External"/><Relationship Id="rId_hyperlink_867" Type="http://schemas.openxmlformats.org/officeDocument/2006/relationships/hyperlink" Target="https://old.ukr-mobil.com/steklo_displeya_apple_iphone_xs_s_tachskrinom_s_plenkoj_oca_original_10002418" TargetMode="External"/><Relationship Id="rId_hyperlink_868" Type="http://schemas.openxmlformats.org/officeDocument/2006/relationships/hyperlink" Target="https://old.ukr-mobil.com/steklo_displeya_s_ramkoj_i_plenkoj_oca_iphone_6_plus_original_white_6143" TargetMode="External"/><Relationship Id="rId_hyperlink_869" Type="http://schemas.openxmlformats.org/officeDocument/2006/relationships/hyperlink" Target="https://old.ukr-mobil.com/steklo_displeya_s_ramkoj_i_plenkoj_oca_iphone_7_plus_original_black_8923" TargetMode="External"/><Relationship Id="rId_hyperlink_870" Type="http://schemas.openxmlformats.org/officeDocument/2006/relationships/hyperlink" Target="https://old.ukr-mobil.com/steklo_displeya_s_ramkoj_i_plenkoj_oca_iphone_7_plus_original_white_8924" TargetMode="External"/><Relationship Id="rId_hyperlink_871" Type="http://schemas.openxmlformats.org/officeDocument/2006/relationships/hyperlink" Target="https://old.ukr-mobil.com/steklo_displeya_s_ramkoj_i_plenkoj_oca_iphone_7_original_white_9237" TargetMode="External"/><Relationship Id="rId_hyperlink_872" Type="http://schemas.openxmlformats.org/officeDocument/2006/relationships/hyperlink" Target="https://old.ukr-mobil.com/steklo_displeya_s_ramkoj_i_plenkoj_oca_iphone_8_plus_original_black_11210" TargetMode="External"/><Relationship Id="rId_hyperlink_873" Type="http://schemas.openxmlformats.org/officeDocument/2006/relationships/hyperlink" Target="https://old.ukr-mobil.com/steklo_displeya_s_ramkoj_i_plenkoj_oca_iphone_8_plus_original_white_11211" TargetMode="External"/><Relationship Id="rId_hyperlink_874" Type="http://schemas.openxmlformats.org/officeDocument/2006/relationships/hyperlink" Target="https://old.ukr-mobil.com/steklo_displeya_s_ramkoj_i_plenkoj_oca_iphone_8_original_white_11213" TargetMode="External"/><Relationship Id="rId_hyperlink_875" Type="http://schemas.openxmlformats.org/officeDocument/2006/relationships/hyperlink" Target="https://old.ukr-mobil.com/steklo_displeya_apple_watch_series_7_41_mm_original_prc_10002464" TargetMode="External"/><Relationship Id="rId_hyperlink_876" Type="http://schemas.openxmlformats.org/officeDocument/2006/relationships/hyperlink" Target="https://old.ukr-mobil.com/steklo_displeya_apple_watch_series_7_45_mm_original_prc_10002465" TargetMode="External"/><Relationship Id="rId_hyperlink_877" Type="http://schemas.openxmlformats.org/officeDocument/2006/relationships/hyperlink" Target="https://old.ukr-mobil.com/steklo_displeya_asus_zenfone_max_pro_m2_zb631kl_black_11824" TargetMode="External"/><Relationship Id="rId_hyperlink_878" Type="http://schemas.openxmlformats.org/officeDocument/2006/relationships/hyperlink" Target="https://old.ukr-mobil.com/steklo_displeya_google_pixel_2_xl_original_black_10001261" TargetMode="External"/><Relationship Id="rId_hyperlink_879" Type="http://schemas.openxmlformats.org/officeDocument/2006/relationships/hyperlink" Target="https://old.ukr-mobil.com/steklo_displeya_google_pixel_2_black_10000581" TargetMode="External"/><Relationship Id="rId_hyperlink_880" Type="http://schemas.openxmlformats.org/officeDocument/2006/relationships/hyperlink" Target="https://old.ukr-mobil.com/steklo_displeya_google_pixel_3_xl_black_10000453" TargetMode="External"/><Relationship Id="rId_hyperlink_881" Type="http://schemas.openxmlformats.org/officeDocument/2006/relationships/hyperlink" Target="https://old.ukr-mobil.com/steklo_displeya_google_pixel_3_black_10000451" TargetMode="External"/><Relationship Id="rId_hyperlink_882" Type="http://schemas.openxmlformats.org/officeDocument/2006/relationships/hyperlink" Target="https://old.ukr-mobil.com/steklo_displeya_google_pixel_3a_xl_s_oca_plenkoj_original_10002888" TargetMode="External"/><Relationship Id="rId_hyperlink_883" Type="http://schemas.openxmlformats.org/officeDocument/2006/relationships/hyperlink" Target="https://old.ukr-mobil.com/steklo_displeya_google_pixel_3a_original_black_10001265" TargetMode="External"/><Relationship Id="rId_hyperlink_884" Type="http://schemas.openxmlformats.org/officeDocument/2006/relationships/hyperlink" Target="https://old.ukr-mobil.com/steklo_displeya_google_pixel_3a_original_black_10002521" TargetMode="External"/><Relationship Id="rId_hyperlink_885" Type="http://schemas.openxmlformats.org/officeDocument/2006/relationships/hyperlink" Target="https://old.ukr-mobil.com/steklo_displeya_google_pixel_3a_s_oca_plenkoj_original_10002887" TargetMode="External"/><Relationship Id="rId_hyperlink_886" Type="http://schemas.openxmlformats.org/officeDocument/2006/relationships/hyperlink" Target="https://old.ukr-mobil.com/steklo_displeya_google_pixel_4_original_black_10001263" TargetMode="External"/><Relationship Id="rId_hyperlink_887" Type="http://schemas.openxmlformats.org/officeDocument/2006/relationships/hyperlink" Target="https://old.ukr-mobil.com/steklo_displeya_google_pixel_4_s_oca_plenkoj_original_10002889" TargetMode="External"/><Relationship Id="rId_hyperlink_888" Type="http://schemas.openxmlformats.org/officeDocument/2006/relationships/hyperlink" Target="https://old.ukr-mobil.com/steklo_displeya_google_pixel_4a_original_black_10001264" TargetMode="External"/><Relationship Id="rId_hyperlink_889" Type="http://schemas.openxmlformats.org/officeDocument/2006/relationships/hyperlink" Target="https://old.ukr-mobil.com/steklo_displeya_google_pixel_4a_5g_black_10002444" TargetMode="External"/><Relationship Id="rId_hyperlink_890" Type="http://schemas.openxmlformats.org/officeDocument/2006/relationships/hyperlink" Target="https://old.ukr-mobil.com/steklo_displeya_google_pixel_4a_5g_original_black_10002523" TargetMode="External"/><Relationship Id="rId_hyperlink_891" Type="http://schemas.openxmlformats.org/officeDocument/2006/relationships/hyperlink" Target="https://old.ukr-mobil.com/steklo_displeya_google_pixel_4a_5g_s_oca_plenkoj_original_10002891" TargetMode="External"/><Relationship Id="rId_hyperlink_892" Type="http://schemas.openxmlformats.org/officeDocument/2006/relationships/hyperlink" Target="https://old.ukr-mobil.com/steklo_displeya_google_pixel_4a_original_black_10002522" TargetMode="External"/><Relationship Id="rId_hyperlink_893" Type="http://schemas.openxmlformats.org/officeDocument/2006/relationships/hyperlink" Target="https://old.ukr-mobil.com/steklo_displeya_google_pixel_4a_s_oca_plenkoj_original_10002890" TargetMode="External"/><Relationship Id="rId_hyperlink_894" Type="http://schemas.openxmlformats.org/officeDocument/2006/relationships/hyperlink" Target="https://old.ukr-mobil.com/steklo_displeya_google_pixel_5_original_black_10001623" TargetMode="External"/><Relationship Id="rId_hyperlink_895" Type="http://schemas.openxmlformats.org/officeDocument/2006/relationships/hyperlink" Target="https://old.ukr-mobil.com/steklo_displeya_google_pixel_5_original_black_10002524" TargetMode="External"/><Relationship Id="rId_hyperlink_896" Type="http://schemas.openxmlformats.org/officeDocument/2006/relationships/hyperlink" Target="https://old.ukr-mobil.com/steklo_displeya_google_pixel_5_s_oca_plenkoj_original_10002892" TargetMode="External"/><Relationship Id="rId_hyperlink_897" Type="http://schemas.openxmlformats.org/officeDocument/2006/relationships/hyperlink" Target="https://old.ukr-mobil.com/steklo_displeya_google_pixel_5a_original_black_10002525" TargetMode="External"/><Relationship Id="rId_hyperlink_898" Type="http://schemas.openxmlformats.org/officeDocument/2006/relationships/hyperlink" Target="https://old.ukr-mobil.com/steklo_displeya_google_pixel_5a_s_oca_plenkoj_original_10002893" TargetMode="External"/><Relationship Id="rId_hyperlink_899" Type="http://schemas.openxmlformats.org/officeDocument/2006/relationships/hyperlink" Target="https://old.ukr-mobil.com/steklo_displeya_google_pixel_6_black_10002442" TargetMode="External"/><Relationship Id="rId_hyperlink_900" Type="http://schemas.openxmlformats.org/officeDocument/2006/relationships/hyperlink" Target="https://old.ukr-mobil.com/steklo_displeya_google_pixel_6_pro_original_black_10002443" TargetMode="External"/><Relationship Id="rId_hyperlink_901" Type="http://schemas.openxmlformats.org/officeDocument/2006/relationships/hyperlink" Target="https://old.ukr-mobil.com/steklo_displeya_google_pixel_6_s_oca_plenkoj_original_10002894" TargetMode="External"/><Relationship Id="rId_hyperlink_902" Type="http://schemas.openxmlformats.org/officeDocument/2006/relationships/hyperlink" Target="https://old.ukr-mobil.com/steklo_displeya_google_pixel_6a_s_oca_plenkoj_original_10003323" TargetMode="External"/><Relationship Id="rId_hyperlink_903" Type="http://schemas.openxmlformats.org/officeDocument/2006/relationships/hyperlink" Target="https://old.ukr-mobil.com/steklo_displeya_google_pixel_7_pro_s_oca_plenkoj_original_10003325" TargetMode="External"/><Relationship Id="rId_hyperlink_904" Type="http://schemas.openxmlformats.org/officeDocument/2006/relationships/hyperlink" Target="https://old.ukr-mobil.com/steklo_displeya_google_pixel_7_s_oca_plenkoj_original_10003324" TargetMode="External"/><Relationship Id="rId_hyperlink_905" Type="http://schemas.openxmlformats.org/officeDocument/2006/relationships/hyperlink" Target="https://old.ukr-mobil.com/steklo_displeya_huawei_honor_10_lite_hry-lx1_hry-lx2_honor_10i_hry-lx1t_s_oca_plenkoj_original_10002830" TargetMode="External"/><Relationship Id="rId_hyperlink_906" Type="http://schemas.openxmlformats.org/officeDocument/2006/relationships/hyperlink" Target="https://old.ukr-mobil.com/steklo_displeya_huawei_honor_20_yal-l21_honor_20_pro_nova_5t_original_black_10001523" TargetMode="External"/><Relationship Id="rId_hyperlink_907" Type="http://schemas.openxmlformats.org/officeDocument/2006/relationships/hyperlink" Target="https://old.ukr-mobil.com/steklo_displeya_huawei_honor_20_yal-l21_honor_20_pro_nova_5t_s_oca_plenkoj_original_10002831" TargetMode="External"/><Relationship Id="rId_hyperlink_908" Type="http://schemas.openxmlformats.org/officeDocument/2006/relationships/hyperlink" Target="https://old.ukr-mobil.com/steklo_displeya_huawei_honor_50_pro_s_oca_plenkoj_original_10002900" TargetMode="External"/><Relationship Id="rId_hyperlink_909" Type="http://schemas.openxmlformats.org/officeDocument/2006/relationships/hyperlink" Target="https://old.ukr-mobil.com/steklo_displeya_huawei_honor_50_s_oca_plenkoj_original_10002899" TargetMode="External"/><Relationship Id="rId_hyperlink_910" Type="http://schemas.openxmlformats.org/officeDocument/2006/relationships/hyperlink" Target="https://old.ukr-mobil.com/steklo_displeya_huawei_honor_8x_original_black_11423" TargetMode="External"/><Relationship Id="rId_hyperlink_911" Type="http://schemas.openxmlformats.org/officeDocument/2006/relationships/hyperlink" Target="https://old.ukr-mobil.com/steklo_displeya_huawei_honor_8x_jsn-l21_s_oca_plenkoj_original_10002829" TargetMode="External"/><Relationship Id="rId_hyperlink_912" Type="http://schemas.openxmlformats.org/officeDocument/2006/relationships/hyperlink" Target="https://old.ukr-mobil.com/steklo_displeya_huawei_mate_10_gold_10594" TargetMode="External"/><Relationship Id="rId_hyperlink_913" Type="http://schemas.openxmlformats.org/officeDocument/2006/relationships/hyperlink" Target="https://old.ukr-mobil.com/steklo_displeya_huawei_mate_20_hma-l29_hma-l09_black_10001383" TargetMode="External"/><Relationship Id="rId_hyperlink_914" Type="http://schemas.openxmlformats.org/officeDocument/2006/relationships/hyperlink" Target="https://old.ukr-mobil.com/steklo_displeya_huawei_mate_20_lite_original_black_11992" TargetMode="External"/><Relationship Id="rId_hyperlink_915" Type="http://schemas.openxmlformats.org/officeDocument/2006/relationships/hyperlink" Target="https://old.ukr-mobil.com/steklo_displeya_huawei_mate_20_pro_black_11577" TargetMode="External"/><Relationship Id="rId_hyperlink_916" Type="http://schemas.openxmlformats.org/officeDocument/2006/relationships/hyperlink" Target="https://old.ukr-mobil.com/steklo_displeya_huawei_mate_20_pro_lya-l29_s_oca_plenkoj_original_10002895" TargetMode="External"/><Relationship Id="rId_hyperlink_917" Type="http://schemas.openxmlformats.org/officeDocument/2006/relationships/hyperlink" Target="https://old.ukr-mobil.com/steklo_displeya_huawei_mate_30_pro_s_oca_plenkoj_original_10002896" TargetMode="External"/><Relationship Id="rId_hyperlink_918" Type="http://schemas.openxmlformats.org/officeDocument/2006/relationships/hyperlink" Target="https://old.ukr-mobil.com/steklo_displeya_huawei_mate_40_pro_s_oca_plenkoj_original_10002898" TargetMode="External"/><Relationship Id="rId_hyperlink_919" Type="http://schemas.openxmlformats.org/officeDocument/2006/relationships/hyperlink" Target="https://old.ukr-mobil.com/steklo_displeya_huawei_mate_40_s_oca_plenkoj_original_10002897" TargetMode="External"/><Relationship Id="rId_hyperlink_920" Type="http://schemas.openxmlformats.org/officeDocument/2006/relationships/hyperlink" Target="https://old.ukr-mobil.com/steklo_displeya_huawei_mate_8_gold_10598" TargetMode="External"/><Relationship Id="rId_hyperlink_921" Type="http://schemas.openxmlformats.org/officeDocument/2006/relationships/hyperlink" Target="https://old.ukr-mobil.com/steklo_displeya_huawei_mate_8_mocha_brown_10688" TargetMode="External"/><Relationship Id="rId_hyperlink_922" Type="http://schemas.openxmlformats.org/officeDocument/2006/relationships/hyperlink" Target="https://old.ukr-mobil.com/steklo_displeya_huawei_matepad_10_4_s_oca_plenkoj_original_prc_black_10004126" TargetMode="External"/><Relationship Id="rId_hyperlink_923" Type="http://schemas.openxmlformats.org/officeDocument/2006/relationships/hyperlink" Target="https://old.ukr-mobil.com/steklo_displeya_huawei_matepad_10_4_s_oca_plenkoj_original_prc_white_10004127" TargetMode="External"/><Relationship Id="rId_hyperlink_924" Type="http://schemas.openxmlformats.org/officeDocument/2006/relationships/hyperlink" Target="https://old.ukr-mobil.com/index.php?route=product&amp;product_id=10004749" TargetMode="External"/><Relationship Id="rId_hyperlink_925" Type="http://schemas.openxmlformats.org/officeDocument/2006/relationships/hyperlink" Target="https://old.ukr-mobil.com/index.php?route=product&amp;product_id=10004750" TargetMode="External"/><Relationship Id="rId_hyperlink_926" Type="http://schemas.openxmlformats.org/officeDocument/2006/relationships/hyperlink" Target="https://old.ukr-mobil.com/steklo_displeya_huawei_matepad_t10_agr-w09_agr-l09_s_oca_plenkoj_original_prc_black_10004079" TargetMode="External"/><Relationship Id="rId_hyperlink_927" Type="http://schemas.openxmlformats.org/officeDocument/2006/relationships/hyperlink" Target="https://old.ukr-mobil.com/steklo_displeya_huawei_matepad_t10s_ags3-l09_ags3-w09_s_oca_plenkoj_original_prc_black_10004080" TargetMode="External"/><Relationship Id="rId_hyperlink_928" Type="http://schemas.openxmlformats.org/officeDocument/2006/relationships/hyperlink" Target="https://old.ukr-mobil.com/steklo_displeya_huawei_mediapad_t1-701u_white_10378" TargetMode="External"/><Relationship Id="rId_hyperlink_929" Type="http://schemas.openxmlformats.org/officeDocument/2006/relationships/hyperlink" Target="https://old.ukr-mobil.com/steklo_displeya_huawei_mediapad_t3_7_3g_t3-701_grey_10380" TargetMode="External"/><Relationship Id="rId_hyperlink_930" Type="http://schemas.openxmlformats.org/officeDocument/2006/relationships/hyperlink" Target="https://old.ukr-mobil.com/steklo_displeya_huawei_mediapad_t3_7_wi-fi_bg2-w09_t3-701_grey_10381" TargetMode="External"/><Relationship Id="rId_hyperlink_931" Type="http://schemas.openxmlformats.org/officeDocument/2006/relationships/hyperlink" Target="https://old.ukr-mobil.com/steklo_displeya_huawei_mediapad_t5_10_ags2-l09_ags2-w09_s_oca_plenkoj_original_prc_black_10004077" TargetMode="External"/><Relationship Id="rId_hyperlink_932" Type="http://schemas.openxmlformats.org/officeDocument/2006/relationships/hyperlink" Target="https://old.ukr-mobil.com/steklo_displeya_huawei_mediapad_t5_10_ags2-l09_ags2-w09_s_oca_plenkoj_original_prc_white_10004078" TargetMode="External"/><Relationship Id="rId_hyperlink_933" Type="http://schemas.openxmlformats.org/officeDocument/2006/relationships/hyperlink" Target="https://old.ukr-mobil.com/steklo_displeya_huawei_nova_2_plus_black_10602" TargetMode="External"/><Relationship Id="rId_hyperlink_934" Type="http://schemas.openxmlformats.org/officeDocument/2006/relationships/hyperlink" Target="https://old.ukr-mobil.com/steklo_displeya_huawei_nova_2_plus_white_10603" TargetMode="External"/><Relationship Id="rId_hyperlink_935" Type="http://schemas.openxmlformats.org/officeDocument/2006/relationships/hyperlink" Target="https://old.ukr-mobil.com/steklo_displeya_huawei_nova_3i_p_smart_plus_black_11421" TargetMode="External"/><Relationship Id="rId_hyperlink_936" Type="http://schemas.openxmlformats.org/officeDocument/2006/relationships/hyperlink" Target="https://old.ukr-mobil.com/steklo_displeya_huawei_nova_3i_par-lx1_par-lx9_p_smart_plus_ine-lx1_nova_3_s_oca_plenkoj_original_10002833" TargetMode="External"/><Relationship Id="rId_hyperlink_937" Type="http://schemas.openxmlformats.org/officeDocument/2006/relationships/hyperlink" Target="https://old.ukr-mobil.com/steklo_displeya_huawei_nova_4_black_11422" TargetMode="External"/><Relationship Id="rId_hyperlink_938" Type="http://schemas.openxmlformats.org/officeDocument/2006/relationships/hyperlink" Target="https://old.ukr-mobil.com/steklo_displeya_huawei_nova_4e_p30_lite_black_11991" TargetMode="External"/><Relationship Id="rId_hyperlink_939" Type="http://schemas.openxmlformats.org/officeDocument/2006/relationships/hyperlink" Target="https://old.ukr-mobil.com/steklo_displeya_huawei_nova_4e_p30_lite_mar-l21_mar-lx1a_mar-l21a_mar-l01a_s_oca_plenkoj_original_10002840" TargetMode="External"/><Relationship Id="rId_hyperlink_940" Type="http://schemas.openxmlformats.org/officeDocument/2006/relationships/hyperlink" Target="https://old.ukr-mobil.com/steklo_displeya_huawei_nova_8i_nen-lx1_nen-l22_honor_50_lite_honor_x20_ntn-l22_s_oca_plenkoj_original_10002832" TargetMode="External"/><Relationship Id="rId_hyperlink_941" Type="http://schemas.openxmlformats.org/officeDocument/2006/relationships/hyperlink" Target="https://old.ukr-mobil.com/steklo_displeya_huawei_p_smart_2019_black_11721" TargetMode="External"/><Relationship Id="rId_hyperlink_942" Type="http://schemas.openxmlformats.org/officeDocument/2006/relationships/hyperlink" Target="https://old.ukr-mobil.com/steklo_displeya_huawei_p_smart_2019_pot-l21_pot-lx1_s_oca_plenkoj_original_10002835" TargetMode="External"/><Relationship Id="rId_hyperlink_943" Type="http://schemas.openxmlformats.org/officeDocument/2006/relationships/hyperlink" Target="https://old.ukr-mobil.com/steklo_displeya_huawei_p_smart_2021_y7a_honor_10x_lite_original_prc_black_10001619" TargetMode="External"/><Relationship Id="rId_hyperlink_944" Type="http://schemas.openxmlformats.org/officeDocument/2006/relationships/hyperlink" Target="https://old.ukr-mobil.com/steklo_displeya_huawei_p_smart_2021_ppa-lx2_y7a_honor_10x_lite_s_oca_plenkoj_original_10002836" TargetMode="External"/><Relationship Id="rId_hyperlink_945" Type="http://schemas.openxmlformats.org/officeDocument/2006/relationships/hyperlink" Target="https://old.ukr-mobil.com/steklo_displeya_huawei_p_smart_s_y8p_aqm-lx1_honor_play_4t_pro_enjoy_10s_original_prc_black_10001621" TargetMode="External"/><Relationship Id="rId_hyperlink_946" Type="http://schemas.openxmlformats.org/officeDocument/2006/relationships/hyperlink" Target="https://old.ukr-mobil.com/steklo_displeya_huawei_p_smart_z_stk-lx1_stk-l21_stk-l22_y9_prime_2019_y9s_honor_9x_s_oca_plenkoj_original_10002834" TargetMode="External"/><Relationship Id="rId_hyperlink_947" Type="http://schemas.openxmlformats.org/officeDocument/2006/relationships/hyperlink" Target="https://old.ukr-mobil.com/steklo_displeya_huawei_p10_plus_vky-l29_white_10001256" TargetMode="External"/><Relationship Id="rId_hyperlink_948" Type="http://schemas.openxmlformats.org/officeDocument/2006/relationships/hyperlink" Target="https://old.ukr-mobil.com/steklo_displeya_huawei_p20_black_10605" TargetMode="External"/><Relationship Id="rId_hyperlink_949" Type="http://schemas.openxmlformats.org/officeDocument/2006/relationships/hyperlink" Target="https://old.ukr-mobil.com/steklo_displeya_huawei_p20_blue_10606" TargetMode="External"/><Relationship Id="rId_hyperlink_950" Type="http://schemas.openxmlformats.org/officeDocument/2006/relationships/hyperlink" Target="https://old.ukr-mobil.com/steklo_displeya_huawei_p20_white_10607" TargetMode="External"/><Relationship Id="rId_hyperlink_951" Type="http://schemas.openxmlformats.org/officeDocument/2006/relationships/hyperlink" Target="https://old.ukr-mobil.com/steklo_displeya_huawei_p20_eml-l09_eml-l29_s_oca_plenkoj_original_10002837" TargetMode="External"/><Relationship Id="rId_hyperlink_952" Type="http://schemas.openxmlformats.org/officeDocument/2006/relationships/hyperlink" Target="https://old.ukr-mobil.com/steklo_displeya_huawei_p20_pro_black_10608" TargetMode="External"/><Relationship Id="rId_hyperlink_953" Type="http://schemas.openxmlformats.org/officeDocument/2006/relationships/hyperlink" Target="https://old.ukr-mobil.com/steklo_displeya_huawei_p20_pro_blue_10609" TargetMode="External"/><Relationship Id="rId_hyperlink_954" Type="http://schemas.openxmlformats.org/officeDocument/2006/relationships/hyperlink" Target="https://old.ukr-mobil.com/steklo_displeya_huawei_p20_pro_white_10610" TargetMode="External"/><Relationship Id="rId_hyperlink_955" Type="http://schemas.openxmlformats.org/officeDocument/2006/relationships/hyperlink" Target="https://old.ukr-mobil.com/steklo_displeya_huawei_p20_pro_clt-l29_clt-l09_s_oca_plenkoj_original_10002838" TargetMode="External"/><Relationship Id="rId_hyperlink_956" Type="http://schemas.openxmlformats.org/officeDocument/2006/relationships/hyperlink" Target="https://old.ukr-mobil.com/steklo_displeya_huawei_p30_original_black_11990" TargetMode="External"/><Relationship Id="rId_hyperlink_957" Type="http://schemas.openxmlformats.org/officeDocument/2006/relationships/hyperlink" Target="https://old.ukr-mobil.com/steklo_displeya_huawei_p30_ele-l29_ele-l09_ele-l04_ele-al00_s_oca_plenkoj_original_10002839" TargetMode="External"/><Relationship Id="rId_hyperlink_958" Type="http://schemas.openxmlformats.org/officeDocument/2006/relationships/hyperlink" Target="https://old.ukr-mobil.com/steklo_displeya_huawei_p30_pro_original_black_10000827" TargetMode="External"/><Relationship Id="rId_hyperlink_959" Type="http://schemas.openxmlformats.org/officeDocument/2006/relationships/hyperlink" Target="https://old.ukr-mobil.com/steklo_displeya_huawei_p30_pro_vog-l09_vog-l29_s_oca_plenkoj_original_10002901" TargetMode="External"/><Relationship Id="rId_hyperlink_960" Type="http://schemas.openxmlformats.org/officeDocument/2006/relationships/hyperlink" Target="https://old.ukr-mobil.com/steklo_displeya_huawei_p40_original_black_10000787" TargetMode="External"/><Relationship Id="rId_hyperlink_961" Type="http://schemas.openxmlformats.org/officeDocument/2006/relationships/hyperlink" Target="https://old.ukr-mobil.com/steklo_displeya_huawei_p40_ana-an00_ana-tn00_original_s_oca_plenkoj_original_10002841" TargetMode="External"/><Relationship Id="rId_hyperlink_962" Type="http://schemas.openxmlformats.org/officeDocument/2006/relationships/hyperlink" Target="https://old.ukr-mobil.com/steklo_displeya_huawei_p40_lite_nova_6_se_original_black_10000788" TargetMode="External"/><Relationship Id="rId_hyperlink_963" Type="http://schemas.openxmlformats.org/officeDocument/2006/relationships/hyperlink" Target="https://old.ukr-mobil.com/steklo_displeya_huawei_p20_lite_2019_p40_lite_jny-lx1_nova_5i_glk-lx1_nova_7i_jny-lx2_black_10001382" TargetMode="External"/><Relationship Id="rId_hyperlink_964" Type="http://schemas.openxmlformats.org/officeDocument/2006/relationships/hyperlink" Target="https://old.ukr-mobil.com/steklo_displeya_huawei_p40_lite_jny-lx1_nova_5i_glk-lx1_nova_7i_jny-lx2_nova_6_se_s_konturom_kamery_s_oca_plenkoj_original_10002877" TargetMode="External"/><Relationship Id="rId_hyperlink_965" Type="http://schemas.openxmlformats.org/officeDocument/2006/relationships/hyperlink" Target="https://old.ukr-mobil.com/steklo_displeya_huawei_p40_lite_e_art-l28_art-l29_y7p_2020_honor_9c_s_oca_plenkoj_original_10002842" TargetMode="External"/><Relationship Id="rId_hyperlink_966" Type="http://schemas.openxmlformats.org/officeDocument/2006/relationships/hyperlink" Target="https://old.ukr-mobil.com/steklo_displeya_huawei_p40_pro_s_oca_plenkoj_original_10002902" TargetMode="External"/><Relationship Id="rId_hyperlink_967" Type="http://schemas.openxmlformats.org/officeDocument/2006/relationships/hyperlink" Target="https://old.ukr-mobil.com/steklo_displeya_huawei_y6_pro_black_9165" TargetMode="External"/><Relationship Id="rId_hyperlink_968" Type="http://schemas.openxmlformats.org/officeDocument/2006/relationships/hyperlink" Target="https://old.ukr-mobil.com/steklo_displeya_huawei_y6p_2020_honor_9a_med-l29_lx9_lx9n_l29n_moa-lx9_lx9n_original_prc_black_10001620" TargetMode="External"/><Relationship Id="rId_hyperlink_969" Type="http://schemas.openxmlformats.org/officeDocument/2006/relationships/hyperlink" Target="https://old.ukr-mobil.com/steklo_displeya_huawei_y6p_2020_honor_9a_med-l29_lx9_lx9n_l29n_moa-lx9_lx9n_s_oca_plenkoj_original_10002843" TargetMode="External"/><Relationship Id="rId_hyperlink_970" Type="http://schemas.openxmlformats.org/officeDocument/2006/relationships/hyperlink" Target="https://old.ukr-mobil.com/steklo_displeya_huawei_y9_2019_black_11425" TargetMode="External"/><Relationship Id="rId_hyperlink_971" Type="http://schemas.openxmlformats.org/officeDocument/2006/relationships/hyperlink" Target="https://old.ukr-mobil.com/steklo_displeya_huawei_y9_2019_jkm-l23_jkm-lx3_enjoy_9_plus_s_oca_plenkoj_black_10002933" TargetMode="External"/><Relationship Id="rId_hyperlink_972" Type="http://schemas.openxmlformats.org/officeDocument/2006/relationships/hyperlink" Target="https://old.ukr-mobil.com/index.php?route=product&amp;product_id=10004761" TargetMode="External"/><Relationship Id="rId_hyperlink_973" Type="http://schemas.openxmlformats.org/officeDocument/2006/relationships/hyperlink" Target="https://old.ukr-mobil.com/steklo_displeya_lenovo_tab_m10_hd_2_gen_x306f_x306x_s_oca_plenkoj_original_black_10004025" TargetMode="External"/><Relationship Id="rId_hyperlink_974" Type="http://schemas.openxmlformats.org/officeDocument/2006/relationships/hyperlink" Target="https://old.ukr-mobil.com/steklo_displeya_lenovo_tab_m10_plus_fhd_tb-x606f_s_oca_plenkoj_original_10004024" TargetMode="External"/><Relationship Id="rId_hyperlink_975" Type="http://schemas.openxmlformats.org/officeDocument/2006/relationships/hyperlink" Target="https://old.ukr-mobil.com/steklo_displeya_lenovo_tab_m10_tb-x605_s_oca_plenkoj_original_10004073" TargetMode="External"/><Relationship Id="rId_hyperlink_976" Type="http://schemas.openxmlformats.org/officeDocument/2006/relationships/hyperlink" Target="https://old.ukr-mobil.com/steklo_displeya_lenovo_tab_m8_tb-8505f_tb-8505x_s_oca_plenkoj_original_10004076" TargetMode="External"/><Relationship Id="rId_hyperlink_977" Type="http://schemas.openxmlformats.org/officeDocument/2006/relationships/hyperlink" Target="https://old.ukr-mobil.com/steklo_displeya_lenovo_tab_m8_fhd_tb-8705f_s_oca_plenkoj_original_10004075" TargetMode="External"/><Relationship Id="rId_hyperlink_978" Type="http://schemas.openxmlformats.org/officeDocument/2006/relationships/hyperlink" Target="https://old.ukr-mobil.com/steklo_displeya_lenovo_tab_p11_tb-j606f_tab_p11_plus_tb-j616f_s_oca_plenkoj_original_10004023" TargetMode="External"/><Relationship Id="rId_hyperlink_979" Type="http://schemas.openxmlformats.org/officeDocument/2006/relationships/hyperlink" Target="https://old.ukr-mobil.com/steklo_displeya_lenovo_tab_p11_pro_tb-j706_s_oca_plenkoj_original_10004072" TargetMode="External"/><Relationship Id="rId_hyperlink_980" Type="http://schemas.openxmlformats.org/officeDocument/2006/relationships/hyperlink" Target="https://old.ukr-mobil.com/steklo_displeya_lg_g6_h870_g6_h870k_g6_h871_g6_h872_g6_h873_g6_ls993_g6_us997_g6_vs998_original_blue_10001397" TargetMode="External"/><Relationship Id="rId_hyperlink_981" Type="http://schemas.openxmlformats.org/officeDocument/2006/relationships/hyperlink" Target="https://old.ukr-mobil.com/steklo_displeya_lg_v30_h930ds_silver_10000394" TargetMode="External"/><Relationship Id="rId_hyperlink_982" Type="http://schemas.openxmlformats.org/officeDocument/2006/relationships/hyperlink" Target="https://old.ukr-mobil.com/steklo_displeya_meizu_16_black_10000828" TargetMode="External"/><Relationship Id="rId_hyperlink_983" Type="http://schemas.openxmlformats.org/officeDocument/2006/relationships/hyperlink" Target="https://old.ukr-mobil.com/steklo_displeya_meizu_16x_black_10001028" TargetMode="External"/><Relationship Id="rId_hyperlink_984" Type="http://schemas.openxmlformats.org/officeDocument/2006/relationships/hyperlink" Target="https://old.ukr-mobil.com/steklo_displeya_meizu_mx5_black_10534" TargetMode="External"/><Relationship Id="rId_hyperlink_985" Type="http://schemas.openxmlformats.org/officeDocument/2006/relationships/hyperlink" Target="https://old.ukr-mobil.com/steklo_displeya_meizu_mx5_white_10535" TargetMode="External"/><Relationship Id="rId_hyperlink_986" Type="http://schemas.openxmlformats.org/officeDocument/2006/relationships/hyperlink" Target="https://old.ukr-mobil.com/steklo_displeya_meizu_mx6_black_10536" TargetMode="External"/><Relationship Id="rId_hyperlink_987" Type="http://schemas.openxmlformats.org/officeDocument/2006/relationships/hyperlink" Target="https://old.ukr-mobil.com/steklo_displeya_meizu_x8_black_10001031" TargetMode="External"/><Relationship Id="rId_hyperlink_988" Type="http://schemas.openxmlformats.org/officeDocument/2006/relationships/hyperlink" Target="https://old.ukr-mobil.com/steklo_displeya_microsoft_lumia_950_black_10552" TargetMode="External"/><Relationship Id="rId_hyperlink_989" Type="http://schemas.openxmlformats.org/officeDocument/2006/relationships/hyperlink" Target="https://old.ukr-mobil.com/steklo_displeya_motorola_e20_xt2155_s_oca_plenkoj_original_10004533" TargetMode="External"/><Relationship Id="rId_hyperlink_990" Type="http://schemas.openxmlformats.org/officeDocument/2006/relationships/hyperlink" Target="https://old.ukr-mobil.com/steklo_displeya_motorola_e7_xt2095_e7_power_xt2097_e7i_power_s_oca_plenkoj_original_10003242" TargetMode="External"/><Relationship Id="rId_hyperlink_991" Type="http://schemas.openxmlformats.org/officeDocument/2006/relationships/hyperlink" Target="https://old.ukr-mobil.com/steklo_displeya_motorola_g10_xt2127_g10_power_g20_xt2128_g30_lenovo_k13_pro_s_oca_plenkoj_original_10003241" TargetMode="External"/><Relationship Id="rId_hyperlink_992" Type="http://schemas.openxmlformats.org/officeDocument/2006/relationships/hyperlink" Target="https://old.ukr-mobil.com/steklo_displeya_motorola_g60_xt2135-2_xt2135_g40_fusion_s_oca_plenkoj_original_10003240" TargetMode="External"/><Relationship Id="rId_hyperlink_993" Type="http://schemas.openxmlformats.org/officeDocument/2006/relationships/hyperlink" Target="https://old.ukr-mobil.com/steklo_displeya_motorola_xt1955_moto_g7_power_black_10000829" TargetMode="External"/><Relationship Id="rId_hyperlink_994" Type="http://schemas.openxmlformats.org/officeDocument/2006/relationships/hyperlink" Target="https://old.ukr-mobil.com/steklo_displeya_motorola_xt1635-02_moto_z_play_black_9951" TargetMode="External"/><Relationship Id="rId_hyperlink_995" Type="http://schemas.openxmlformats.org/officeDocument/2006/relationships/hyperlink" Target="https://old.ukr-mobil.com/steklo_displeya_motorola_xt1710_moto_z2_play_black_10618" TargetMode="External"/><Relationship Id="rId_hyperlink_996" Type="http://schemas.openxmlformats.org/officeDocument/2006/relationships/hyperlink" Target="https://old.ukr-mobil.com/steklo_displeya_motorola_xt1925_moto_g6_black_11460" TargetMode="External"/><Relationship Id="rId_hyperlink_997" Type="http://schemas.openxmlformats.org/officeDocument/2006/relationships/hyperlink" Target="https://old.ukr-mobil.com/steklo_displeya_motorola_xt1941-2_moto_p30_play_black_10001221" TargetMode="External"/><Relationship Id="rId_hyperlink_998" Type="http://schemas.openxmlformats.org/officeDocument/2006/relationships/hyperlink" Target="https://old.ukr-mobil.com/steklo_displeya_motorola_xt1941-4_moto_one_black_10001222" TargetMode="External"/><Relationship Id="rId_hyperlink_999" Type="http://schemas.openxmlformats.org/officeDocument/2006/relationships/hyperlink" Target="https://old.ukr-mobil.com/steklo_displeya_motorola_xt1944_moto_e5_black_11450" TargetMode="External"/><Relationship Id="rId_hyperlink_1000" Type="http://schemas.openxmlformats.org/officeDocument/2006/relationships/hyperlink" Target="https://old.ukr-mobil.com/steklo_displeya_motorola_xt1952_moto_g7_play_black_10000830" TargetMode="External"/><Relationship Id="rId_hyperlink_1001" Type="http://schemas.openxmlformats.org/officeDocument/2006/relationships/hyperlink" Target="https://old.ukr-mobil.com/steklo_displeya_motorola_xt1962_moto_g7_xt1965_moto_g7_plus_black_10001223" TargetMode="External"/><Relationship Id="rId_hyperlink_1002" Type="http://schemas.openxmlformats.org/officeDocument/2006/relationships/hyperlink" Target="https://old.ukr-mobil.com/steklo_displeya_motorola_xt2010_moto_one_zoom_black_10002214" TargetMode="External"/><Relationship Id="rId_hyperlink_1003" Type="http://schemas.openxmlformats.org/officeDocument/2006/relationships/hyperlink" Target="https://old.ukr-mobil.com/steklo_displeya_motorola_xt2013-2_moto_one_action_xt1970_moto_one_vision_black_10001224" TargetMode="External"/><Relationship Id="rId_hyperlink_1004" Type="http://schemas.openxmlformats.org/officeDocument/2006/relationships/hyperlink" Target="https://old.ukr-mobil.com/steklo_displeya_motorola_xt2015_moto_g8_play_black_10001225" TargetMode="External"/><Relationship Id="rId_hyperlink_1005" Type="http://schemas.openxmlformats.org/officeDocument/2006/relationships/hyperlink" Target="https://old.ukr-mobil.com/steklo_displeya_motorola_xt2081_moto_e7_plus_xt2083_moto_g9_play_s_oca_plenkoj_original_10003243" TargetMode="External"/><Relationship Id="rId_hyperlink_1006" Type="http://schemas.openxmlformats.org/officeDocument/2006/relationships/hyperlink" Target="https://old.ukr-mobil.com/steklo_displeya_nokia_2_3_black_10001041" TargetMode="External"/><Relationship Id="rId_hyperlink_1007" Type="http://schemas.openxmlformats.org/officeDocument/2006/relationships/hyperlink" Target="https://old.ukr-mobil.com/steklo_displeya_nokia_3_2_dual_sim_ta-1156_ta-1164_original_black_10001830" TargetMode="External"/><Relationship Id="rId_hyperlink_1008" Type="http://schemas.openxmlformats.org/officeDocument/2006/relationships/hyperlink" Target="https://old.ukr-mobil.com/steklo_displeya_nokia_7_1_black_11702" TargetMode="External"/><Relationship Id="rId_hyperlink_1009" Type="http://schemas.openxmlformats.org/officeDocument/2006/relationships/hyperlink" Target="https://old.ukr-mobil.com/steklo_displeya_oneplus_5_black_11057" TargetMode="External"/><Relationship Id="rId_hyperlink_1010" Type="http://schemas.openxmlformats.org/officeDocument/2006/relationships/hyperlink" Target="https://old.ukr-mobil.com/steklo_displeya_oneplus_6_black_11987" TargetMode="External"/><Relationship Id="rId_hyperlink_1011" Type="http://schemas.openxmlformats.org/officeDocument/2006/relationships/hyperlink" Target="https://old.ukr-mobil.com/steklo_displeya_oneplus_6t_black_11988" TargetMode="External"/><Relationship Id="rId_hyperlink_1012" Type="http://schemas.openxmlformats.org/officeDocument/2006/relationships/hyperlink" Target="https://old.ukr-mobil.com/steklo_displeya_oneplus_7_pro_7t_pro_original_black_10001297" TargetMode="External"/><Relationship Id="rId_hyperlink_1013" Type="http://schemas.openxmlformats.org/officeDocument/2006/relationships/hyperlink" Target="https://old.ukr-mobil.com/steklo_displeya_oneplus_7_original_black_10001296" TargetMode="External"/><Relationship Id="rId_hyperlink_1014" Type="http://schemas.openxmlformats.org/officeDocument/2006/relationships/hyperlink" Target="https://old.ukr-mobil.com/steklo_displeya_oneplus_7t_original_black_10001298" TargetMode="External"/><Relationship Id="rId_hyperlink_1015" Type="http://schemas.openxmlformats.org/officeDocument/2006/relationships/hyperlink" Target="https://old.ukr-mobil.com/steklo_displeya_oneplus_7t_s_oca_plenkoj_original_10002860" TargetMode="External"/><Relationship Id="rId_hyperlink_1016" Type="http://schemas.openxmlformats.org/officeDocument/2006/relationships/hyperlink" Target="https://old.ukr-mobil.com/steklo_displeya_oneplus_8_pro_original_black_10001300" TargetMode="External"/><Relationship Id="rId_hyperlink_1017" Type="http://schemas.openxmlformats.org/officeDocument/2006/relationships/hyperlink" Target="https://old.ukr-mobil.com/steklo_displeya_oneplus_8_pro_s_oca_plenkoj_original_10002905" TargetMode="External"/><Relationship Id="rId_hyperlink_1018" Type="http://schemas.openxmlformats.org/officeDocument/2006/relationships/hyperlink" Target="https://old.ukr-mobil.com/steklo_displeya_oneplus_8_original_black_10001299" TargetMode="External"/><Relationship Id="rId_hyperlink_1019" Type="http://schemas.openxmlformats.org/officeDocument/2006/relationships/hyperlink" Target="https://old.ukr-mobil.com/steklo_displeya_oneplus_8_s_oca_plenkoj_original_10002904" TargetMode="External"/><Relationship Id="rId_hyperlink_1020" Type="http://schemas.openxmlformats.org/officeDocument/2006/relationships/hyperlink" Target="https://old.ukr-mobil.com/steklo_displeya_oneplus_8t_oneplus_9_oneplus_9r_s_oca_plenkoj_original_10002861" TargetMode="External"/><Relationship Id="rId_hyperlink_1021" Type="http://schemas.openxmlformats.org/officeDocument/2006/relationships/hyperlink" Target="https://old.ukr-mobil.com/steklo_displeya_oneplus_nord_2_dn2103_dn2101_nord_ce_eb2101_eb2103_s_oca_plenkoj_original_10002880" TargetMode="External"/><Relationship Id="rId_hyperlink_1022" Type="http://schemas.openxmlformats.org/officeDocument/2006/relationships/hyperlink" Target="https://old.ukr-mobil.com/steklo_displeya_oneplus_nord_n10_5g_s_oca_plenkoj_original_10002879" TargetMode="External"/><Relationship Id="rId_hyperlink_1023" Type="http://schemas.openxmlformats.org/officeDocument/2006/relationships/hyperlink" Target="https://old.ukr-mobil.com/steklo_displeya_oneplus_nord_original_black_10001852" TargetMode="External"/><Relationship Id="rId_hyperlink_1024" Type="http://schemas.openxmlformats.org/officeDocument/2006/relationships/hyperlink" Target="https://old.ukr-mobil.com/steklo_displeya_oneplus_nord_s_oca_plenkoj_original_10002878" TargetMode="External"/><Relationship Id="rId_hyperlink_1025" Type="http://schemas.openxmlformats.org/officeDocument/2006/relationships/hyperlink" Target="https://old.ukr-mobil.com/steklo_displeya_oppo_a12_a12s_s_oca_plenkoj_original_10002817" TargetMode="External"/><Relationship Id="rId_hyperlink_1026" Type="http://schemas.openxmlformats.org/officeDocument/2006/relationships/hyperlink" Target="https://old.ukr-mobil.com/steklo_displeya_oppo_a15_a15s_black_10002217" TargetMode="External"/><Relationship Id="rId_hyperlink_1027" Type="http://schemas.openxmlformats.org/officeDocument/2006/relationships/hyperlink" Target="https://old.ukr-mobil.com/steklo_displeya_oppo_a31_a5_2020_a9_2020_realme_5_black_10001216" TargetMode="External"/><Relationship Id="rId_hyperlink_1028" Type="http://schemas.openxmlformats.org/officeDocument/2006/relationships/hyperlink" Target="https://old.ukr-mobil.com/steklo_displeya_oppo_a31_a5_2020_a9_2020_realme_5_realme_5s_realme_5i_realme_6i_realme_c3_s_oca_plenkoj_original_10002818" TargetMode="External"/><Relationship Id="rId_hyperlink_1029" Type="http://schemas.openxmlformats.org/officeDocument/2006/relationships/hyperlink" Target="https://old.ukr-mobil.com/steklo_displeya_oppo_a32_a53_black_10001212" TargetMode="External"/><Relationship Id="rId_hyperlink_1030" Type="http://schemas.openxmlformats.org/officeDocument/2006/relationships/hyperlink" Target="https://old.ukr-mobil.com/steklo_displeya_oppo_a32_2020_a53_a53s_realme_7_realme_c17_oneplus_nord_n100_s_oca_plenkoj_original_10002819" TargetMode="External"/><Relationship Id="rId_hyperlink_1031" Type="http://schemas.openxmlformats.org/officeDocument/2006/relationships/hyperlink" Target="https://old.ukr-mobil.com/steklo_displeya_oppo_a52_a72_a92_realme_6_black_10001213" TargetMode="External"/><Relationship Id="rId_hyperlink_1032" Type="http://schemas.openxmlformats.org/officeDocument/2006/relationships/hyperlink" Target="https://old.ukr-mobil.com/steklo_displeya_oppo_a52_a72_a92_realme_6_s_oca_plenkoj_original_10002820" TargetMode="External"/><Relationship Id="rId_hyperlink_1033" Type="http://schemas.openxmlformats.org/officeDocument/2006/relationships/hyperlink" Target="https://old.ukr-mobil.com/index.php?route=product&amp;product_id=10004738" TargetMode="External"/><Relationship Id="rId_hyperlink_1034" Type="http://schemas.openxmlformats.org/officeDocument/2006/relationships/hyperlink" Target="https://old.ukr-mobil.com/steklo_displeya_oppo_a74_4g_a94_reno_5_lite_realme_7_pro_realme_8_realme_v_s_oca_plenkoj_original_10002821" TargetMode="External"/><Relationship Id="rId_hyperlink_1035" Type="http://schemas.openxmlformats.org/officeDocument/2006/relationships/hyperlink" Target="https://old.ukr-mobil.com/steklo_displeya_oppo_a74_4g_a94_reno_5_lite_realme_7_pro_realme_8_realme_v_black_10002401" TargetMode="External"/><Relationship Id="rId_hyperlink_1036" Type="http://schemas.openxmlformats.org/officeDocument/2006/relationships/hyperlink" Target="https://old.ukr-mobil.com/steklo_displeya_oppo_a91_black_10001211" TargetMode="External"/><Relationship Id="rId_hyperlink_1037" Type="http://schemas.openxmlformats.org/officeDocument/2006/relationships/hyperlink" Target="https://old.ukr-mobil.com/steklo_displeya_oppo_a91_s_oca_plenkoj_original_10002822" TargetMode="External"/><Relationship Id="rId_hyperlink_1038" Type="http://schemas.openxmlformats.org/officeDocument/2006/relationships/hyperlink" Target="https://old.ukr-mobil.com/steklo_displeya_oppo_a92s_realme_6_pro_black_10001215" TargetMode="External"/><Relationship Id="rId_hyperlink_1039" Type="http://schemas.openxmlformats.org/officeDocument/2006/relationships/hyperlink" Target="https://old.ukr-mobil.com/steklo_displeya_oppo_reno_8_pro_plus_s_oca_plenkoj_original_10002825" TargetMode="External"/><Relationship Id="rId_hyperlink_1040" Type="http://schemas.openxmlformats.org/officeDocument/2006/relationships/hyperlink" Target="https://old.ukr-mobil.com/steklo_displeya_oppo_reno_8_pro_s_oca_plenkoj_original_10002824" TargetMode="External"/><Relationship Id="rId_hyperlink_1041" Type="http://schemas.openxmlformats.org/officeDocument/2006/relationships/hyperlink" Target="https://old.ukr-mobil.com/steklo_displeya_oppo_reno_8_s_oca_plenkoj_original_10002823" TargetMode="External"/><Relationship Id="rId_hyperlink_1042" Type="http://schemas.openxmlformats.org/officeDocument/2006/relationships/hyperlink" Target="https://old.ukr-mobil.com/index.php?route=product&amp;product_id=10004727" TargetMode="External"/><Relationship Id="rId_hyperlink_1043" Type="http://schemas.openxmlformats.org/officeDocument/2006/relationships/hyperlink" Target="https://old.ukr-mobil.com/steklo_displeya_samsung_a025_galaxy_a02s_original_black_10001684" TargetMode="External"/><Relationship Id="rId_hyperlink_1044" Type="http://schemas.openxmlformats.org/officeDocument/2006/relationships/hyperlink" Target="https://old.ukr-mobil.com/steklo_displeya_samsung_a025_galaxy_a02s_a035_galaxy_a03_a037_galaxy_a03s_s_oca_plenkoj_original_black_10002726" TargetMode="External"/><Relationship Id="rId_hyperlink_1045" Type="http://schemas.openxmlformats.org/officeDocument/2006/relationships/hyperlink" Target="https://old.ukr-mobil.com/steklo_displeya_samsung_a037_galaxy_a03s_original_prc_black_10002213" TargetMode="External"/><Relationship Id="rId_hyperlink_1046" Type="http://schemas.openxmlformats.org/officeDocument/2006/relationships/hyperlink" Target="https://old.ukr-mobil.com/steklo_displeya_samsung_a105_galaxy_a10_2019_original_black_11759" TargetMode="External"/><Relationship Id="rId_hyperlink_1047" Type="http://schemas.openxmlformats.org/officeDocument/2006/relationships/hyperlink" Target="https://old.ukr-mobil.com/steklo_displeya_samsung_a105_galaxy_a10_2019_s_oca_plenkoj_original_black_10002806" TargetMode="External"/><Relationship Id="rId_hyperlink_1048" Type="http://schemas.openxmlformats.org/officeDocument/2006/relationships/hyperlink" Target="https://old.ukr-mobil.com/steklo_displeya_samsung_a107_galaxy_a10s_original_black_10001679" TargetMode="External"/><Relationship Id="rId_hyperlink_1049" Type="http://schemas.openxmlformats.org/officeDocument/2006/relationships/hyperlink" Target="https://old.ukr-mobil.com/steklo_displeya_samsung_a107_galaxy_a10s_s_oca_plenkoj_original_black_10002807" TargetMode="External"/><Relationship Id="rId_hyperlink_1050" Type="http://schemas.openxmlformats.org/officeDocument/2006/relationships/hyperlink" Target="https://old.ukr-mobil.com/steklo_displeya_samsung_a115_galaxy_a11_m115_galaxy_m11_original_black_10001681" TargetMode="External"/><Relationship Id="rId_hyperlink_1051" Type="http://schemas.openxmlformats.org/officeDocument/2006/relationships/hyperlink" Target="https://old.ukr-mobil.com/steklo_displeya_samsung_a115_galaxy_a11_m115_galaxy_m11_s_oca_plenkoj_original_black_10002808" TargetMode="External"/><Relationship Id="rId_hyperlink_1052" Type="http://schemas.openxmlformats.org/officeDocument/2006/relationships/hyperlink" Target="https://old.ukr-mobil.com/steklo_displeya_samsung_a125_galaxy_a12_a325_galaxy_a32_original_black_10001522" TargetMode="External"/><Relationship Id="rId_hyperlink_1053" Type="http://schemas.openxmlformats.org/officeDocument/2006/relationships/hyperlink" Target="https://old.ukr-mobil.com/steklo_displeya_samsung_a125_galaxy_a12_a022_galaxy_a02_a325_galaxy_a32_a326_galaxy_a32_5g_m127_galaxy_m12_s_oca_plenkoj_original_black_10001825" TargetMode="External"/><Relationship Id="rId_hyperlink_1054" Type="http://schemas.openxmlformats.org/officeDocument/2006/relationships/hyperlink" Target="https://old.ukr-mobil.com/steklo_displeya_samsung_a135_galaxy_a13_s_oca_plenkoj_original_black_10002809" TargetMode="External"/><Relationship Id="rId_hyperlink_1055" Type="http://schemas.openxmlformats.org/officeDocument/2006/relationships/hyperlink" Target="https://old.ukr-mobil.com/steklo_displeya_samsung_a235_galaxy_a23_s_oca_plenkoj_original_black_10002811" TargetMode="External"/><Relationship Id="rId_hyperlink_1056" Type="http://schemas.openxmlformats.org/officeDocument/2006/relationships/hyperlink" Target="https://old.ukr-mobil.com/steklo_displeya_samsung_a205_galaxy_a20_2019_a307_galaxy_a30s_original_black_11760" TargetMode="External"/><Relationship Id="rId_hyperlink_1057" Type="http://schemas.openxmlformats.org/officeDocument/2006/relationships/hyperlink" Target="https://old.ukr-mobil.com/steklo_displeya_samsung_a205_galaxy_a20_2019_a307_galaxy_a30s_s_oca_plenkoj_original_black_10002466" TargetMode="External"/><Relationship Id="rId_hyperlink_1058" Type="http://schemas.openxmlformats.org/officeDocument/2006/relationships/hyperlink" Target="https://old.ukr-mobil.com/steklo_displeya_samsung_a207_galaxy_a20s_2019_original_black_10000390" TargetMode="External"/><Relationship Id="rId_hyperlink_1059" Type="http://schemas.openxmlformats.org/officeDocument/2006/relationships/hyperlink" Target="https://old.ukr-mobil.com/steklo_displeya_samsung_a207_galaxy_a20s_s_oca_plenkoj_original_10002866" TargetMode="External"/><Relationship Id="rId_hyperlink_1060" Type="http://schemas.openxmlformats.org/officeDocument/2006/relationships/hyperlink" Target="https://old.ukr-mobil.com/steklo_displeya_samsung_a215_galaxy_a21_s_oca_plenkoj_original_10002810" TargetMode="External"/><Relationship Id="rId_hyperlink_1061" Type="http://schemas.openxmlformats.org/officeDocument/2006/relationships/hyperlink" Target="https://old.ukr-mobil.com/steklo_displeya_samsung_a217_galaxy_a21s_original_black_10001680" TargetMode="External"/><Relationship Id="rId_hyperlink_1062" Type="http://schemas.openxmlformats.org/officeDocument/2006/relationships/hyperlink" Target="https://old.ukr-mobil.com/steklo_displeya_samsung_a225_galaxy_a22_original_10002057" TargetMode="External"/><Relationship Id="rId_hyperlink_1063" Type="http://schemas.openxmlformats.org/officeDocument/2006/relationships/hyperlink" Target="https://old.ukr-mobil.com/steklo_displeya_samsung_a226_galaxy_a22_5g_s_oca_plenkoj_original_10002873" TargetMode="External"/><Relationship Id="rId_hyperlink_1064" Type="http://schemas.openxmlformats.org/officeDocument/2006/relationships/hyperlink" Target="https://old.ukr-mobil.com/steklo_displeya_samsung_a305_galaxy_a30_2019_a505_galaxy_a50_2019_s_oca_plenkoj_original_10001099" TargetMode="External"/><Relationship Id="rId_hyperlink_1065" Type="http://schemas.openxmlformats.org/officeDocument/2006/relationships/hyperlink" Target="https://old.ukr-mobil.com/steklo_displeya_samsung_a3051_galaxy_a40s_original_black_10000498" TargetMode="External"/><Relationship Id="rId_hyperlink_1066" Type="http://schemas.openxmlformats.org/officeDocument/2006/relationships/hyperlink" Target="https://old.ukr-mobil.com/steklo_displeya_samsung_a315_galaxy_a31_black_10000813" TargetMode="External"/><Relationship Id="rId_hyperlink_1067" Type="http://schemas.openxmlformats.org/officeDocument/2006/relationships/hyperlink" Target="https://old.ukr-mobil.com/steklo_displeya_samsung_a315_galaxy_a31_s_oca_plenkoj_original_black_10001098" TargetMode="External"/><Relationship Id="rId_hyperlink_1068" Type="http://schemas.openxmlformats.org/officeDocument/2006/relationships/hyperlink" Target="https://old.ukr-mobil.com/steklo_displeya_samsung_a320_galaxy_a3_2017_gold_8243" TargetMode="External"/><Relationship Id="rId_hyperlink_1069" Type="http://schemas.openxmlformats.org/officeDocument/2006/relationships/hyperlink" Target="https://old.ukr-mobil.com/steklo_displeya_samsung_a320_galaxy_a3_2017_pink_8244" TargetMode="External"/><Relationship Id="rId_hyperlink_1070" Type="http://schemas.openxmlformats.org/officeDocument/2006/relationships/hyperlink" Target="https://old.ukr-mobil.com/steklo_displeya_samsung_a320_galaxy_a3_2017_white_8241" TargetMode="External"/><Relationship Id="rId_hyperlink_1071" Type="http://schemas.openxmlformats.org/officeDocument/2006/relationships/hyperlink" Target="https://old.ukr-mobil.com/steklo_displeya_samsung_a325_galaxy_a32_s_oca_plenkoj_original_10002865" TargetMode="External"/><Relationship Id="rId_hyperlink_1072" Type="http://schemas.openxmlformats.org/officeDocument/2006/relationships/hyperlink" Target="https://old.ukr-mobil.com/steklo_displeya_samsung_a336_galaxy_a33_s_oca_plenkoj_original_10003265" TargetMode="External"/><Relationship Id="rId_hyperlink_1073" Type="http://schemas.openxmlformats.org/officeDocument/2006/relationships/hyperlink" Target="https://old.ukr-mobil.com/steklo_displeya_samsung_a405_galaxy_a40_2019_original_black_11913" TargetMode="External"/><Relationship Id="rId_hyperlink_1074" Type="http://schemas.openxmlformats.org/officeDocument/2006/relationships/hyperlink" Target="https://old.ukr-mobil.com/steklo_displeya_samsung_a405_galaxy_a40_2019_s_oca_plenkoj_original_10002867" TargetMode="External"/><Relationship Id="rId_hyperlink_1075" Type="http://schemas.openxmlformats.org/officeDocument/2006/relationships/hyperlink" Target="https://old.ukr-mobil.com/steklo_displeya_samsung_a415_galaxy_a41_original_black_10000795" TargetMode="External"/><Relationship Id="rId_hyperlink_1076" Type="http://schemas.openxmlformats.org/officeDocument/2006/relationships/hyperlink" Target="https://old.ukr-mobil.com/steklo_displeya_samsung_a415_galaxy_a41_s_oca_plenkoj_original_10002868" TargetMode="External"/><Relationship Id="rId_hyperlink_1077" Type="http://schemas.openxmlformats.org/officeDocument/2006/relationships/hyperlink" Target="https://old.ukr-mobil.com/steklo_displeya_samsung_a500_galaxy_a5_black_5795" TargetMode="External"/><Relationship Id="rId_hyperlink_1078" Type="http://schemas.openxmlformats.org/officeDocument/2006/relationships/hyperlink" Target="https://old.ukr-mobil.com/steklo_displeya_samsung_a500_galaxy_a5_gold_5794" TargetMode="External"/><Relationship Id="rId_hyperlink_1079" Type="http://schemas.openxmlformats.org/officeDocument/2006/relationships/hyperlink" Target="https://old.ukr-mobil.com/steklo_displeya_samsung_a510_galaxy_a5_2016_gold_7362" TargetMode="External"/><Relationship Id="rId_hyperlink_1080" Type="http://schemas.openxmlformats.org/officeDocument/2006/relationships/hyperlink" Target="https://old.ukr-mobil.com/steklo_displeya_samsung_a510_galaxy_a5_2016_white_7361" TargetMode="External"/><Relationship Id="rId_hyperlink_1081" Type="http://schemas.openxmlformats.org/officeDocument/2006/relationships/hyperlink" Target="https://old.ukr-mobil.com/steklo_displeya_samsung_a515_galaxy_a51_black_10000822" TargetMode="External"/><Relationship Id="rId_hyperlink_1082" Type="http://schemas.openxmlformats.org/officeDocument/2006/relationships/hyperlink" Target="https://old.ukr-mobil.com/steklo_displeya_samsung_a515_galaxy_a51_s_oca_plenkoj_original_black_10001097" TargetMode="External"/><Relationship Id="rId_hyperlink_1083" Type="http://schemas.openxmlformats.org/officeDocument/2006/relationships/hyperlink" Target="https://old.ukr-mobil.com/steklo_displeya_samsung_a520_galaxy_a5_2017_original_white_8247" TargetMode="External"/><Relationship Id="rId_hyperlink_1084" Type="http://schemas.openxmlformats.org/officeDocument/2006/relationships/hyperlink" Target="https://old.ukr-mobil.com/steklo_displeya_samsung_a525_galaxy_a52_original_black_10001964" TargetMode="External"/><Relationship Id="rId_hyperlink_1085" Type="http://schemas.openxmlformats.org/officeDocument/2006/relationships/hyperlink" Target="https://old.ukr-mobil.com/steklo_displeya_samsung_a525_galaxy_a52_g780_galaxy_s20_fe_s_oca_plenkoj_original_10002869" TargetMode="External"/><Relationship Id="rId_hyperlink_1086" Type="http://schemas.openxmlformats.org/officeDocument/2006/relationships/hyperlink" Target="https://old.ukr-mobil.com/steklo_displeya_samsung_a530_galaxy_a8_2018_original_black_11792" TargetMode="External"/><Relationship Id="rId_hyperlink_1087" Type="http://schemas.openxmlformats.org/officeDocument/2006/relationships/hyperlink" Target="https://old.ukr-mobil.com/steklo_displeya_samsung_a536_galaxy_a53_5g_s_oca_plenkoj_original_10003264" TargetMode="External"/><Relationship Id="rId_hyperlink_1088" Type="http://schemas.openxmlformats.org/officeDocument/2006/relationships/hyperlink" Target="https://old.ukr-mobil.com/steklo_displeya_samsung_a600_galaxy_a6_2018_black_10569" TargetMode="External"/><Relationship Id="rId_hyperlink_1089" Type="http://schemas.openxmlformats.org/officeDocument/2006/relationships/hyperlink" Target="https://old.ukr-mobil.com/steklo_displeya_samsung_a605_galaxy_a6_plus_2018_black_11326" TargetMode="External"/><Relationship Id="rId_hyperlink_1090" Type="http://schemas.openxmlformats.org/officeDocument/2006/relationships/hyperlink" Target="https://old.ukr-mobil.com/steklo_displeya_samsung_a606_galaxy_a60_m405_galaxy_m40_original_black_10001095" TargetMode="External"/><Relationship Id="rId_hyperlink_1091" Type="http://schemas.openxmlformats.org/officeDocument/2006/relationships/hyperlink" Target="https://old.ukr-mobil.com/steklo_displeya_samsung_a700_galaxy_a7_black_6096" TargetMode="External"/><Relationship Id="rId_hyperlink_1092" Type="http://schemas.openxmlformats.org/officeDocument/2006/relationships/hyperlink" Target="https://old.ukr-mobil.com/steklo_displeya_samsung_a700_galaxy_a7_gold_8210" TargetMode="External"/><Relationship Id="rId_hyperlink_1093" Type="http://schemas.openxmlformats.org/officeDocument/2006/relationships/hyperlink" Target="https://old.ukr-mobil.com/steklo_displeya_samsung_a700_galaxy_a7_white_6097" TargetMode="External"/><Relationship Id="rId_hyperlink_1094" Type="http://schemas.openxmlformats.org/officeDocument/2006/relationships/hyperlink" Target="https://old.ukr-mobil.com/steklo_displeya_samsung_a705_galaxy_a70_original_black_11915" TargetMode="External"/><Relationship Id="rId_hyperlink_1095" Type="http://schemas.openxmlformats.org/officeDocument/2006/relationships/hyperlink" Target="https://old.ukr-mobil.com/steklo_displeya_samsung_a705_galaxy_a70_s_oca_plenkoj_original_10002870" TargetMode="External"/><Relationship Id="rId_hyperlink_1096" Type="http://schemas.openxmlformats.org/officeDocument/2006/relationships/hyperlink" Target="https://old.ukr-mobil.com/steklo_displeya_samsung_a710_galaxy_a7_2016_duos_black_7357" TargetMode="External"/><Relationship Id="rId_hyperlink_1097" Type="http://schemas.openxmlformats.org/officeDocument/2006/relationships/hyperlink" Target="https://old.ukr-mobil.com/steklo_displeya_samsung_a710_galaxy_a7_2016_duos_gold_7359" TargetMode="External"/><Relationship Id="rId_hyperlink_1098" Type="http://schemas.openxmlformats.org/officeDocument/2006/relationships/hyperlink" Target="https://old.ukr-mobil.com/steklo_displeya_samsung_a710_galaxy_a7_2016_duos_white_7358" TargetMode="External"/><Relationship Id="rId_hyperlink_1099" Type="http://schemas.openxmlformats.org/officeDocument/2006/relationships/hyperlink" Target="https://old.ukr-mobil.com/steklo_displeya_samsung_a715_galaxy_a71_black_10000821" TargetMode="External"/><Relationship Id="rId_hyperlink_1100" Type="http://schemas.openxmlformats.org/officeDocument/2006/relationships/hyperlink" Target="https://old.ukr-mobil.com/steklo_displeya_samsung_a715_galaxy_a71_m515_galaxy_m51_s_oca_plenkoj_original_prc_10002022" TargetMode="External"/><Relationship Id="rId_hyperlink_1101" Type="http://schemas.openxmlformats.org/officeDocument/2006/relationships/hyperlink" Target="https://old.ukr-mobil.com/steklo_displeya_samsung_a720_galaxy_a7_2017_white_8251" TargetMode="External"/><Relationship Id="rId_hyperlink_1102" Type="http://schemas.openxmlformats.org/officeDocument/2006/relationships/hyperlink" Target="https://old.ukr-mobil.com/steklo_displeya_samsung_a725_galaxy_a72_original_prc_black_10002212" TargetMode="External"/><Relationship Id="rId_hyperlink_1103" Type="http://schemas.openxmlformats.org/officeDocument/2006/relationships/hyperlink" Target="https://old.ukr-mobil.com/steklo_displeya_samsung_a730_galaxy_a8_plus_2018_black_11433" TargetMode="External"/><Relationship Id="rId_hyperlink_1104" Type="http://schemas.openxmlformats.org/officeDocument/2006/relationships/hyperlink" Target="https://old.ukr-mobil.com/steklo_displeya_samsung_a736_galaxy_a73_5g_s_oca_plenkoj_original_10003270" TargetMode="External"/><Relationship Id="rId_hyperlink_1105" Type="http://schemas.openxmlformats.org/officeDocument/2006/relationships/hyperlink" Target="https://old.ukr-mobil.com/steklo_displeya_samsung_a750_galaxy_a7_2018_black_11278" TargetMode="External"/><Relationship Id="rId_hyperlink_1106" Type="http://schemas.openxmlformats.org/officeDocument/2006/relationships/hyperlink" Target="https://old.ukr-mobil.com/steklo_displeya_samsung_a750_galaxy_a7_2018_gold_11279" TargetMode="External"/><Relationship Id="rId_hyperlink_1107" Type="http://schemas.openxmlformats.org/officeDocument/2006/relationships/hyperlink" Target="https://old.ukr-mobil.com/steklo_displeya_samsung_a750_galaxy_a7_2018_white_11285" TargetMode="External"/><Relationship Id="rId_hyperlink_1108" Type="http://schemas.openxmlformats.org/officeDocument/2006/relationships/hyperlink" Target="https://old.ukr-mobil.com/steklo_displeya_samsung_a805_galaxy_a80_2019_original_black_11916" TargetMode="External"/><Relationship Id="rId_hyperlink_1109" Type="http://schemas.openxmlformats.org/officeDocument/2006/relationships/hyperlink" Target="https://old.ukr-mobil.com/steklo_displeya_samsung_a9100_galaxy_a9_pro_2016_black_11705" TargetMode="External"/><Relationship Id="rId_hyperlink_1110" Type="http://schemas.openxmlformats.org/officeDocument/2006/relationships/hyperlink" Target="https://old.ukr-mobil.com/steklo_displeya_samsung_a9100_galaxy_a9_pro_2016_gold_11707" TargetMode="External"/><Relationship Id="rId_hyperlink_1111" Type="http://schemas.openxmlformats.org/officeDocument/2006/relationships/hyperlink" Target="https://old.ukr-mobil.com/steklo_displeya_samsung_a9100_galaxy_a9_pro_2016_white_11706" TargetMode="External"/><Relationship Id="rId_hyperlink_1112" Type="http://schemas.openxmlformats.org/officeDocument/2006/relationships/hyperlink" Target="https://old.ukr-mobil.com/steklo_displeya_samsung_f926_galaxy_fold_3_perednego_s_plenkoj_oca_original_black_10003269" TargetMode="External"/><Relationship Id="rId_hyperlink_1113" Type="http://schemas.openxmlformats.org/officeDocument/2006/relationships/hyperlink" Target="https://old.ukr-mobil.com/steklo_displeya_samsung_g570_galaxy_j5_prime_gold_10579" TargetMode="External"/><Relationship Id="rId_hyperlink_1114" Type="http://schemas.openxmlformats.org/officeDocument/2006/relationships/hyperlink" Target="https://old.ukr-mobil.com/steklo_displeya_samsung_g570_galaxy_j5_prime_white_10580" TargetMode="External"/><Relationship Id="rId_hyperlink_1115" Type="http://schemas.openxmlformats.org/officeDocument/2006/relationships/hyperlink" Target="https://old.ukr-mobil.com/steklo_displeya_samsung_g610_galaxy_j7_prime_black_10555" TargetMode="External"/><Relationship Id="rId_hyperlink_1116" Type="http://schemas.openxmlformats.org/officeDocument/2006/relationships/hyperlink" Target="https://old.ukr-mobil.com/steklo_displeya_samsung_g610_galaxy_j7_prime_gold_10556" TargetMode="External"/><Relationship Id="rId_hyperlink_1117" Type="http://schemas.openxmlformats.org/officeDocument/2006/relationships/hyperlink" Target="https://old.ukr-mobil.com/steklo_displeya_samsung_g610_galaxy_j7_prime_white_10557" TargetMode="External"/><Relationship Id="rId_hyperlink_1118" Type="http://schemas.openxmlformats.org/officeDocument/2006/relationships/hyperlink" Target="https://old.ukr-mobil.com/steklo_displeya_samsung_g770_galaxy_s10_lite_s_oca_plenkoj_original_10002872" TargetMode="External"/><Relationship Id="rId_hyperlink_1119" Type="http://schemas.openxmlformats.org/officeDocument/2006/relationships/hyperlink" Target="https://old.ukr-mobil.com/steklo_displeya_samsung_g850_galaxy_alpha_white_10559" TargetMode="External"/><Relationship Id="rId_hyperlink_1120" Type="http://schemas.openxmlformats.org/officeDocument/2006/relationships/hyperlink" Target="https://old.ukr-mobil.com/steklo_displeya_samsung_g8870_galaxy_a8s_2018_black_11430" TargetMode="External"/><Relationship Id="rId_hyperlink_1121" Type="http://schemas.openxmlformats.org/officeDocument/2006/relationships/hyperlink" Target="https://old.ukr-mobil.com/steklo_displeya_samsung_g925_galaxy_s6_edge_blue_7926" TargetMode="External"/><Relationship Id="rId_hyperlink_1122" Type="http://schemas.openxmlformats.org/officeDocument/2006/relationships/hyperlink" Target="https://old.ukr-mobil.com/steklo_displeya_samsung_g925_galaxy_s6_edge_gold_7928" TargetMode="External"/><Relationship Id="rId_hyperlink_1123" Type="http://schemas.openxmlformats.org/officeDocument/2006/relationships/hyperlink" Target="https://old.ukr-mobil.com/steklo_displeya_samsung_g935_galaxy_s7_edge_coral_blue_original_10242" TargetMode="External"/><Relationship Id="rId_hyperlink_1124" Type="http://schemas.openxmlformats.org/officeDocument/2006/relationships/hyperlink" Target="https://old.ukr-mobil.com/steklo_displeya_samsung_g950_galaxy_s8_original_black_9014" TargetMode="External"/><Relationship Id="rId_hyperlink_1125" Type="http://schemas.openxmlformats.org/officeDocument/2006/relationships/hyperlink" Target="https://old.ukr-mobil.com/steklo_displeya_samsung_g950_galaxy_s8_s_oca_plenkoj_original_black_11827" TargetMode="External"/><Relationship Id="rId_hyperlink_1126" Type="http://schemas.openxmlformats.org/officeDocument/2006/relationships/hyperlink" Target="https://old.ukr-mobil.com/steklo_displeya_samsung_g950_galaxy_s8_s_oca_plenkoj_tachskrinom_original_prc_black_10001616" TargetMode="External"/><Relationship Id="rId_hyperlink_1127" Type="http://schemas.openxmlformats.org/officeDocument/2006/relationships/hyperlink" Target="https://old.ukr-mobil.com/steklo_displeya_samsung_g955_galaxy_s8_plus_black_9015" TargetMode="External"/><Relationship Id="rId_hyperlink_1128" Type="http://schemas.openxmlformats.org/officeDocument/2006/relationships/hyperlink" Target="https://old.ukr-mobil.com/steklo_displeya_samsung_g955_galaxy_s8_plus_s_oca_plenkoj_original_black_11828" TargetMode="External"/><Relationship Id="rId_hyperlink_1129" Type="http://schemas.openxmlformats.org/officeDocument/2006/relationships/hyperlink" Target="https://old.ukr-mobil.com/steklo_displeya_samsung_g955_galaxy_s8_plus_s_oca_plenkoj_tachskrinom_original_prc_black_10001617" TargetMode="External"/><Relationship Id="rId_hyperlink_1130" Type="http://schemas.openxmlformats.org/officeDocument/2006/relationships/hyperlink" Target="https://old.ukr-mobil.com/steklo_displeya_samsung_g960_galaxy_s9_original_black_10561" TargetMode="External"/><Relationship Id="rId_hyperlink_1131" Type="http://schemas.openxmlformats.org/officeDocument/2006/relationships/hyperlink" Target="https://old.ukr-mobil.com/steklo_displeya_samsung_g960_galaxy_s9_s_oca_plenkoj_original_black_11908" TargetMode="External"/><Relationship Id="rId_hyperlink_1132" Type="http://schemas.openxmlformats.org/officeDocument/2006/relationships/hyperlink" Target="https://old.ukr-mobil.com/steklo_displeya_samsung_g965_galaxy_s9_plus_black_10562" TargetMode="External"/><Relationship Id="rId_hyperlink_1133" Type="http://schemas.openxmlformats.org/officeDocument/2006/relationships/hyperlink" Target="https://old.ukr-mobil.com/steklo_displeya_samsung_g965_galaxy_s9_plus_s_oca_plenkoj_original_black_12077" TargetMode="External"/><Relationship Id="rId_hyperlink_1134" Type="http://schemas.openxmlformats.org/officeDocument/2006/relationships/hyperlink" Target="https://old.ukr-mobil.com/steklo_displeya_samsung_g970_galaxy_s10e_original_black_11917" TargetMode="External"/><Relationship Id="rId_hyperlink_1135" Type="http://schemas.openxmlformats.org/officeDocument/2006/relationships/hyperlink" Target="https://old.ukr-mobil.com/steklo_displeya_samsung_g973_galaxy_s10_original_black_11918" TargetMode="External"/><Relationship Id="rId_hyperlink_1136" Type="http://schemas.openxmlformats.org/officeDocument/2006/relationships/hyperlink" Target="https://old.ukr-mobil.com/steklo_displeya_samsung_g973_galaxy_s10_s_oca_plenkoj_original_black_10001096" TargetMode="External"/><Relationship Id="rId_hyperlink_1137" Type="http://schemas.openxmlformats.org/officeDocument/2006/relationships/hyperlink" Target="https://old.ukr-mobil.com/steklo_displeya_samsung_g975_galaxy_s10_plus_original_black_11919" TargetMode="External"/><Relationship Id="rId_hyperlink_1138" Type="http://schemas.openxmlformats.org/officeDocument/2006/relationships/hyperlink" Target="https://old.ukr-mobil.com/steklo_displeya_samsung_g975_galaxy_s10_plus_s_oca_plenkoj_original_black_11907" TargetMode="External"/><Relationship Id="rId_hyperlink_1139" Type="http://schemas.openxmlformats.org/officeDocument/2006/relationships/hyperlink" Target="https://old.ukr-mobil.com/steklo_displeya_samsung_g980_galaxy_s20_original_black_10000816" TargetMode="External"/><Relationship Id="rId_hyperlink_1140" Type="http://schemas.openxmlformats.org/officeDocument/2006/relationships/hyperlink" Target="https://old.ukr-mobil.com/steklo_displeya_samsung_g980_galaxy_s20_s_oca_plenkoj_original_black_10001055" TargetMode="External"/><Relationship Id="rId_hyperlink_1141" Type="http://schemas.openxmlformats.org/officeDocument/2006/relationships/hyperlink" Target="https://old.ukr-mobil.com/steklo_displeya_samsung_g985_galaxy_s20_plus_original_black_10000815" TargetMode="External"/><Relationship Id="rId_hyperlink_1142" Type="http://schemas.openxmlformats.org/officeDocument/2006/relationships/hyperlink" Target="https://old.ukr-mobil.com/steklo_displeya_samsung_g985_galaxy_s20_plus_s_oca_plenkoj_original_black_10001056" TargetMode="External"/><Relationship Id="rId_hyperlink_1143" Type="http://schemas.openxmlformats.org/officeDocument/2006/relationships/hyperlink" Target="https://old.ukr-mobil.com/steklo_displeya_samsung_g988_galaxy_s20_ultra_original_black_10000817" TargetMode="External"/><Relationship Id="rId_hyperlink_1144" Type="http://schemas.openxmlformats.org/officeDocument/2006/relationships/hyperlink" Target="https://old.ukr-mobil.com/steklo_displeya_samsung_g988_galaxy_s20_ultra_s_oca_plenkoj_original_black_10001057" TargetMode="External"/><Relationship Id="rId_hyperlink_1145" Type="http://schemas.openxmlformats.org/officeDocument/2006/relationships/hyperlink" Target="https://old.ukr-mobil.com/steklo_displeya_samsung_g995_galaxy_s21_s_oca_plenkoj_original_prc_10002053" TargetMode="External"/><Relationship Id="rId_hyperlink_1146" Type="http://schemas.openxmlformats.org/officeDocument/2006/relationships/hyperlink" Target="https://old.ukr-mobil.com/steklo_displeya_samsung_g996_galaxy_s21_plus_s_oca_plenkoj_original_prc_10002052" TargetMode="External"/><Relationship Id="rId_hyperlink_1147" Type="http://schemas.openxmlformats.org/officeDocument/2006/relationships/hyperlink" Target="https://old.ukr-mobil.com/steklo_displeya_samsung_g998_galaxy_s21_ultra_s_oca_plenkoj_original_prc_10002054" TargetMode="External"/><Relationship Id="rId_hyperlink_1148" Type="http://schemas.openxmlformats.org/officeDocument/2006/relationships/hyperlink" Target="https://old.ukr-mobil.com/steklo_displeya_samsung_i9082_galaxy_grand_duos_white_4119" TargetMode="External"/><Relationship Id="rId_hyperlink_1149" Type="http://schemas.openxmlformats.org/officeDocument/2006/relationships/hyperlink" Target="https://old.ukr-mobil.com/steklo_displeya_samsung_i9100_galaxy_s2_white_4111" TargetMode="External"/><Relationship Id="rId_hyperlink_1150" Type="http://schemas.openxmlformats.org/officeDocument/2006/relationships/hyperlink" Target="https://old.ukr-mobil.com/steklo_displeya_samsung_i9300_galaxy_s3_grey_4123" TargetMode="External"/><Relationship Id="rId_hyperlink_1151" Type="http://schemas.openxmlformats.org/officeDocument/2006/relationships/hyperlink" Target="https://old.ukr-mobil.com/steklo_displeya_samsung_j110_galaxy_j1_ace_duos_black_7366" TargetMode="External"/><Relationship Id="rId_hyperlink_1152" Type="http://schemas.openxmlformats.org/officeDocument/2006/relationships/hyperlink" Target="https://old.ukr-mobil.com/steklo_displeya_samsung_j110_galaxy_j1_ace_duos_gold_7368" TargetMode="External"/><Relationship Id="rId_hyperlink_1153" Type="http://schemas.openxmlformats.org/officeDocument/2006/relationships/hyperlink" Target="https://old.ukr-mobil.com/steklo_displeya_samsung_j110_galaxy_j1_ace_duos_white_7367" TargetMode="External"/><Relationship Id="rId_hyperlink_1154" Type="http://schemas.openxmlformats.org/officeDocument/2006/relationships/hyperlink" Target="https://old.ukr-mobil.com/steklo_displeya_samsung_j120_galaxy_j1_2016_white_8254" TargetMode="External"/><Relationship Id="rId_hyperlink_1155" Type="http://schemas.openxmlformats.org/officeDocument/2006/relationships/hyperlink" Target="https://old.ukr-mobil.com/steklo_displeya_samsung_j200_galaxy_j2_black_7372" TargetMode="External"/><Relationship Id="rId_hyperlink_1156" Type="http://schemas.openxmlformats.org/officeDocument/2006/relationships/hyperlink" Target="https://old.ukr-mobil.com/steklo_displeya_samsung_j200_galaxy_j2_gold_7373" TargetMode="External"/><Relationship Id="rId_hyperlink_1157" Type="http://schemas.openxmlformats.org/officeDocument/2006/relationships/hyperlink" Target="https://old.ukr-mobil.com/steklo_displeya_samsung_j200_galaxy_j2_white_7371" TargetMode="External"/><Relationship Id="rId_hyperlink_1158" Type="http://schemas.openxmlformats.org/officeDocument/2006/relationships/hyperlink" Target="https://old.ukr-mobil.com/steklo_displeya_samsung_j320_galaxy_j3_2016_black_8258" TargetMode="External"/><Relationship Id="rId_hyperlink_1159" Type="http://schemas.openxmlformats.org/officeDocument/2006/relationships/hyperlink" Target="https://old.ukr-mobil.com/steklo_displeya_samsung_j320_galaxy_j3_2016_gold_8256" TargetMode="External"/><Relationship Id="rId_hyperlink_1160" Type="http://schemas.openxmlformats.org/officeDocument/2006/relationships/hyperlink" Target="https://old.ukr-mobil.com/steklo_displeya_samsung_j330_galaxy_j3_2017_pink_10577" TargetMode="External"/><Relationship Id="rId_hyperlink_1161" Type="http://schemas.openxmlformats.org/officeDocument/2006/relationships/hyperlink" Target="https://old.ukr-mobil.com/steklo_displeya_samsung_j400_galaxy_j4_2018_pink_10573" TargetMode="External"/><Relationship Id="rId_hyperlink_1162" Type="http://schemas.openxmlformats.org/officeDocument/2006/relationships/hyperlink" Target="https://old.ukr-mobil.com/steklo_displeya_samsung_j500_galaxy_j5_black_6102" TargetMode="External"/><Relationship Id="rId_hyperlink_1163" Type="http://schemas.openxmlformats.org/officeDocument/2006/relationships/hyperlink" Target="https://old.ukr-mobil.com/steklo_displeya_samsung_j500_galaxy_j5_gold_7369" TargetMode="External"/><Relationship Id="rId_hyperlink_1164" Type="http://schemas.openxmlformats.org/officeDocument/2006/relationships/hyperlink" Target="https://old.ukr-mobil.com/steklo_displeya_samsung_j500_galaxy_j5_white_6103" TargetMode="External"/><Relationship Id="rId_hyperlink_1165" Type="http://schemas.openxmlformats.org/officeDocument/2006/relationships/hyperlink" Target="https://old.ukr-mobil.com/steklo_displeya_samsung_j510_galaxy_j5_2016_duos_gold_8208" TargetMode="External"/><Relationship Id="rId_hyperlink_1166" Type="http://schemas.openxmlformats.org/officeDocument/2006/relationships/hyperlink" Target="https://old.ukr-mobil.com/steklo_displeya_samsung_j530_galaxy_j5_2017_gold_9948" TargetMode="External"/><Relationship Id="rId_hyperlink_1167" Type="http://schemas.openxmlformats.org/officeDocument/2006/relationships/hyperlink" Target="https://old.ukr-mobil.com/steklo_displeya_samsung_j530_galaxy_j5_2017_white_9950" TargetMode="External"/><Relationship Id="rId_hyperlink_1168" Type="http://schemas.openxmlformats.org/officeDocument/2006/relationships/hyperlink" Target="https://old.ukr-mobil.com/steklo_displeya_samsung_j610_galaxy_j6_plus_2018_j415_galaxy_j4_plus_2018_black_11571" TargetMode="External"/><Relationship Id="rId_hyperlink_1169" Type="http://schemas.openxmlformats.org/officeDocument/2006/relationships/hyperlink" Target="https://old.ukr-mobil.com/steklo_displeya_samsung_j610_galaxy_j6_plus_2018_j415_galaxy_j4_plus_2018_white_10002532" TargetMode="External"/><Relationship Id="rId_hyperlink_1170" Type="http://schemas.openxmlformats.org/officeDocument/2006/relationships/hyperlink" Target="https://old.ukr-mobil.com/steklo_displeya_samsung_j700_galaxy_j7_white_6105" TargetMode="External"/><Relationship Id="rId_hyperlink_1171" Type="http://schemas.openxmlformats.org/officeDocument/2006/relationships/hyperlink" Target="https://old.ukr-mobil.com/steklo_displeya_samsung_j730_galaxy_j7_2017_black_9659" TargetMode="External"/><Relationship Id="rId_hyperlink_1172" Type="http://schemas.openxmlformats.org/officeDocument/2006/relationships/hyperlink" Target="https://old.ukr-mobil.com/steklo_displeya_samsung_j730_galaxy_j7_2017_blue_11110" TargetMode="External"/><Relationship Id="rId_hyperlink_1173" Type="http://schemas.openxmlformats.org/officeDocument/2006/relationships/hyperlink" Target="https://old.ukr-mobil.com/steklo_displeya_samsung_j730_galaxy_j7_2017_gold_9660" TargetMode="External"/><Relationship Id="rId_hyperlink_1174" Type="http://schemas.openxmlformats.org/officeDocument/2006/relationships/hyperlink" Target="https://old.ukr-mobil.com/steklo_displeya_samsung_j810_galaxy_j8_2018_black_11704" TargetMode="External"/><Relationship Id="rId_hyperlink_1175" Type="http://schemas.openxmlformats.org/officeDocument/2006/relationships/hyperlink" Target="https://old.ukr-mobil.com/steklo_displeya_samsung_m105_galaxy_m10_original_black_11428" TargetMode="External"/><Relationship Id="rId_hyperlink_1176" Type="http://schemas.openxmlformats.org/officeDocument/2006/relationships/hyperlink" Target="https://old.ukr-mobil.com/steklo_displeya_samsung_m135_galaxy_m13_s_oca_plenkoj_original_10003271" TargetMode="External"/><Relationship Id="rId_hyperlink_1177" Type="http://schemas.openxmlformats.org/officeDocument/2006/relationships/hyperlink" Target="https://old.ukr-mobil.com/steklo_displeya_samsung_m146_galaxy_m14_s_oca_plenkoj_original_10003272" TargetMode="External"/><Relationship Id="rId_hyperlink_1178" Type="http://schemas.openxmlformats.org/officeDocument/2006/relationships/hyperlink" Target="https://old.ukr-mobil.com/steklo_displeya_samsung_m205_galaxy_m20_original_black_11429" TargetMode="External"/><Relationship Id="rId_hyperlink_1179" Type="http://schemas.openxmlformats.org/officeDocument/2006/relationships/hyperlink" Target="https://old.ukr-mobil.com/steklo_displeya_samsung_m215_galaxy_m21_black_10000814" TargetMode="External"/><Relationship Id="rId_hyperlink_1180" Type="http://schemas.openxmlformats.org/officeDocument/2006/relationships/hyperlink" Target="https://old.ukr-mobil.com/steklo_displeya_samsung_m305_galaxy_m30_original_black_11914" TargetMode="External"/><Relationship Id="rId_hyperlink_1181" Type="http://schemas.openxmlformats.org/officeDocument/2006/relationships/hyperlink" Target="https://old.ukr-mobil.com/steklo_displeya_samsung_m305_galaxy_m30_m307_galaxy_m30s_m315_galaxy_m31_s_oca_plenkoj_original_10002871" TargetMode="External"/><Relationship Id="rId_hyperlink_1182" Type="http://schemas.openxmlformats.org/officeDocument/2006/relationships/hyperlink" Target="https://old.ukr-mobil.com/steklo_displeya_samsung_m526_galaxy_m52_black_10002400" TargetMode="External"/><Relationship Id="rId_hyperlink_1183" Type="http://schemas.openxmlformats.org/officeDocument/2006/relationships/hyperlink" Target="https://old.ukr-mobil.com/steklo_displeya_samsung_m536_galaxy_m53_s_oca_plenkoj_original_10003274" TargetMode="External"/><Relationship Id="rId_hyperlink_1184" Type="http://schemas.openxmlformats.org/officeDocument/2006/relationships/hyperlink" Target="https://old.ukr-mobil.com/steklo_displeya_samsung_n7000_galaxy_note_black_4115" TargetMode="External"/><Relationship Id="rId_hyperlink_1185" Type="http://schemas.openxmlformats.org/officeDocument/2006/relationships/hyperlink" Target="https://old.ukr-mobil.com/steklo_displeya_samsung_n7000_galaxy_note_white_4116" TargetMode="External"/><Relationship Id="rId_hyperlink_1186" Type="http://schemas.openxmlformats.org/officeDocument/2006/relationships/hyperlink" Target="https://old.ukr-mobil.com/steklo_displeya_samsung_n920_galaxy_note_5_original_blue_10567" TargetMode="External"/><Relationship Id="rId_hyperlink_1187" Type="http://schemas.openxmlformats.org/officeDocument/2006/relationships/hyperlink" Target="https://old.ukr-mobil.com/steklo_displeya_samsung_n920_galaxy_note_5_original_gold_10568" TargetMode="External"/><Relationship Id="rId_hyperlink_1188" Type="http://schemas.openxmlformats.org/officeDocument/2006/relationships/hyperlink" Target="https://old.ukr-mobil.com/steklo_displeya_samsung_n920_galaxy_note_5_silver_10692" TargetMode="External"/><Relationship Id="rId_hyperlink_1189" Type="http://schemas.openxmlformats.org/officeDocument/2006/relationships/hyperlink" Target="https://old.ukr-mobil.com/steklo_displeya_samsung_n950_galaxy_note_8_original_black_11920" TargetMode="External"/><Relationship Id="rId_hyperlink_1190" Type="http://schemas.openxmlformats.org/officeDocument/2006/relationships/hyperlink" Target="https://old.ukr-mobil.com/steklo_displeya_samsung_n950_galaxy_note_8_s_oca_plenkoj_original_black_11830" TargetMode="External"/><Relationship Id="rId_hyperlink_1191" Type="http://schemas.openxmlformats.org/officeDocument/2006/relationships/hyperlink" Target="https://old.ukr-mobil.com/steklo_displeya_samsung_n950_galaxy_note_8_s_oca_plenkoj_tachskrinom_original_prc_black_10001618" TargetMode="External"/><Relationship Id="rId_hyperlink_1192" Type="http://schemas.openxmlformats.org/officeDocument/2006/relationships/hyperlink" Target="https://old.ukr-mobil.com/steklo_displeya_samsung_n960_galaxy_note_9_original_black_11921" TargetMode="External"/><Relationship Id="rId_hyperlink_1193" Type="http://schemas.openxmlformats.org/officeDocument/2006/relationships/hyperlink" Target="https://old.ukr-mobil.com/steklo_displeya_samsung_n960_galaxy_note_9_s_oca_plenkoj_original_black_11829" TargetMode="External"/><Relationship Id="rId_hyperlink_1194" Type="http://schemas.openxmlformats.org/officeDocument/2006/relationships/hyperlink" Target="https://old.ukr-mobil.com/steklo_displeya_samsung_n970_galaxy_note_10_original_black_10000818" TargetMode="External"/><Relationship Id="rId_hyperlink_1195" Type="http://schemas.openxmlformats.org/officeDocument/2006/relationships/hyperlink" Target="https://old.ukr-mobil.com/steklo_displeya_samsung_n970_galaxy_note_10_s_oca_plenkoj_original_black_10001053" TargetMode="External"/><Relationship Id="rId_hyperlink_1196" Type="http://schemas.openxmlformats.org/officeDocument/2006/relationships/hyperlink" Target="https://old.ukr-mobil.com/steklo_displeya_samsung_n975_galaxy_note_10_plus_original_black_10000819" TargetMode="External"/><Relationship Id="rId_hyperlink_1197" Type="http://schemas.openxmlformats.org/officeDocument/2006/relationships/hyperlink" Target="https://old.ukr-mobil.com/steklo_displeya_samsung_n975_galaxy_note_10_plus_s_oca_plenkoj_original_black_10001054" TargetMode="External"/><Relationship Id="rId_hyperlink_1198" Type="http://schemas.openxmlformats.org/officeDocument/2006/relationships/hyperlink" Target="https://old.ukr-mobil.com/steklo_displeya_samsung_n980_galaxy_note_20_s_oca_plenkoj_original_prc_10002055" TargetMode="External"/><Relationship Id="rId_hyperlink_1199" Type="http://schemas.openxmlformats.org/officeDocument/2006/relationships/hyperlink" Target="https://old.ukr-mobil.com/steklo_displeya_samsung_n985_galaxy_note_20_ultra_s_oca_plenkoj_original_prc_10002056" TargetMode="External"/><Relationship Id="rId_hyperlink_1200" Type="http://schemas.openxmlformats.org/officeDocument/2006/relationships/hyperlink" Target="https://old.ukr-mobil.com/steklo_displeya_samsung_p610_p613_p615_p617_p619_galaxy_tab_s6_lite_s_oca_plenkoj_original_black_10004050" TargetMode="External"/><Relationship Id="rId_hyperlink_1201" Type="http://schemas.openxmlformats.org/officeDocument/2006/relationships/hyperlink" Target="https://old.ukr-mobil.com/steklo_displeya_samsung_s901_galaxy_s22_s_oca_plenkoj_original_10002874" TargetMode="External"/><Relationship Id="rId_hyperlink_1202" Type="http://schemas.openxmlformats.org/officeDocument/2006/relationships/hyperlink" Target="https://old.ukr-mobil.com/steklo_displeya_samsung_s906_galaxy_s22_plus_s_oca_plenkoj_original_10002875" TargetMode="External"/><Relationship Id="rId_hyperlink_1203" Type="http://schemas.openxmlformats.org/officeDocument/2006/relationships/hyperlink" Target="https://old.ukr-mobil.com/steklo_displeya_samsung_s911_galaxy_s23_s_oca_plenkoj_original_g_oca_pro_10004530" TargetMode="External"/><Relationship Id="rId_hyperlink_1204" Type="http://schemas.openxmlformats.org/officeDocument/2006/relationships/hyperlink" Target="https://old.ukr-mobil.com/steklo_displeya_samsung_s916_galaxy_s23_plus_s_oca_plenkoj_original_g_oca_pro_10004531" TargetMode="External"/><Relationship Id="rId_hyperlink_1205" Type="http://schemas.openxmlformats.org/officeDocument/2006/relationships/hyperlink" Target="https://old.ukr-mobil.com/steklo_displeya_samsung_t220_galaxy_tab_a7_lite_wi-fi_s_oca_plenkoj_original_black_10004048" TargetMode="External"/><Relationship Id="rId_hyperlink_1206" Type="http://schemas.openxmlformats.org/officeDocument/2006/relationships/hyperlink" Target="https://old.ukr-mobil.com/steklo_displeya_samsung_t225_galaxy_tab_a7_lite_lte_s_oca_plenkoj_original_black_10004046" TargetMode="External"/><Relationship Id="rId_hyperlink_1207" Type="http://schemas.openxmlformats.org/officeDocument/2006/relationships/hyperlink" Target="https://old.ukr-mobil.com/steklo_displeya_samsung_t225_galaxy_tab_a7_lite_lte_s_oca_plenkoj_original_white_10004047" TargetMode="External"/><Relationship Id="rId_hyperlink_1208" Type="http://schemas.openxmlformats.org/officeDocument/2006/relationships/hyperlink" Target="https://old.ukr-mobil.com/steklo_displeya_samsung_t280_galaxy_tab_a_7_0_wi-fi_black_9705" TargetMode="External"/><Relationship Id="rId_hyperlink_1209" Type="http://schemas.openxmlformats.org/officeDocument/2006/relationships/hyperlink" Target="https://old.ukr-mobil.com/steklo_displeya_samsung_t280_galaxy_tab_a_7_0_wi-fi_white_9706" TargetMode="External"/><Relationship Id="rId_hyperlink_1210" Type="http://schemas.openxmlformats.org/officeDocument/2006/relationships/hyperlink" Target="https://old.ukr-mobil.com/steklo_displeya_samsung_t285_galaxy_tab_a_7_0_3g_black_9698" TargetMode="External"/><Relationship Id="rId_hyperlink_1211" Type="http://schemas.openxmlformats.org/officeDocument/2006/relationships/hyperlink" Target="https://old.ukr-mobil.com/steklo_displeya_samsung_t285_galaxy_tab_a_7_0_3g_white_9699" TargetMode="External"/><Relationship Id="rId_hyperlink_1212" Type="http://schemas.openxmlformats.org/officeDocument/2006/relationships/hyperlink" Target="https://old.ukr-mobil.com/index.php?route=product&amp;product_id=10004734" TargetMode="External"/><Relationship Id="rId_hyperlink_1213" Type="http://schemas.openxmlformats.org/officeDocument/2006/relationships/hyperlink" Target="https://old.ukr-mobil.com/steklo_displeya_samsung_t290_galaxy_tab_a_8_0_wifi_s_oca_plenkoj_original_black_10004044" TargetMode="External"/><Relationship Id="rId_hyperlink_1214" Type="http://schemas.openxmlformats.org/officeDocument/2006/relationships/hyperlink" Target="https://old.ukr-mobil.com/steklo_displeya_samsung_t290_galaxy_tab_a_8_0_wifi_s_oca_plenkoj_original_white_10004045" TargetMode="External"/><Relationship Id="rId_hyperlink_1215" Type="http://schemas.openxmlformats.org/officeDocument/2006/relationships/hyperlink" Target="https://old.ukr-mobil.com/steklo_displeya_samsung_t500_t505_galaxy_tab_a7_10_4_s_oca_plenkoj_original_black_10004051" TargetMode="External"/><Relationship Id="rId_hyperlink_1216" Type="http://schemas.openxmlformats.org/officeDocument/2006/relationships/hyperlink" Target="https://old.ukr-mobil.com/steklo_displeya_samsung_t500_t505_galaxy_tab_a7_10_4_s_oca_plenkoj_original_white_10004052" TargetMode="External"/><Relationship Id="rId_hyperlink_1217" Type="http://schemas.openxmlformats.org/officeDocument/2006/relationships/hyperlink" Target="https://old.ukr-mobil.com/steklo_displeya_samsung_t510_galaxy_tab_a_10_1_wi-fi_t515_galaxy_tab_a_10_1_lte_black_10002912" TargetMode="External"/><Relationship Id="rId_hyperlink_1218" Type="http://schemas.openxmlformats.org/officeDocument/2006/relationships/hyperlink" Target="https://old.ukr-mobil.com/steklo_displeya_samsung_t700_galaxy_tab_s_8_4_black_9693" TargetMode="External"/><Relationship Id="rId_hyperlink_1219" Type="http://schemas.openxmlformats.org/officeDocument/2006/relationships/hyperlink" Target="https://old.ukr-mobil.com/steklo_displeya_samsung_t700_galaxy_tab_s_8_4_white_9694" TargetMode="External"/><Relationship Id="rId_hyperlink_1220" Type="http://schemas.openxmlformats.org/officeDocument/2006/relationships/hyperlink" Target="https://old.ukr-mobil.com/index.php?route=product&amp;product_id=10004735" TargetMode="External"/><Relationship Id="rId_hyperlink_1221" Type="http://schemas.openxmlformats.org/officeDocument/2006/relationships/hyperlink" Target="https://old.ukr-mobil.com/index.php?route=product&amp;product_id=10004733" TargetMode="External"/><Relationship Id="rId_hyperlink_1222" Type="http://schemas.openxmlformats.org/officeDocument/2006/relationships/hyperlink" Target="https://old.ukr-mobil.com/steklo_displeya_samsung_t800_galaxy_tab_s_10_5_t805_galaxy_tab_s_10_5_lte_s_oca_plenkoj_original_black_10004041" TargetMode="External"/><Relationship Id="rId_hyperlink_1223" Type="http://schemas.openxmlformats.org/officeDocument/2006/relationships/hyperlink" Target="https://old.ukr-mobil.com/steklo_displeya_samsung_t800_galaxy_tab_s_10_5_t805_galaxy_tab_s_10_5_lte_s_oca_plenkoj_original_white_10004042" TargetMode="External"/><Relationship Id="rId_hyperlink_1224" Type="http://schemas.openxmlformats.org/officeDocument/2006/relationships/hyperlink" Target="https://old.ukr-mobil.com/steklo_displeya_samsung_t810_galaxy_tab_s2_t815_galaxy_tab_s2_lte_s_oca_plenkoj_original_black_10004039" TargetMode="External"/><Relationship Id="rId_hyperlink_1225" Type="http://schemas.openxmlformats.org/officeDocument/2006/relationships/hyperlink" Target="https://old.ukr-mobil.com/steklo_displeya_samsung_t810_galaxy_tab_s2_t815_galaxy_tab_s2_lte_s_oca_plenkoj_original_white_10004040" TargetMode="External"/><Relationship Id="rId_hyperlink_1226" Type="http://schemas.openxmlformats.org/officeDocument/2006/relationships/hyperlink" Target="https://old.ukr-mobil.com/steklo_displeya_samsung_t870_galaxy_tab_s7_wi-fi_t875_t876_galaxy_tab_s7_lte_5g_s_oca_plenkoj_original_black_10004510" TargetMode="External"/><Relationship Id="rId_hyperlink_1227" Type="http://schemas.openxmlformats.org/officeDocument/2006/relationships/hyperlink" Target="https://old.ukr-mobil.com/steklo_displeya_samsung_t970_galaxy_tab_s7_plus_wi-fi_t975_t976_galaxy_tab_s7_plus_lte_5g_s_oca_plenkoj_original_black_10004511" TargetMode="External"/><Relationship Id="rId_hyperlink_1228" Type="http://schemas.openxmlformats.org/officeDocument/2006/relationships/hyperlink" Target="https://old.ukr-mobil.com/steklo_displeya_samsung_x200_galaxy_tab_a8_wi-fi_x205_galaxy_tab_a8_lte_s_oca_plenkoj_original_black_10004038" TargetMode="External"/><Relationship Id="rId_hyperlink_1229" Type="http://schemas.openxmlformats.org/officeDocument/2006/relationships/hyperlink" Target="https://old.ukr-mobil.com/steklo_displeya_samsung_x700_x706_galaxy_tab_s8_original_black_10002640" TargetMode="External"/><Relationship Id="rId_hyperlink_1230" Type="http://schemas.openxmlformats.org/officeDocument/2006/relationships/hyperlink" Target="https://old.ukr-mobil.com/steklo_displeya_sony_f3111_xperia_xa_f3112_xperia_xa_dual_f3113_xperia_xa_f3115_xperia_xa_f3116_xperia_xa_dual_gold_11437" TargetMode="External"/><Relationship Id="rId_hyperlink_1231" Type="http://schemas.openxmlformats.org/officeDocument/2006/relationships/hyperlink" Target="https://old.ukr-mobil.com/steklo_displeya_sony_f3111_xperia_xa_f3112_xperia_xa_dual_f3113_xperia_xa_f3115_xperia_xa_f3116_xperia_xa_dual_pink_11438" TargetMode="External"/><Relationship Id="rId_hyperlink_1232" Type="http://schemas.openxmlformats.org/officeDocument/2006/relationships/hyperlink" Target="https://old.ukr-mobil.com/steklo_displeya_tecno_camon_12_cc7_s_oca_plenkoj_original_10002864" TargetMode="External"/><Relationship Id="rId_hyperlink_1233" Type="http://schemas.openxmlformats.org/officeDocument/2006/relationships/hyperlink" Target="https://old.ukr-mobil.com/steklo_displeya_tecno_camon_12_air_cc6_s_oca_plenkoj_original_10002863" TargetMode="External"/><Relationship Id="rId_hyperlink_1234" Type="http://schemas.openxmlformats.org/officeDocument/2006/relationships/hyperlink" Target="https://old.ukr-mobil.com/steklo_displeya_tecno_camon_15_cd7_camon_15_air_spark_5_spark_5_pro_kd7_s_oca_plenkoj_original_10002881" TargetMode="External"/><Relationship Id="rId_hyperlink_1235" Type="http://schemas.openxmlformats.org/officeDocument/2006/relationships/hyperlink" Target="https://old.ukr-mobil.com/index.php?route=product&amp;product_id=10004728" TargetMode="External"/><Relationship Id="rId_hyperlink_1236" Type="http://schemas.openxmlformats.org/officeDocument/2006/relationships/hyperlink" Target="https://old.ukr-mobil.com/steklo_displeya_tecno_camon_18_ch6n_camon_18p_ch7_10002399" TargetMode="External"/><Relationship Id="rId_hyperlink_1237" Type="http://schemas.openxmlformats.org/officeDocument/2006/relationships/hyperlink" Target="https://old.ukr-mobil.com/steklo_displeya_tecno_camon_18_ch6n_camon_18p_ch7_s_oca_plenkoj_original_10002883" TargetMode="External"/><Relationship Id="rId_hyperlink_1238" Type="http://schemas.openxmlformats.org/officeDocument/2006/relationships/hyperlink" Target="https://old.ukr-mobil.com/steklo_displeya_tecno_pova_2_le7n_10002397" TargetMode="External"/><Relationship Id="rId_hyperlink_1239" Type="http://schemas.openxmlformats.org/officeDocument/2006/relationships/hyperlink" Target="https://old.ukr-mobil.com/steklo_displeya_tecno_pova_2_le7n_s_oca_plenkoj_original_10002884" TargetMode="External"/><Relationship Id="rId_hyperlink_1240" Type="http://schemas.openxmlformats.org/officeDocument/2006/relationships/hyperlink" Target="https://old.ukr-mobil.com/steklo_displeya_tecno_spark_5_air_kd6_s_oca_plenkoj_original_10003212" TargetMode="External"/><Relationship Id="rId_hyperlink_1241" Type="http://schemas.openxmlformats.org/officeDocument/2006/relationships/hyperlink" Target="https://old.ukr-mobil.com/steklo_displeya_tecno_spark_6_ke7_camon_16_se_ce7j_10002396" TargetMode="External"/><Relationship Id="rId_hyperlink_1242" Type="http://schemas.openxmlformats.org/officeDocument/2006/relationships/hyperlink" Target="https://old.ukr-mobil.com/steklo_displeya_tecno_spark_6_ke7_camon_16_se_ce7j_s_oca_plenkoj_original_10002862" TargetMode="External"/><Relationship Id="rId_hyperlink_1243" Type="http://schemas.openxmlformats.org/officeDocument/2006/relationships/hyperlink" Target="https://old.ukr-mobil.com/steklo_displeya_tecno_spark_6_go_ke5_10002398" TargetMode="External"/><Relationship Id="rId_hyperlink_1244" Type="http://schemas.openxmlformats.org/officeDocument/2006/relationships/hyperlink" Target="https://old.ukr-mobil.com/steklo_displeya_tecno_spark_6_go_ke5_s_oca_plenkoj_original_10002886" TargetMode="External"/><Relationship Id="rId_hyperlink_1245" Type="http://schemas.openxmlformats.org/officeDocument/2006/relationships/hyperlink" Target="https://old.ukr-mobil.com/steklo_displeya_tecno_spark_7_kf6n_10002394" TargetMode="External"/><Relationship Id="rId_hyperlink_1246" Type="http://schemas.openxmlformats.org/officeDocument/2006/relationships/hyperlink" Target="https://old.ukr-mobil.com/steklo_displeya_tecno_spark_7_go_kf6m_10002395" TargetMode="External"/><Relationship Id="rId_hyperlink_1247" Type="http://schemas.openxmlformats.org/officeDocument/2006/relationships/hyperlink" Target="https://old.ukr-mobil.com/steklo_displeya_tecno_spark_7_kf6n_tecno_spark_8c_kg5n_s_oca_plenkoj_original_10002885" TargetMode="External"/><Relationship Id="rId_hyperlink_1248" Type="http://schemas.openxmlformats.org/officeDocument/2006/relationships/hyperlink" Target="https://old.ukr-mobil.com/steklo_displeya_vivo_y15_y17_black_10001219" TargetMode="External"/><Relationship Id="rId_hyperlink_1249" Type="http://schemas.openxmlformats.org/officeDocument/2006/relationships/hyperlink" Target="https://old.ukr-mobil.com/steklo_displeya_vivo_y11_2019_y12_2019_y15_2019_y17_2019_s_oca_plenkoj_original_10002826" TargetMode="External"/><Relationship Id="rId_hyperlink_1250" Type="http://schemas.openxmlformats.org/officeDocument/2006/relationships/hyperlink" Target="https://old.ukr-mobil.com/steklo_displeya_vivo_y19_s_oca_plenkoj_original_10002827" TargetMode="External"/><Relationship Id="rId_hyperlink_1251" Type="http://schemas.openxmlformats.org/officeDocument/2006/relationships/hyperlink" Target="https://old.ukr-mobil.com/steklo_displeya_vivo_y20_y30_black_10001218" TargetMode="External"/><Relationship Id="rId_hyperlink_1252" Type="http://schemas.openxmlformats.org/officeDocument/2006/relationships/hyperlink" Target="https://old.ukr-mobil.com/steklo_displeya_vivo_y21_v2111_y21s_v2110_s_plenkoj_oca_original_10002876" TargetMode="External"/><Relationship Id="rId_hyperlink_1253" Type="http://schemas.openxmlformats.org/officeDocument/2006/relationships/hyperlink" Target="https://old.ukr-mobil.com/steklo_displeya_vivo_y31_v2036_y31s_v2054a_s_oca_plenkoj_original_10002828" TargetMode="External"/><Relationship Id="rId_hyperlink_1254" Type="http://schemas.openxmlformats.org/officeDocument/2006/relationships/hyperlink" Target="https://old.ukr-mobil.com/steklo_displeya_vivo_y53s_v2111a_v2058_s_plenkoj_oca_original_black_10002815" TargetMode="External"/><Relationship Id="rId_hyperlink_1255" Type="http://schemas.openxmlformats.org/officeDocument/2006/relationships/hyperlink" Target="https://old.ukr-mobil.com/steklo_displeya_xiaomi_11_lite_mi_11_lite_5g_s_oca_plenkoj_original_10002856" TargetMode="External"/><Relationship Id="rId_hyperlink_1256" Type="http://schemas.openxmlformats.org/officeDocument/2006/relationships/hyperlink" Target="https://old.ukr-mobil.com/steklo_displeya_xiaomi_11t_11t_pro_s_oca_plenkoj_original_10002857" TargetMode="External"/><Relationship Id="rId_hyperlink_1257" Type="http://schemas.openxmlformats.org/officeDocument/2006/relationships/hyperlink" Target="https://old.ukr-mobil.com/steklo_displeya_xiaomi_12_lite_s_oca_plenkoj_original_10003275" TargetMode="External"/><Relationship Id="rId_hyperlink_1258" Type="http://schemas.openxmlformats.org/officeDocument/2006/relationships/hyperlink" Target="https://old.ukr-mobil.com/steklo_displeya_xiaomi_12t_s_oca_plenkoj_original_10003276" TargetMode="External"/><Relationship Id="rId_hyperlink_1259" Type="http://schemas.openxmlformats.org/officeDocument/2006/relationships/hyperlink" Target="https://old.ukr-mobil.com/index.php?route=product&amp;product_id=10004769" TargetMode="External"/><Relationship Id="rId_hyperlink_1260" Type="http://schemas.openxmlformats.org/officeDocument/2006/relationships/hyperlink" Target="https://old.ukr-mobil.com/index.php?route=product&amp;product_id=10004766" TargetMode="External"/><Relationship Id="rId_hyperlink_1261" Type="http://schemas.openxmlformats.org/officeDocument/2006/relationships/hyperlink" Target="https://old.ukr-mobil.com/index.php?route=product&amp;product_id=10004768" TargetMode="External"/><Relationship Id="rId_hyperlink_1262" Type="http://schemas.openxmlformats.org/officeDocument/2006/relationships/hyperlink" Target="https://old.ukr-mobil.com/steklo_displeya_xiaomi_cc9e_mi_a3_black_10000342" TargetMode="External"/><Relationship Id="rId_hyperlink_1263" Type="http://schemas.openxmlformats.org/officeDocument/2006/relationships/hyperlink" Target="https://old.ukr-mobil.com/steklo_displeya_xiaomi_mi_10_mi_10_pro_black_10001040" TargetMode="External"/><Relationship Id="rId_hyperlink_1264" Type="http://schemas.openxmlformats.org/officeDocument/2006/relationships/hyperlink" Target="https://old.ukr-mobil.com/steklo_displeya_xiaomi_mi_10_mi_10_pro_s_oca_plenkoj_original_black_10003012" TargetMode="External"/><Relationship Id="rId_hyperlink_1265" Type="http://schemas.openxmlformats.org/officeDocument/2006/relationships/hyperlink" Target="https://old.ukr-mobil.com/steklo_displeya_xiaomi_mi_10t_lite_poco_x3_original_black_10001626" TargetMode="External"/><Relationship Id="rId_hyperlink_1266" Type="http://schemas.openxmlformats.org/officeDocument/2006/relationships/hyperlink" Target="https://old.ukr-mobil.com/steklo_displeya_xiaomi_mi_10t_lite_poco_x3_poco_x3_pro_s_oca_plenkoj_original_10002844" TargetMode="External"/><Relationship Id="rId_hyperlink_1267" Type="http://schemas.openxmlformats.org/officeDocument/2006/relationships/hyperlink" Target="https://old.ukr-mobil.com/steklo_displeya_xiaomi_mi_11_original_black_10001624" TargetMode="External"/><Relationship Id="rId_hyperlink_1268" Type="http://schemas.openxmlformats.org/officeDocument/2006/relationships/hyperlink" Target="https://old.ukr-mobil.com/steklo_displeya_xiaomi_mi_11_mi_11_pro_mi_11_ultra_s_oca_plenkoj_original_10002903" TargetMode="External"/><Relationship Id="rId_hyperlink_1269" Type="http://schemas.openxmlformats.org/officeDocument/2006/relationships/hyperlink" Target="https://old.ukr-mobil.com/steklo_displeya_xiaomi_mi_11i_poco_f3_redmi_k40_original_black_10001936" TargetMode="External"/><Relationship Id="rId_hyperlink_1270" Type="http://schemas.openxmlformats.org/officeDocument/2006/relationships/hyperlink" Target="https://old.ukr-mobil.com/steklo_displeya_xiaomi_mi_11i_mi_11x_black_shark_4_poco_f3_poco_f4_redmi_k40_s_oca_plenkoj_original_10002858" TargetMode="External"/><Relationship Id="rId_hyperlink_1271" Type="http://schemas.openxmlformats.org/officeDocument/2006/relationships/hyperlink" Target="https://old.ukr-mobil.com/steklo_displeya_xiaomi_mi_8_lite_black_11320" TargetMode="External"/><Relationship Id="rId_hyperlink_1272" Type="http://schemas.openxmlformats.org/officeDocument/2006/relationships/hyperlink" Target="https://old.ukr-mobil.com/steklo_displeya_xiaomi_mi_8_lite_white_11321" TargetMode="External"/><Relationship Id="rId_hyperlink_1273" Type="http://schemas.openxmlformats.org/officeDocument/2006/relationships/hyperlink" Target="https://old.ukr-mobil.com/steklo_displeya_xiaomi_mi_8_lite_s_oca_plenkoj_original_10002846" TargetMode="External"/><Relationship Id="rId_hyperlink_1274" Type="http://schemas.openxmlformats.org/officeDocument/2006/relationships/hyperlink" Target="https://old.ukr-mobil.com/steklo_displeya_xiaomi_mi_8_pro_black_10000825" TargetMode="External"/><Relationship Id="rId_hyperlink_1275" Type="http://schemas.openxmlformats.org/officeDocument/2006/relationships/hyperlink" Target="https://old.ukr-mobil.com/steklo_displeya_xiaomi_mi_8_se_black_10000826" TargetMode="External"/><Relationship Id="rId_hyperlink_1276" Type="http://schemas.openxmlformats.org/officeDocument/2006/relationships/hyperlink" Target="https://old.ukr-mobil.com/steklo_displeya_xiaomi_mi_8_black_11318" TargetMode="External"/><Relationship Id="rId_hyperlink_1277" Type="http://schemas.openxmlformats.org/officeDocument/2006/relationships/hyperlink" Target="https://old.ukr-mobil.com/steklo_displeya_xiaomi_mi_8_white_11319" TargetMode="External"/><Relationship Id="rId_hyperlink_1278" Type="http://schemas.openxmlformats.org/officeDocument/2006/relationships/hyperlink" Target="https://old.ukr-mobil.com/steklo_displeya_xiaomi_mi_8_s_oca_plenkoj_original_10002845" TargetMode="External"/><Relationship Id="rId_hyperlink_1279" Type="http://schemas.openxmlformats.org/officeDocument/2006/relationships/hyperlink" Target="https://old.ukr-mobil.com/steklo_displeya_xiaomi_mi_9_lite_black_10000343" TargetMode="External"/><Relationship Id="rId_hyperlink_1280" Type="http://schemas.openxmlformats.org/officeDocument/2006/relationships/hyperlink" Target="https://old.ukr-mobil.com/steklo_displeya_xiaomi_mi_9_lite_s_oca_plenkoj_original_10002848" TargetMode="External"/><Relationship Id="rId_hyperlink_1281" Type="http://schemas.openxmlformats.org/officeDocument/2006/relationships/hyperlink" Target="https://old.ukr-mobil.com/steklo_displeya_xiaomi_mi_9_se_black_10000824" TargetMode="External"/><Relationship Id="rId_hyperlink_1282" Type="http://schemas.openxmlformats.org/officeDocument/2006/relationships/hyperlink" Target="https://old.ukr-mobil.com/steklo_displeya_xiaomi_mi9_original_black_11808" TargetMode="External"/><Relationship Id="rId_hyperlink_1283" Type="http://schemas.openxmlformats.org/officeDocument/2006/relationships/hyperlink" Target="https://old.ukr-mobil.com/steklo_displeya_xiaomi_mi_9_s_oca_plenkoj_original_10002847" TargetMode="External"/><Relationship Id="rId_hyperlink_1284" Type="http://schemas.openxmlformats.org/officeDocument/2006/relationships/hyperlink" Target="https://old.ukr-mobil.com/steklo_displeya_xiaomi_mi_9t_mi_9t_pro_redmi_k20_redmi_k20_pro_original_black_10000344" TargetMode="External"/><Relationship Id="rId_hyperlink_1285" Type="http://schemas.openxmlformats.org/officeDocument/2006/relationships/hyperlink" Target="https://old.ukr-mobil.com/steklo_displeya_xiaomi_mi_9t_mi_9t_pro_redmi_k20_redmi_k20_pro_s_oca_plenkoj_original_10001965" TargetMode="External"/><Relationship Id="rId_hyperlink_1286" Type="http://schemas.openxmlformats.org/officeDocument/2006/relationships/hyperlink" Target="https://old.ukr-mobil.com/steklo_displeya_xiaomi_mi_a2_redmi_6x_black_11322" TargetMode="External"/><Relationship Id="rId_hyperlink_1287" Type="http://schemas.openxmlformats.org/officeDocument/2006/relationships/hyperlink" Target="https://old.ukr-mobil.com/steklo_displeya_xiaomi_mi_a2_redmi_6x_original_s_oleofobnym_pokrytiem_black_11365" TargetMode="External"/><Relationship Id="rId_hyperlink_1288" Type="http://schemas.openxmlformats.org/officeDocument/2006/relationships/hyperlink" Target="https://old.ukr-mobil.com/steklo_displeya_xiaomi_mi_a2_redmi_6x_original_s_oleofobnym_pokrytiem_white_11366" TargetMode="External"/><Relationship Id="rId_hyperlink_1289" Type="http://schemas.openxmlformats.org/officeDocument/2006/relationships/hyperlink" Target="https://old.ukr-mobil.com/steklo_displeya_xiaomi_mi_a2_redmi_6x_white_11323" TargetMode="External"/><Relationship Id="rId_hyperlink_1290" Type="http://schemas.openxmlformats.org/officeDocument/2006/relationships/hyperlink" Target="https://old.ukr-mobil.com/steklo_displeya_xiaomi_mi_mix_2_black_10528" TargetMode="External"/><Relationship Id="rId_hyperlink_1291" Type="http://schemas.openxmlformats.org/officeDocument/2006/relationships/hyperlink" Target="https://old.ukr-mobil.com/steklo_displeya_xiaomi_mi_mix_2_original_s_oleofobnym_pokrytiem_white_11364" TargetMode="External"/><Relationship Id="rId_hyperlink_1292" Type="http://schemas.openxmlformats.org/officeDocument/2006/relationships/hyperlink" Target="https://old.ukr-mobil.com/steklo_displeya_xiaomi_mi_mix_2_white_10529" TargetMode="External"/><Relationship Id="rId_hyperlink_1293" Type="http://schemas.openxmlformats.org/officeDocument/2006/relationships/hyperlink" Target="https://old.ukr-mobil.com/steklo_displeya_xiaomi_mi_mix_3_black_11363" TargetMode="External"/><Relationship Id="rId_hyperlink_1294" Type="http://schemas.openxmlformats.org/officeDocument/2006/relationships/hyperlink" Target="https://old.ukr-mobil.com/steklo_displeya_xiaomi_mi_mix_black_10526" TargetMode="External"/><Relationship Id="rId_hyperlink_1295" Type="http://schemas.openxmlformats.org/officeDocument/2006/relationships/hyperlink" Target="https://old.ukr-mobil.com/steklo_displeya_xiaomi_mi_mix_white_10527" TargetMode="External"/><Relationship Id="rId_hyperlink_1296" Type="http://schemas.openxmlformats.org/officeDocument/2006/relationships/hyperlink" Target="https://old.ukr-mobil.com/steklo_displeya_xiaomi_mi_note_10_mi_note_10_pro_black_10001039" TargetMode="External"/><Relationship Id="rId_hyperlink_1297" Type="http://schemas.openxmlformats.org/officeDocument/2006/relationships/hyperlink" Target="https://old.ukr-mobil.com/steklo_displeya_xiaomi_mi_note_10_mi_note_10_lite_mi_note_10_pro_s_oca_plenkoj_original_black_10002729" TargetMode="External"/><Relationship Id="rId_hyperlink_1298" Type="http://schemas.openxmlformats.org/officeDocument/2006/relationships/hyperlink" Target="https://old.ukr-mobil.com/steklo_displeya_xiaomi_mi_note_2_black_11058" TargetMode="External"/><Relationship Id="rId_hyperlink_1299" Type="http://schemas.openxmlformats.org/officeDocument/2006/relationships/hyperlink" Target="https://old.ukr-mobil.com/index.php?route=product&amp;product_id=10004748" TargetMode="External"/><Relationship Id="rId_hyperlink_1300" Type="http://schemas.openxmlformats.org/officeDocument/2006/relationships/hyperlink" Target="https://old.ukr-mobil.com/steklo_displeya_xiaomi_mi_pad_5_mi_pad_5_pro_s_oca_plenkoj_original_10003894" TargetMode="External"/><Relationship Id="rId_hyperlink_1301" Type="http://schemas.openxmlformats.org/officeDocument/2006/relationships/hyperlink" Target="https://old.ukr-mobil.com/index.php?route=product&amp;product_id=10004732" TargetMode="External"/><Relationship Id="rId_hyperlink_1302" Type="http://schemas.openxmlformats.org/officeDocument/2006/relationships/hyperlink" Target="https://old.ukr-mobil.com/steklo_displeya_xiaomi_pocophone_f1_black_11367" TargetMode="External"/><Relationship Id="rId_hyperlink_1303" Type="http://schemas.openxmlformats.org/officeDocument/2006/relationships/hyperlink" Target="https://old.ukr-mobil.com/steklo_displeya_xiaomi_redmi_10a_original_black_10002536" TargetMode="External"/><Relationship Id="rId_hyperlink_1304" Type="http://schemas.openxmlformats.org/officeDocument/2006/relationships/hyperlink" Target="https://old.ukr-mobil.com/steklo_displeya_xiaomi_redmi_10c_s_oca_plenkoj_original_10002859" TargetMode="External"/><Relationship Id="rId_hyperlink_1305" Type="http://schemas.openxmlformats.org/officeDocument/2006/relationships/hyperlink" Target="https://old.ukr-mobil.com/index.php?route=product&amp;product_id=10004765" TargetMode="External"/><Relationship Id="rId_hyperlink_1306" Type="http://schemas.openxmlformats.org/officeDocument/2006/relationships/hyperlink" Target="https://old.ukr-mobil.com/steklo_displeya_xiaomi_redmi_12c_s_oca_plenkoj_original_10003268" TargetMode="External"/><Relationship Id="rId_hyperlink_1307" Type="http://schemas.openxmlformats.org/officeDocument/2006/relationships/hyperlink" Target="https://old.ukr-mobil.com/steklo_displeya_xiaomi_redmi_5_plus_original_black_11357" TargetMode="External"/><Relationship Id="rId_hyperlink_1308" Type="http://schemas.openxmlformats.org/officeDocument/2006/relationships/hyperlink" Target="https://old.ukr-mobil.com/steklo_displeya_xiaomi_redmi_5_original_white_11356" TargetMode="External"/><Relationship Id="rId_hyperlink_1309" Type="http://schemas.openxmlformats.org/officeDocument/2006/relationships/hyperlink" Target="https://old.ukr-mobil.com/steklo_displeya_xiaomi_redmi_5_white_10531" TargetMode="External"/><Relationship Id="rId_hyperlink_1310" Type="http://schemas.openxmlformats.org/officeDocument/2006/relationships/hyperlink" Target="https://old.ukr-mobil.com/steklo_displeya_xiaomi_redmi_8_black_10000339" TargetMode="External"/><Relationship Id="rId_hyperlink_1311" Type="http://schemas.openxmlformats.org/officeDocument/2006/relationships/hyperlink" Target="https://old.ukr-mobil.com/steklo_displeya_xiaomi_redmi_8_redmi_8a_s_oca_plenkoj_original_10002854" TargetMode="External"/><Relationship Id="rId_hyperlink_1312" Type="http://schemas.openxmlformats.org/officeDocument/2006/relationships/hyperlink" Target="https://old.ukr-mobil.com/steklo_displeya_xiaomi_redmi_9_black_10001038" TargetMode="External"/><Relationship Id="rId_hyperlink_1313" Type="http://schemas.openxmlformats.org/officeDocument/2006/relationships/hyperlink" Target="https://old.ukr-mobil.com/steklo_displeya_xiaomi_redmi_9_s_oca_plenkoj_original_10002730" TargetMode="External"/><Relationship Id="rId_hyperlink_1314" Type="http://schemas.openxmlformats.org/officeDocument/2006/relationships/hyperlink" Target="https://old.ukr-mobil.com/steklo_displeya_xiaomi_redmi_9a_redmi_9c_black_10001521" TargetMode="External"/><Relationship Id="rId_hyperlink_1315" Type="http://schemas.openxmlformats.org/officeDocument/2006/relationships/hyperlink" Target="https://old.ukr-mobil.com/steklo_displeya_xiaomi_redmi_9a_redmi_9c_redmi_10a_poco_c3_s_oca_plenkoj_original_10002297" TargetMode="External"/><Relationship Id="rId_hyperlink_1316" Type="http://schemas.openxmlformats.org/officeDocument/2006/relationships/hyperlink" Target="https://old.ukr-mobil.com/steklo_displeya_xiaomi_poco_m3_original_black_10001625" TargetMode="External"/><Relationship Id="rId_hyperlink_1317" Type="http://schemas.openxmlformats.org/officeDocument/2006/relationships/hyperlink" Target="https://old.ukr-mobil.com/steklo_displeya_xiaomi_redmi_9t_redmi_9_power_poco_m3_s_oca_plenkoj_original_10002727" TargetMode="External"/><Relationship Id="rId_hyperlink_1318" Type="http://schemas.openxmlformats.org/officeDocument/2006/relationships/hyperlink" Target="https://old.ukr-mobil.com/steklo_displeya_xiaomi_mi_10t_redmi_k30_pocophone_x2_black_10000790" TargetMode="External"/><Relationship Id="rId_hyperlink_1319" Type="http://schemas.openxmlformats.org/officeDocument/2006/relationships/hyperlink" Target="https://old.ukr-mobil.com/steklo_displeya_xiaomi_redmi_note_10_4g_original_black_10001935" TargetMode="External"/><Relationship Id="rId_hyperlink_1320" Type="http://schemas.openxmlformats.org/officeDocument/2006/relationships/hyperlink" Target="https://old.ukr-mobil.com/steklo_displeya_xiaomi_redmi_note_10_4g_redmi_note_10s_s_oca_plenkoj_original_10002728" TargetMode="External"/><Relationship Id="rId_hyperlink_1321" Type="http://schemas.openxmlformats.org/officeDocument/2006/relationships/hyperlink" Target="https://old.ukr-mobil.com/steklo_displeya_xiaomi_redmi_note_10_4g_redmi_note_10s_original_black_10001833" TargetMode="External"/><Relationship Id="rId_hyperlink_1322" Type="http://schemas.openxmlformats.org/officeDocument/2006/relationships/hyperlink" Target="https://old.ukr-mobil.com/steklo_displeya_xiaomi_redmi_note_10_5g_poco_m3_pro_poco_m3_pro_5g_s_oca_plenkoj_original_black_10002565" TargetMode="External"/><Relationship Id="rId_hyperlink_1323" Type="http://schemas.openxmlformats.org/officeDocument/2006/relationships/hyperlink" Target="https://old.ukr-mobil.com/steklo_displeya_xiaomi_redmi_note_10_pro_original_black_10001937" TargetMode="External"/><Relationship Id="rId_hyperlink_1324" Type="http://schemas.openxmlformats.org/officeDocument/2006/relationships/hyperlink" Target="https://old.ukr-mobil.com/index.php?route=product&amp;product_id=10004762" TargetMode="External"/><Relationship Id="rId_hyperlink_1325" Type="http://schemas.openxmlformats.org/officeDocument/2006/relationships/hyperlink" Target="https://old.ukr-mobil.com/steklo_displeya_xiaomi_redmi_note_10_pro_s_oca_plenkoj_original_10002731" TargetMode="External"/><Relationship Id="rId_hyperlink_1326" Type="http://schemas.openxmlformats.org/officeDocument/2006/relationships/hyperlink" Target="https://old.ukr-mobil.com/steklo_displeya_xiaomi_redmi_note_11_global_version_redmi_note_11s_s_oca_plenkoj_original_black_10002732" TargetMode="External"/><Relationship Id="rId_hyperlink_1327" Type="http://schemas.openxmlformats.org/officeDocument/2006/relationships/hyperlink" Target="https://old.ukr-mobil.com/steklo_displeya_xiaomi_redmi_note_11_5g_poco_m4_pro_5g_s_oca_plenkoj_original_10002855" TargetMode="External"/><Relationship Id="rId_hyperlink_1328" Type="http://schemas.openxmlformats.org/officeDocument/2006/relationships/hyperlink" Target="https://old.ukr-mobil.com/steklo_displeya_xiaomi_redmi_note_11_pro_redmi_note_11_pro_5g_poco_x4_pro_5g_s_oca_plenkoj_original_10003267" TargetMode="External"/><Relationship Id="rId_hyperlink_1329" Type="http://schemas.openxmlformats.org/officeDocument/2006/relationships/hyperlink" Target="https://old.ukr-mobil.com/steklo_displeya_xiaomi_redmi_note_11e_redmi_10_5g_poco_m4_5g_poco_m5_s_oca_plenkoj_original_g_oca_pro_10004529" TargetMode="External"/><Relationship Id="rId_hyperlink_1330" Type="http://schemas.openxmlformats.org/officeDocument/2006/relationships/hyperlink" Target="https://old.ukr-mobil.com/steklo_displeya_xiaomi_redmi_note_12_4g_redmi_note_12_5g_poco_x5_s_oca_plenkoj_original_g_oca_pro_10004532" TargetMode="External"/><Relationship Id="rId_hyperlink_1331" Type="http://schemas.openxmlformats.org/officeDocument/2006/relationships/hyperlink" Target="https://old.ukr-mobil.com/steklo_displeya_xiaomi_redmi_note_12_pro_redmi_note_12_pro_plus_poco_x5_pro_s_oca_plenkoj_original_g_oca_pro_10004528" TargetMode="External"/><Relationship Id="rId_hyperlink_1332" Type="http://schemas.openxmlformats.org/officeDocument/2006/relationships/hyperlink" Target="https://old.ukr-mobil.com/steklo_displeya_xiaomi_redmi_note_12_s_oca_plenkoj_original_10003266" TargetMode="External"/><Relationship Id="rId_hyperlink_1333" Type="http://schemas.openxmlformats.org/officeDocument/2006/relationships/hyperlink" Target="https://old.ukr-mobil.com/steklo_displeya_xiaomi_redmi_note_5_redmi_note_5_pro_black_10532" TargetMode="External"/><Relationship Id="rId_hyperlink_1334" Type="http://schemas.openxmlformats.org/officeDocument/2006/relationships/hyperlink" Target="https://old.ukr-mobil.com/steklo_displeya_xiaomi_redmi_note_5_redmi_note_5_pro_white_10533" TargetMode="External"/><Relationship Id="rId_hyperlink_1335" Type="http://schemas.openxmlformats.org/officeDocument/2006/relationships/hyperlink" Target="https://old.ukr-mobil.com/steklo_displeya_xiaomi_redmi_note_5_redmi_note_5_pro_s_oleofobnym_pokrytiem_black_11361" TargetMode="External"/><Relationship Id="rId_hyperlink_1336" Type="http://schemas.openxmlformats.org/officeDocument/2006/relationships/hyperlink" Target="https://old.ukr-mobil.com/steklo_displeya_xiaomi_redmi_note_5_redmi_note_5_pro_s_oleofobnym_pokrytiem_white_11362" TargetMode="External"/><Relationship Id="rId_hyperlink_1337" Type="http://schemas.openxmlformats.org/officeDocument/2006/relationships/hyperlink" Target="https://old.ukr-mobil.com/steklo_displeya_xiaomi_redmi_note_6_pro_original_black_11359" TargetMode="External"/><Relationship Id="rId_hyperlink_1338" Type="http://schemas.openxmlformats.org/officeDocument/2006/relationships/hyperlink" Target="https://old.ukr-mobil.com/steklo_displeya_xiaomi_redmi_note_6_pro_original_white_11360" TargetMode="External"/><Relationship Id="rId_hyperlink_1339" Type="http://schemas.openxmlformats.org/officeDocument/2006/relationships/hyperlink" Target="https://old.ukr-mobil.com/steklo_displeya_xiaomi_redmi_note_6_original_s_oleofobnym_pokrytiem_black_11369" TargetMode="External"/><Relationship Id="rId_hyperlink_1340" Type="http://schemas.openxmlformats.org/officeDocument/2006/relationships/hyperlink" Target="https://old.ukr-mobil.com/steklo_displeya_xiaomi_redmi_note_6_original_s_oleofobnym_pokrytiem_white_11370" TargetMode="External"/><Relationship Id="rId_hyperlink_1341" Type="http://schemas.openxmlformats.org/officeDocument/2006/relationships/hyperlink" Target="https://old.ukr-mobil.com/steklo_displeya_xiaomi_redmi_note_7_original_black_11354" TargetMode="External"/><Relationship Id="rId_hyperlink_1342" Type="http://schemas.openxmlformats.org/officeDocument/2006/relationships/hyperlink" Target="https://old.ukr-mobil.com/steklo_displeya_xiaomi_redmi_note_7_redmi_note_7_pro_s_oca_plenkoj_original_10002849" TargetMode="External"/><Relationship Id="rId_hyperlink_1343" Type="http://schemas.openxmlformats.org/officeDocument/2006/relationships/hyperlink" Target="https://old.ukr-mobil.com/steklo_displeya_xiaomi_redmi_note_8_pro_black_10000341" TargetMode="External"/><Relationship Id="rId_hyperlink_1344" Type="http://schemas.openxmlformats.org/officeDocument/2006/relationships/hyperlink" Target="https://old.ukr-mobil.com/steklo_displeya_xiaomi_redmi_note_8_pro_s_oca_plenkoj_original_10002852" TargetMode="External"/><Relationship Id="rId_hyperlink_1345" Type="http://schemas.openxmlformats.org/officeDocument/2006/relationships/hyperlink" Target="https://old.ukr-mobil.com/steklo_displeya_xiaomi_redmi_note_8_black_10000340" TargetMode="External"/><Relationship Id="rId_hyperlink_1346" Type="http://schemas.openxmlformats.org/officeDocument/2006/relationships/hyperlink" Target="https://old.ukr-mobil.com/steklo_displeya_xiaomi_redmi_note_8_s_oca_plenkoj_original_10002851" TargetMode="External"/><Relationship Id="rId_hyperlink_1347" Type="http://schemas.openxmlformats.org/officeDocument/2006/relationships/hyperlink" Target="https://old.ukr-mobil.com/steklo_displeya_xiaomi_redmi_note_8t_original_black_10000587" TargetMode="External"/><Relationship Id="rId_hyperlink_1348" Type="http://schemas.openxmlformats.org/officeDocument/2006/relationships/hyperlink" Target="https://old.ukr-mobil.com/steklo_displeya_xiaomi_redmi_note_9_pro_redmi_note_9s_black_10000967" TargetMode="External"/><Relationship Id="rId_hyperlink_1349" Type="http://schemas.openxmlformats.org/officeDocument/2006/relationships/hyperlink" Target="https://old.ukr-mobil.com/steklo_displeya_xiaomi_redmi_note_9_pro_redmi_note_9s_s_oca_plenkoj_original_10002850" TargetMode="External"/><Relationship Id="rId_hyperlink_1350" Type="http://schemas.openxmlformats.org/officeDocument/2006/relationships/hyperlink" Target="https://old.ukr-mobil.com/steklo_displeya_xiaomi_redmi_note_9_black_10000823" TargetMode="External"/><Relationship Id="rId_hyperlink_1351" Type="http://schemas.openxmlformats.org/officeDocument/2006/relationships/hyperlink" Target="https://old.ukr-mobil.com/steklo_displeya_xiaomi_redmi_note_9_redmi_10x_4g_s_oca_plenkoj_original_10002853" TargetMode="External"/><Relationship Id="rId_hyperlink_1352" Type="http://schemas.openxmlformats.org/officeDocument/2006/relationships/hyperlink" Target="https://old.ukr-mobil.com/komplekt_press_form_dlya_displeya_samsung_g973_galaxy_s10_dlya_presov_tipa_triangel_m103_12259" TargetMode="External"/><Relationship Id="rId_hyperlink_1353" Type="http://schemas.openxmlformats.org/officeDocument/2006/relationships/hyperlink" Target="https://old.ukr-mobil.com/komplekt_press_form_dlya_displeya_samsung_g975_galaxy_s10_plus_dlya_presov_tipa_triangel_m103_12261" TargetMode="External"/><Relationship Id="rId_hyperlink_1354" Type="http://schemas.openxmlformats.org/officeDocument/2006/relationships/hyperlink" Target="https://old.ukr-mobil.com/komplekt_press_form_dlya_displeya_samsung_g980_galaxy_s20_dlya_presov_tipa_triangel_m103_10001017" TargetMode="External"/><Relationship Id="rId_hyperlink_1355" Type="http://schemas.openxmlformats.org/officeDocument/2006/relationships/hyperlink" Target="https://old.ukr-mobil.com/komplekt_press_form_dlya_displeya_samsung_g985_galaxy_s20_plus_dlya_presov_tipa_triangel_m103_10001018" TargetMode="External"/><Relationship Id="rId_hyperlink_1356" Type="http://schemas.openxmlformats.org/officeDocument/2006/relationships/hyperlink" Target="https://old.ukr-mobil.com/komplekt_press_form_dlya_displeya_samsung_g988_galaxy_s20_ultra_dlya_presov_tipa_triangel_m103_10001016" TargetMode="External"/><Relationship Id="rId_hyperlink_1357" Type="http://schemas.openxmlformats.org/officeDocument/2006/relationships/hyperlink" Target="https://old.ukr-mobil.com/komplekt_press_form_dlya_displeya_samsung_n950_galaxy_note_8_dlya_presov_tipa_triangel_m103_12260" TargetMode="External"/><Relationship Id="rId_hyperlink_1358" Type="http://schemas.openxmlformats.org/officeDocument/2006/relationships/hyperlink" Target="https://old.ukr-mobil.com/komplekt_press_form_dlya_displeya_samsung_n960_galaxy_note_9_dlya_presov_tipa_triangel_m103_12258" TargetMode="External"/><Relationship Id="rId_hyperlink_1359" Type="http://schemas.openxmlformats.org/officeDocument/2006/relationships/hyperlink" Target="https://old.ukr-mobil.com/komplekt_press_form_dlya_displeya_samsung_n970_galaxy_note_10_dlya_presov_tipa_triangel_m103_10001019" TargetMode="External"/><Relationship Id="rId_hyperlink_1360" Type="http://schemas.openxmlformats.org/officeDocument/2006/relationships/hyperlink" Target="https://old.ukr-mobil.com/komplekt_press_form_dlya_displeya_samsung_n975_galaxy_note_10_plus_dlya_presov_tipa_triangel_m103_10001020" TargetMode="External"/><Relationship Id="rId_hyperlink_1361" Type="http://schemas.openxmlformats.org/officeDocument/2006/relationships/hyperlink" Target="https://old.ukr-mobil.com/komplekt_pres_form_dlya_laminacii_oca_dlya_laminacii_v_vakuumnyh_mashinah_samsung_galaxy_s8_g950_alyuminievo-silikonovyj_9552" TargetMode="External"/><Relationship Id="rId_hyperlink_1362" Type="http://schemas.openxmlformats.org/officeDocument/2006/relationships/hyperlink" Target="https://old.ukr-mobil.com/pozicionnaya_forma_displejnogo_modulya_pri_sklejke_iphone_5_5s_5c_se_alyuminievyj_4309" TargetMode="External"/><Relationship Id="rId_hyperlink_1363" Type="http://schemas.openxmlformats.org/officeDocument/2006/relationships/hyperlink" Target="https://old.ukr-mobil.com/pozicionnaya_forma_displeya_iphone_7_plus_8469" TargetMode="External"/><Relationship Id="rId_hyperlink_1364" Type="http://schemas.openxmlformats.org/officeDocument/2006/relationships/hyperlink" Target="https://old.ukr-mobil.com/pozicionnaya_forma_displeya_iphone_x_xs_alyuminievaya_12274" TargetMode="External"/><Relationship Id="rId_hyperlink_1365" Type="http://schemas.openxmlformats.org/officeDocument/2006/relationships/hyperlink" Target="https://old.ukr-mobil.com/pozicionnaya_forma_displeya_iphone_xs_max_alyuminievaya_12275" TargetMode="External"/><Relationship Id="rId_hyperlink_1366" Type="http://schemas.openxmlformats.org/officeDocument/2006/relationships/hyperlink" Target="https://old.ukr-mobil.com/pozicionnaya_forma_displeya_samsung_a205_galaxy_a20_2019_alyuminievaya_12270" TargetMode="External"/><Relationship Id="rId_hyperlink_1367" Type="http://schemas.openxmlformats.org/officeDocument/2006/relationships/hyperlink" Target="https://old.ukr-mobil.com/pozicionnaya_forma_displeya_samsung_a305_galaxy_a30_2019_alyuminievaya_12271" TargetMode="External"/><Relationship Id="rId_hyperlink_1368" Type="http://schemas.openxmlformats.org/officeDocument/2006/relationships/hyperlink" Target="https://old.ukr-mobil.com/pozicionnaya_forma_displeya_samsung_a405_galaxy_a40_2019_alyuminievaya_12272" TargetMode="External"/><Relationship Id="rId_hyperlink_1369" Type="http://schemas.openxmlformats.org/officeDocument/2006/relationships/hyperlink" Target="https://old.ukr-mobil.com/pozicionnaya_forma_displeya_samsung_a505_galaxy_a50_2019_alyuminievaya_12273" TargetMode="External"/><Relationship Id="rId_hyperlink_1370" Type="http://schemas.openxmlformats.org/officeDocument/2006/relationships/hyperlink" Target="https://old.ukr-mobil.com/pozicionnaya_forma_displeya_samsung_galaxy_s6_edge_g925_alyuminievyj_7694" TargetMode="External"/><Relationship Id="rId_hyperlink_1371" Type="http://schemas.openxmlformats.org/officeDocument/2006/relationships/hyperlink" Target="https://old.ukr-mobil.com/pozicionnaya_forma_displeya_samsung_galaxy_s7_edge_g935_alyuminievyj_7693" TargetMode="External"/><Relationship Id="rId_hyperlink_1372" Type="http://schemas.openxmlformats.org/officeDocument/2006/relationships/hyperlink" Target="https://old.ukr-mobil.com/pozicionnaya_forma_displeya_pri_sklejke_c_steklom_ramkoj_iphone_5_5s_dlya_vakuumnyh_mashin_9542" TargetMode="External"/><Relationship Id="rId_hyperlink_1373" Type="http://schemas.openxmlformats.org/officeDocument/2006/relationships/hyperlink" Target="https://old.ukr-mobil.com/pozicionnaya_forma_displeya_pri_sklejke_c_steklom_ramkoj_iphone_6_plus_6s_plus_dlya_vakuumnyh_mashin_10000397" TargetMode="External"/><Relationship Id="rId_hyperlink_1374" Type="http://schemas.openxmlformats.org/officeDocument/2006/relationships/hyperlink" Target="https://old.ukr-mobil.com/pozicionnaya_forma_displeya_pri_sklejke_c_steklom_ramkoj_iphone_6_6s_dlya_vakuumnyh_mashin_9544" TargetMode="External"/><Relationship Id="rId_hyperlink_1375" Type="http://schemas.openxmlformats.org/officeDocument/2006/relationships/hyperlink" Target="https://old.ukr-mobil.com/pozicionnaya_forma_displeya_pri_sklejke_c_steklom_ramkoj_iphone_7_dlya_vakuumnyh_mashin_9548" TargetMode="External"/><Relationship Id="rId_hyperlink_1376" Type="http://schemas.openxmlformats.org/officeDocument/2006/relationships/hyperlink" Target="https://old.ukr-mobil.com/pozicionnaya_forma_displeya_pri_sklejke_c_steklom_ramkoj_iphone_7_plus_dlya_vakuumnyh_mashin_9549" TargetMode="External"/><Relationship Id="rId_hyperlink_1377" Type="http://schemas.openxmlformats.org/officeDocument/2006/relationships/hyperlink" Target="https://old.ukr-mobil.com/pozicionnaya_forma_displeya_pri_sklejke_c_steklom_ramkoj_iphone_8_dlya_vakuumnyh_mashin_9550" TargetMode="External"/><Relationship Id="rId_hyperlink_1378" Type="http://schemas.openxmlformats.org/officeDocument/2006/relationships/hyperlink" Target="https://old.ukr-mobil.com/pozicionnaya_forma_displeya_pri_sklejke_c_steklom_ramkoj_iphone_8_plus_dlya_vakuumnyh_mashin_9551" TargetMode="External"/><Relationship Id="rId_hyperlink_1379" Type="http://schemas.openxmlformats.org/officeDocument/2006/relationships/hyperlink" Target="https://old.ukr-mobil.com/pozicionnaya_forma_displeya_pri_sklejke_iphone_6_5745" TargetMode="External"/><Relationship Id="rId_hyperlink_1380" Type="http://schemas.openxmlformats.org/officeDocument/2006/relationships/hyperlink" Target="https://old.ukr-mobil.com/pozicionnaya_forma_displeya_pri_sklejke_iphone_6_plus_5746" TargetMode="External"/><Relationship Id="rId_hyperlink_1381" Type="http://schemas.openxmlformats.org/officeDocument/2006/relationships/hyperlink" Target="https://old.ukr-mobil.com/pozicionnaya_forma_displeya_pri_sklejke_iphone_6s_alyuminievyj_6822" TargetMode="External"/><Relationship Id="rId_hyperlink_1382" Type="http://schemas.openxmlformats.org/officeDocument/2006/relationships/hyperlink" Target="https://old.ukr-mobil.com/pozicionnaya_forma_displeya_pri_sklejke_iphone_6s_plus_alyuminievyj_6823" TargetMode="External"/><Relationship Id="rId_hyperlink_1383" Type="http://schemas.openxmlformats.org/officeDocument/2006/relationships/hyperlink" Target="https://old.ukr-mobil.com/pozicionnaya_forma_displeya_pri_sklejke_samsung_galaxy_a3_a300_alyuminievyj_7396" TargetMode="External"/><Relationship Id="rId_hyperlink_1384" Type="http://schemas.openxmlformats.org/officeDocument/2006/relationships/hyperlink" Target="https://old.ukr-mobil.com/pozicionnaya_forma_displeya_pri_sklejke_samsung_galaxy_a5_a500_alyuminievyj_7397" TargetMode="External"/><Relationship Id="rId_hyperlink_1385" Type="http://schemas.openxmlformats.org/officeDocument/2006/relationships/hyperlink" Target="https://old.ukr-mobil.com/pozicionnaya_forma_displeya_pri_sklejke_samsung_galaxy_a7_a700_alyuminievyj_7398" TargetMode="External"/><Relationship Id="rId_hyperlink_1386" Type="http://schemas.openxmlformats.org/officeDocument/2006/relationships/hyperlink" Target="https://old.ukr-mobil.com/pozicionnaya_forma_displeya_pri_sklejke_samsung_galaxy_j2_j200_alyuminievyj_7399" TargetMode="External"/><Relationship Id="rId_hyperlink_1387" Type="http://schemas.openxmlformats.org/officeDocument/2006/relationships/hyperlink" Target="https://old.ukr-mobil.com/pozicionnaya_forma_displeya_pri_sklejke_samsung_galaxy_s3_i9300_4311" TargetMode="External"/><Relationship Id="rId_hyperlink_1388" Type="http://schemas.openxmlformats.org/officeDocument/2006/relationships/hyperlink" Target="https://old.ukr-mobil.com/pozicionnaya_forma_displeya_pri_sklejke_samsung_galaxy_s3_i9300_alyuminievyj_6826" TargetMode="External"/><Relationship Id="rId_hyperlink_1389" Type="http://schemas.openxmlformats.org/officeDocument/2006/relationships/hyperlink" Target="https://old.ukr-mobil.com/pozicionnaya_forma_displeya_pri_sklejke_samsung_galaxy_s4_i9500_alyuminievyj_4312" TargetMode="External"/><Relationship Id="rId_hyperlink_1390" Type="http://schemas.openxmlformats.org/officeDocument/2006/relationships/hyperlink" Target="https://old.ukr-mobil.com/pozicionnaya_forma_displeya_pri_sklejke_samsung_galaxy_s6_g920_alyuminievyj_7685" TargetMode="External"/><Relationship Id="rId_hyperlink_1391" Type="http://schemas.openxmlformats.org/officeDocument/2006/relationships/hyperlink" Target="https://old.ukr-mobil.com/pozicionnaya_forma_displeya_pri_sklejke_samsung_galaxy_s7_g930_alyuminievyj_7687" TargetMode="External"/><Relationship Id="rId_hyperlink_1392" Type="http://schemas.openxmlformats.org/officeDocument/2006/relationships/hyperlink" Target="https://old.ukr-mobil.com/pozicionnaya_forma_displeya_pri_sklejke_samsung_i8190_4443" TargetMode="External"/><Relationship Id="rId_hyperlink_1393" Type="http://schemas.openxmlformats.org/officeDocument/2006/relationships/hyperlink" Target="https://old.ukr-mobil.com/pozicionnaya_forma_displeya_pri_sklejke_samsung_i9100_4310" TargetMode="External"/><Relationship Id="rId_hyperlink_1394" Type="http://schemas.openxmlformats.org/officeDocument/2006/relationships/hyperlink" Target="https://old.ukr-mobil.com/pozicionnaya_forma_displeya_pri_sklejke_samsung_n7000_4441" TargetMode="External"/><Relationship Id="rId_hyperlink_1395" Type="http://schemas.openxmlformats.org/officeDocument/2006/relationships/hyperlink" Target="https://old.ukr-mobil.com/pozicionnaya_forma_displeya_pri_sklejke_sony_xperia_z1_c6902_alyuminievyj_7689" TargetMode="External"/><Relationship Id="rId_hyperlink_1396" Type="http://schemas.openxmlformats.org/officeDocument/2006/relationships/hyperlink" Target="https://old.ukr-mobil.com/pozicionnaya_forma_displeya_pri_sklejke_sony_xperia_z2_d6502_alyuminievyj_7690" TargetMode="External"/><Relationship Id="rId_hyperlink_1397" Type="http://schemas.openxmlformats.org/officeDocument/2006/relationships/hyperlink" Target="https://old.ukr-mobil.com/pozicionnaya_forma_displeya_pri_sklejke_sony_xperia_z3_d6602_alyuminievyj_7691" TargetMode="External"/><Relationship Id="rId_hyperlink_1398" Type="http://schemas.openxmlformats.org/officeDocument/2006/relationships/hyperlink" Target="https://old.ukr-mobil.com/pozicionnaya_forma_displeya_pri_sklejke_sony_xperia_z5_e6603_alyuminievyj_7692" TargetMode="External"/><Relationship Id="rId_hyperlink_1399" Type="http://schemas.openxmlformats.org/officeDocument/2006/relationships/hyperlink" Target="https://old.ukr-mobil.com/pres_forma_dlya_laminacii_oca_dlya_laminacii_v_vakuumnyh_mashinah_samsung_galaxy_s6_edge_g925_alyuminievo-silikonovyj_8464" TargetMode="External"/><Relationship Id="rId_hyperlink_1400" Type="http://schemas.openxmlformats.org/officeDocument/2006/relationships/hyperlink" Target="https://old.ukr-mobil.com/pres_forma_dlya_laminacii_oca_dlya_laminacii_v_vakuumnyh_mashinah_samsung_galaxy_s7_edge_g935_alyuminievo-silikonovyj_8465" TargetMode="External"/><Relationship Id="rId_hyperlink_1401" Type="http://schemas.openxmlformats.org/officeDocument/2006/relationships/hyperlink" Target="https://old.ukr-mobil.com/forma_dlya_displeya_s_ramkoj_samsung_g935_galaxy_s7_edge_12269" TargetMode="External"/><Relationship Id="rId_hyperlink_1402" Type="http://schemas.openxmlformats.org/officeDocument/2006/relationships/hyperlink" Target="https://old.ukr-mobil.com/forma_dlya_displeya_s_ramkoj_samsung_g950_galaxy_s8_12264" TargetMode="External"/><Relationship Id="rId_hyperlink_1403" Type="http://schemas.openxmlformats.org/officeDocument/2006/relationships/hyperlink" Target="https://old.ukr-mobil.com/forma_dlya_displeya_s_ramkoj_samsung_g955_galaxy_s8_plus_12265" TargetMode="External"/><Relationship Id="rId_hyperlink_1404" Type="http://schemas.openxmlformats.org/officeDocument/2006/relationships/hyperlink" Target="https://old.ukr-mobil.com/forma_dlya_displeya_s_ramkoj_samsung_g960_galaxy_s9_12267" TargetMode="External"/><Relationship Id="rId_hyperlink_1405" Type="http://schemas.openxmlformats.org/officeDocument/2006/relationships/hyperlink" Target="https://old.ukr-mobil.com/forma_dlya_displeya_s_ramkoj_samsung_g965_galaxy_s9_plus_12268" TargetMode="External"/><Relationship Id="rId_hyperlink_1406" Type="http://schemas.openxmlformats.org/officeDocument/2006/relationships/hyperlink" Target="https://old.ukr-mobil.com/forma_dlya_displeya_s_ramkoj_samsung_n950_galaxy_note_8_12263" TargetMode="External"/><Relationship Id="rId_hyperlink_1407" Type="http://schemas.openxmlformats.org/officeDocument/2006/relationships/hyperlink" Target="https://old.ukr-mobil.com/forma_dlya_displeya_s_ramkoj_samsung_n960_galaxy_note_9_12266" TargetMode="External"/><Relationship Id="rId_hyperlink_1408" Type="http://schemas.openxmlformats.org/officeDocument/2006/relationships/hyperlink" Target="https://old.ukr-mobil.com/forma_dlya_displejnogo_modulya_i_ramki_iphone_7_dlya_ustanovki_ramki_v_mashinah_5in1_8467" TargetMode="External"/><Relationship Id="rId_hyperlink_1409" Type="http://schemas.openxmlformats.org/officeDocument/2006/relationships/hyperlink" Target="https://old.ukr-mobil.com/forma_dlya_displejnogo_modulya_i_ramki_iphone_7_plus_dlya_ustanovki_ramki_v_mashinah_5in1_8468" TargetMode="External"/><Relationship Id="rId_hyperlink_1410" Type="http://schemas.openxmlformats.org/officeDocument/2006/relationships/hyperlink" Target="https://old.ukr-mobil.com/akkumulyator_dlya_fpv_drona_6s2p_8000mah_lishen_lr2170la_21700_10005520" TargetMode="External"/><Relationship Id="rId_hyperlink_1411" Type="http://schemas.openxmlformats.org/officeDocument/2006/relationships/hyperlink" Target="https://old.ukr-mobil.com/index.php?route=product&amp;product_id=10005926" TargetMode="External"/><Relationship Id="rId_hyperlink_1412" Type="http://schemas.openxmlformats.org/officeDocument/2006/relationships/hyperlink" Target="https://old.ukr-mobil.com/index.php?route=product&amp;product_id=10005716" TargetMode="External"/><Relationship Id="rId_hyperlink_1413" Type="http://schemas.openxmlformats.org/officeDocument/2006/relationships/hyperlink" Target="https://old.ukr-mobil.com/index.php?route=product&amp;product_id=10006058" TargetMode="External"/><Relationship Id="rId_hyperlink_1414" Type="http://schemas.openxmlformats.org/officeDocument/2006/relationships/hyperlink" Target="https://old.ukr-mobil.com/akkumulyator_dlya_dji_mavic_2_mavic_2_pro_3850_mah_59_29_wh_10004352" TargetMode="External"/><Relationship Id="rId_hyperlink_1415" Type="http://schemas.openxmlformats.org/officeDocument/2006/relationships/hyperlink" Target="https://old.ukr-mobil.com/akkumulyator_dlya_dji_mavic_3_mavic_3_pro_5000_mah_77_wh_10004350" TargetMode="External"/><Relationship Id="rId_hyperlink_1416" Type="http://schemas.openxmlformats.org/officeDocument/2006/relationships/hyperlink" Target="https://old.ukr-mobil.com/index.php?route=product&amp;product_id=10004584" TargetMode="External"/><Relationship Id="rId_hyperlink_1417" Type="http://schemas.openxmlformats.org/officeDocument/2006/relationships/hyperlink" Target="https://old.ukr-mobil.com/akkumulyator_dlya_dji_mavic_mini_2500_mah_18_wh_10004354" TargetMode="External"/><Relationship Id="rId_hyperlink_1418" Type="http://schemas.openxmlformats.org/officeDocument/2006/relationships/hyperlink" Target="https://old.ukr-mobil.com/akkumulyator_dlya_dji_mini_2_2400_mah_18_48_wh_10003312" TargetMode="External"/><Relationship Id="rId_hyperlink_1419" Type="http://schemas.openxmlformats.org/officeDocument/2006/relationships/hyperlink" Target="https://old.ukr-mobil.com/akkumulyator_dlya_dji_mini_3_3850_mah_28_41_wh_10004353" TargetMode="External"/><Relationship Id="rId_hyperlink_1420" Type="http://schemas.openxmlformats.org/officeDocument/2006/relationships/hyperlink" Target="https://old.ukr-mobil.com/akkumulyator_dlya_dji_phantom_4_5870_mah_89_2_wh_10004351" TargetMode="External"/><Relationship Id="rId_hyperlink_1421" Type="http://schemas.openxmlformats.org/officeDocument/2006/relationships/hyperlink" Target="https://old.ukr-mobil.com/index.php?route=product&amp;product_id=10004962" TargetMode="External"/><Relationship Id="rId_hyperlink_1422" Type="http://schemas.openxmlformats.org/officeDocument/2006/relationships/hyperlink" Target="https://old.ukr-mobil.com/antenna_dlya_video_peredatchika_fpv_5_mini_rhcp_5_8g_2_8_dbi_150_mm_sma_10004776" TargetMode="External"/><Relationship Id="rId_hyperlink_1423" Type="http://schemas.openxmlformats.org/officeDocument/2006/relationships/hyperlink" Target="https://old.ukr-mobil.com/index.php?route=product&amp;product_id=10006043" TargetMode="External"/><Relationship Id="rId_hyperlink_1424" Type="http://schemas.openxmlformats.org/officeDocument/2006/relationships/hyperlink" Target="https://old.ukr-mobil.com/index.php?route=product&amp;product_id=10006044" TargetMode="External"/><Relationship Id="rId_hyperlink_1425" Type="http://schemas.openxmlformats.org/officeDocument/2006/relationships/hyperlink" Target="https://old.ukr-mobil.com/index.php?route=product&amp;product_id=10006042" TargetMode="External"/><Relationship Id="rId_hyperlink_1426" Type="http://schemas.openxmlformats.org/officeDocument/2006/relationships/hyperlink" Target="https://old.ukr-mobil.com/antenna_dlya_video_peredatchika_fpv_akk_5_8g_4_5_dbi_160_mm_sma_10005082" TargetMode="External"/><Relationship Id="rId_hyperlink_1427" Type="http://schemas.openxmlformats.org/officeDocument/2006/relationships/hyperlink" Target="https://old.ukr-mobil.com/antenna_dlya_video_peredatchika_fpv_akk_5_8g_3_dbi_160_mm_sma_10005047" TargetMode="External"/><Relationship Id="rId_hyperlink_1428" Type="http://schemas.openxmlformats.org/officeDocument/2006/relationships/hyperlink" Target="https://old.ukr-mobil.com/antenna_dlya_video_peredatchika_fpv_bullet_rhcp_5_8g_3_5_dbi_150_mm_sma_10005551" TargetMode="External"/><Relationship Id="rId_hyperlink_1429" Type="http://schemas.openxmlformats.org/officeDocument/2006/relationships/hyperlink" Target="https://old.ukr-mobil.com/index.php?route=product&amp;product_id=10005847" TargetMode="External"/><Relationship Id="rId_hyperlink_1430" Type="http://schemas.openxmlformats.org/officeDocument/2006/relationships/hyperlink" Target="https://old.ukr-mobil.com/index.php?route=product&amp;product_id=10005848" TargetMode="External"/><Relationship Id="rId_hyperlink_1431" Type="http://schemas.openxmlformats.org/officeDocument/2006/relationships/hyperlink" Target="https://old.ukr-mobil.com/antenna_dlya_video_peredatchika_fpv_foxeer_pagoda_pro_rhcp_5_8g_3_dbi_150_mm_sma_10005550" TargetMode="External"/><Relationship Id="rId_hyperlink_1432" Type="http://schemas.openxmlformats.org/officeDocument/2006/relationships/hyperlink" Target="https://old.ukr-mobil.com/index.php?route=product&amp;product_id=10006193" TargetMode="External"/><Relationship Id="rId_hyperlink_1433" Type="http://schemas.openxmlformats.org/officeDocument/2006/relationships/hyperlink" Target="https://old.ukr-mobil.com/antenna_dlya_video_peredatchika_fpv_iflight_albatross_v2_rhcp_4_9g_2_68_dbi_150_mm_sma_10005578" TargetMode="External"/><Relationship Id="rId_hyperlink_1434" Type="http://schemas.openxmlformats.org/officeDocument/2006/relationships/hyperlink" Target="https://old.ukr-mobil.com/index.php?route=product&amp;product_id=10006217" TargetMode="External"/><Relationship Id="rId_hyperlink_1435" Type="http://schemas.openxmlformats.org/officeDocument/2006/relationships/hyperlink" Target="https://old.ukr-mobil.com/index.php?route=product&amp;product_id=10006233" TargetMode="External"/><Relationship Id="rId_hyperlink_1436" Type="http://schemas.openxmlformats.org/officeDocument/2006/relationships/hyperlink" Target="https://old.ukr-mobil.com/index.php?route=product&amp;product_id=10004654" TargetMode="External"/><Relationship Id="rId_hyperlink_1437" Type="http://schemas.openxmlformats.org/officeDocument/2006/relationships/hyperlink" Target="https://old.ukr-mobil.com/index.php?route=product&amp;product_id=10004655" TargetMode="External"/><Relationship Id="rId_hyperlink_1438" Type="http://schemas.openxmlformats.org/officeDocument/2006/relationships/hyperlink" Target="https://old.ukr-mobil.com/antenna_dlya_video_peredatchika_fpv_rush_cherry_ii_rhcp_5_8g_150_mm_sma_10005605" TargetMode="External"/><Relationship Id="rId_hyperlink_1439" Type="http://schemas.openxmlformats.org/officeDocument/2006/relationships/hyperlink" Target="https://old.ukr-mobil.com/antenna_dlya_video_peredatchika_fpv_rush_cherry_rhcp_5_8g_160_mm_sma_10005604" TargetMode="External"/><Relationship Id="rId_hyperlink_1440" Type="http://schemas.openxmlformats.org/officeDocument/2006/relationships/hyperlink" Target="https://old.ukr-mobil.com/antenna_dlya_video_peredatchika_fpv_rhcp_1_3g_1_9_dbi_150_mm_sma_10005545" TargetMode="External"/><Relationship Id="rId_hyperlink_1441" Type="http://schemas.openxmlformats.org/officeDocument/2006/relationships/hyperlink" Target="https://old.ukr-mobil.com/index.php?route=product&amp;product_id=10005787" TargetMode="External"/><Relationship Id="rId_hyperlink_1442" Type="http://schemas.openxmlformats.org/officeDocument/2006/relationships/hyperlink" Target="https://old.ukr-mobil.com/video_peredatchik_solar_5_8_ghz_40_kanalov_25_400_800_1500_2500mw_10004966" TargetMode="External"/><Relationship Id="rId_hyperlink_1443" Type="http://schemas.openxmlformats.org/officeDocument/2006/relationships/hyperlink" Target="https://old.ukr-mobil.com/index.php?route=product&amp;product_id=10005691" TargetMode="External"/><Relationship Id="rId_hyperlink_1444" Type="http://schemas.openxmlformats.org/officeDocument/2006/relationships/hyperlink" Target="https://old.ukr-mobil.com/videoperedatchik_akk_fx2_dominator_new_version_vtx_25_250_500_1000_2000_mw_5_8_ghz_10005591" TargetMode="External"/><Relationship Id="rId_hyperlink_1445" Type="http://schemas.openxmlformats.org/officeDocument/2006/relationships/hyperlink" Target="https://old.ukr-mobil.com/video_peredatchik_akk_fx2_dominator_vtx_250_500_1000_2000_mw_5_8_ghz_10004596" TargetMode="External"/><Relationship Id="rId_hyperlink_1446" Type="http://schemas.openxmlformats.org/officeDocument/2006/relationships/hyperlink" Target="https://old.ukr-mobil.com/video_peredatchik_akk_race_ranger_200_400_800_1600_mw_5_8_ghz_na_40_kanalov_10004770" TargetMode="External"/><Relationship Id="rId_hyperlink_1447" Type="http://schemas.openxmlformats.org/officeDocument/2006/relationships/hyperlink" Target="https://old.ukr-mobil.com/videoperedatchik_akk_ultra_long_range_new_version_vtx_25_250_500_1000_2000_3000_mw_5_8_ghz_na_80_kanalov_10005641" TargetMode="External"/><Relationship Id="rId_hyperlink_1448" Type="http://schemas.openxmlformats.org/officeDocument/2006/relationships/hyperlink" Target="https://old.ukr-mobil.com/video_peredatchik_akk_ultra_long_range_250_500_1000_2000_3000mw_5_8g_37_kanalov_10004791" TargetMode="External"/><Relationship Id="rId_hyperlink_1449" Type="http://schemas.openxmlformats.org/officeDocument/2006/relationships/hyperlink" Target="https://old.ukr-mobil.com/index.php?route=product&amp;product_id=10005919" TargetMode="External"/><Relationship Id="rId_hyperlink_1450" Type="http://schemas.openxmlformats.org/officeDocument/2006/relationships/hyperlink" Target="https://old.ukr-mobil.com/index.php?route=product&amp;product_id=10006109" TargetMode="External"/><Relationship Id="rId_hyperlink_1451" Type="http://schemas.openxmlformats.org/officeDocument/2006/relationships/hyperlink" Target="https://old.ukr-mobil.com/video_peredatchik_foxeer_reaper_extreme_v2_50mw_200mw_500mw_1500mw_2500mw_5_8_ghz_na_72_kanala_10005523" TargetMode="External"/><Relationship Id="rId_hyperlink_1452" Type="http://schemas.openxmlformats.org/officeDocument/2006/relationships/hyperlink" Target="https://old.ukr-mobil.com/index.php?route=product&amp;product_id=10006189" TargetMode="External"/><Relationship Id="rId_hyperlink_1453" Type="http://schemas.openxmlformats.org/officeDocument/2006/relationships/hyperlink" Target="https://old.ukr-mobil.com/index.php?route=product&amp;product_id=10006188" TargetMode="External"/><Relationship Id="rId_hyperlink_1454" Type="http://schemas.openxmlformats.org/officeDocument/2006/relationships/hyperlink" Target="https://old.ukr-mobil.com/index.php?route=product&amp;product_id=10006187" TargetMode="External"/><Relationship Id="rId_hyperlink_1455" Type="http://schemas.openxmlformats.org/officeDocument/2006/relationships/hyperlink" Target="https://old.ukr-mobil.com/index.php?route=product&amp;product_id=10006186" TargetMode="External"/><Relationship Id="rId_hyperlink_1456" Type="http://schemas.openxmlformats.org/officeDocument/2006/relationships/hyperlink" Target="https://old.ukr-mobil.com/index.php?route=product&amp;product_id=10006216" TargetMode="External"/><Relationship Id="rId_hyperlink_1457" Type="http://schemas.openxmlformats.org/officeDocument/2006/relationships/hyperlink" Target="https://old.ukr-mobil.com/video_peredatchik_iflight_blitz_whoop_4_9g_2_5w_pit_250_400_1000_2500_mw_na_8_kanalov_10005463" TargetMode="External"/><Relationship Id="rId_hyperlink_1458" Type="http://schemas.openxmlformats.org/officeDocument/2006/relationships/hyperlink" Target="https://old.ukr-mobil.com/index.php?route=product&amp;product_id=10006194" TargetMode="External"/><Relationship Id="rId_hyperlink_1459" Type="http://schemas.openxmlformats.org/officeDocument/2006/relationships/hyperlink" Target="https://old.ukr-mobil.com/index.php?route=product&amp;product_id=10006195" TargetMode="External"/><Relationship Id="rId_hyperlink_1460" Type="http://schemas.openxmlformats.org/officeDocument/2006/relationships/hyperlink" Target="https://old.ukr-mobil.com/video_peredatchik_rush_tank_solo_5_8g_vtx_25_400_800_1600_mw_10004586" TargetMode="External"/><Relationship Id="rId_hyperlink_1461" Type="http://schemas.openxmlformats.org/officeDocument/2006/relationships/hyperlink" Target="https://old.ukr-mobil.com/index.php?route=product&amp;product_id=10005928" TargetMode="External"/><Relationship Id="rId_hyperlink_1462" Type="http://schemas.openxmlformats.org/officeDocument/2006/relationships/hyperlink" Target="https://old.ukr-mobil.com/video_peredatchik_sologood_25_400_800_1500_2500mw_5_8g_na_40_kanalov_10005120" TargetMode="External"/><Relationship Id="rId_hyperlink_1463" Type="http://schemas.openxmlformats.org/officeDocument/2006/relationships/hyperlink" Target="https://old.ukr-mobil.com/index.php?route=product&amp;product_id=10005766" TargetMode="External"/><Relationship Id="rId_hyperlink_1464" Type="http://schemas.openxmlformats.org/officeDocument/2006/relationships/hyperlink" Target="https://old.ukr-mobil.com/index.php?route=product&amp;product_id=10005647" TargetMode="External"/><Relationship Id="rId_hyperlink_1465" Type="http://schemas.openxmlformats.org/officeDocument/2006/relationships/hyperlink" Target="https://old.ukr-mobil.com/index.php?route=product&amp;product_id=10006045" TargetMode="External"/><Relationship Id="rId_hyperlink_1466" Type="http://schemas.openxmlformats.org/officeDocument/2006/relationships/hyperlink" Target="https://old.ukr-mobil.com/index.php?route=product&amp;product_id=10006190" TargetMode="External"/><Relationship Id="rId_hyperlink_1467" Type="http://schemas.openxmlformats.org/officeDocument/2006/relationships/hyperlink" Target="https://old.ukr-mobil.com/index.php?route=product&amp;product_id=10005725" TargetMode="External"/><Relationship Id="rId_hyperlink_1468" Type="http://schemas.openxmlformats.org/officeDocument/2006/relationships/hyperlink" Target="https://old.ukr-mobil.com/index.php?route=product&amp;product_id=10005929" TargetMode="External"/><Relationship Id="rId_hyperlink_1469" Type="http://schemas.openxmlformats.org/officeDocument/2006/relationships/hyperlink" Target="https://old.ukr-mobil.com/index.php?route=product&amp;product_id=10005930" TargetMode="External"/><Relationship Id="rId_hyperlink_1470" Type="http://schemas.openxmlformats.org/officeDocument/2006/relationships/hyperlink" Target="https://old.ukr-mobil.com/videopriemnik_vrx_skyzone_steadyview_x_5_8_ghz_10005643" TargetMode="External"/><Relationship Id="rId_hyperlink_1471" Type="http://schemas.openxmlformats.org/officeDocument/2006/relationships/hyperlink" Target="https://old.ukr-mobil.com/index.php?route=product&amp;product_id=10005767" TargetMode="External"/><Relationship Id="rId_hyperlink_1472" Type="http://schemas.openxmlformats.org/officeDocument/2006/relationships/hyperlink" Target="https://old.ukr-mobil.com/index.php?route=product&amp;product_id=10006236" TargetMode="External"/><Relationship Id="rId_hyperlink_1473" Type="http://schemas.openxmlformats.org/officeDocument/2006/relationships/hyperlink" Target="https://old.ukr-mobil.com/index.php?route=product&amp;product_id=10006177" TargetMode="External"/><Relationship Id="rId_hyperlink_1474" Type="http://schemas.openxmlformats.org/officeDocument/2006/relationships/hyperlink" Target="https://old.ukr-mobil.com/index.php?route=product&amp;product_id=10006235" TargetMode="External"/><Relationship Id="rId_hyperlink_1475" Type="http://schemas.openxmlformats.org/officeDocument/2006/relationships/hyperlink" Target="https://old.ukr-mobil.com/index.php?route=product&amp;product_id=10006124" TargetMode="External"/><Relationship Id="rId_hyperlink_1476" Type="http://schemas.openxmlformats.org/officeDocument/2006/relationships/hyperlink" Target="https://old.ukr-mobil.com/index.php?route=product&amp;product_id=10006119" TargetMode="External"/><Relationship Id="rId_hyperlink_1477" Type="http://schemas.openxmlformats.org/officeDocument/2006/relationships/hyperlink" Target="https://old.ukr-mobil.com/index.php?route=product&amp;product_id=10005718" TargetMode="External"/><Relationship Id="rId_hyperlink_1478" Type="http://schemas.openxmlformats.org/officeDocument/2006/relationships/hyperlink" Target="https://old.ukr-mobil.com/dron_fpv_7_dyujmov_f405_50a_emax_2807_1300kv_elrs_915_mhz_vtx_5_8g_2w_10005559" TargetMode="External"/><Relationship Id="rId_hyperlink_1479" Type="http://schemas.openxmlformats.org/officeDocument/2006/relationships/hyperlink" Target="https://old.ukr-mobil.com/dron_fpv_7_dyujmov_f405_50a_flashhobby_2807_1300kv_elrs_915_mhz_vtx_5_8g_2_5w_10005560" TargetMode="External"/><Relationship Id="rId_hyperlink_1480" Type="http://schemas.openxmlformats.org/officeDocument/2006/relationships/hyperlink" Target="https://old.ukr-mobil.com/dron_fpv_7_dyujmov_sologood_f405_55a_emax_2807_1300kv_elrs_915_mhz_foxeer_reaper_extreme_v2_5_8g_25w_10005608" TargetMode="External"/><Relationship Id="rId_hyperlink_1481" Type="http://schemas.openxmlformats.org/officeDocument/2006/relationships/hyperlink" Target="https://old.ukr-mobil.com/index.php?route=product&amp;product_id=10004753" TargetMode="External"/><Relationship Id="rId_hyperlink_1482" Type="http://schemas.openxmlformats.org/officeDocument/2006/relationships/hyperlink" Target="https://old.ukr-mobil.com/index.php?route=product&amp;product_id=10004578" TargetMode="External"/><Relationship Id="rId_hyperlink_1483" Type="http://schemas.openxmlformats.org/officeDocument/2006/relationships/hyperlink" Target="https://old.ukr-mobil.com/index.php?route=product&amp;product_id=10004822" TargetMode="External"/><Relationship Id="rId_hyperlink_1484" Type="http://schemas.openxmlformats.org/officeDocument/2006/relationships/hyperlink" Target="https://old.ukr-mobil.com/index.php?route=product&amp;product_id=10006167" TargetMode="External"/><Relationship Id="rId_hyperlink_1485" Type="http://schemas.openxmlformats.org/officeDocument/2006/relationships/hyperlink" Target="https://old.ukr-mobil.com/index.php?route=product&amp;product_id=10004821" TargetMode="External"/><Relationship Id="rId_hyperlink_1486" Type="http://schemas.openxmlformats.org/officeDocument/2006/relationships/hyperlink" Target="https://old.ukr-mobil.com/index.php?route=product&amp;product_id=10004830" TargetMode="External"/><Relationship Id="rId_hyperlink_1487" Type="http://schemas.openxmlformats.org/officeDocument/2006/relationships/hyperlink" Target="https://old.ukr-mobil.com/kamera_dlya_drona_fpv_akk_teplovizionnaya_analogovaya_256_h_192_10_mm_10005046" TargetMode="External"/><Relationship Id="rId_hyperlink_1488" Type="http://schemas.openxmlformats.org/officeDocument/2006/relationships/hyperlink" Target="https://old.ukr-mobil.com/index.php?route=product&amp;product_id=10005934" TargetMode="External"/><Relationship Id="rId_hyperlink_1489" Type="http://schemas.openxmlformats.org/officeDocument/2006/relationships/hyperlink" Target="https://old.ukr-mobil.com/index.php?route=product&amp;product_id=10006019" TargetMode="External"/><Relationship Id="rId_hyperlink_1490" Type="http://schemas.openxmlformats.org/officeDocument/2006/relationships/hyperlink" Target="https://old.ukr-mobil.com/index.php?route=product&amp;product_id=10005935" TargetMode="External"/><Relationship Id="rId_hyperlink_1491" Type="http://schemas.openxmlformats.org/officeDocument/2006/relationships/hyperlink" Target="https://old.ukr-mobil.com/index.php?route=product&amp;product_id=10005944" TargetMode="External"/><Relationship Id="rId_hyperlink_1492" Type="http://schemas.openxmlformats.org/officeDocument/2006/relationships/hyperlink" Target="https://old.ukr-mobil.com/index.php?route=product&amp;product_id=10005945" TargetMode="External"/><Relationship Id="rId_hyperlink_1493" Type="http://schemas.openxmlformats.org/officeDocument/2006/relationships/hyperlink" Target="https://old.ukr-mobil.com/index.php?route=product&amp;product_id=10005946" TargetMode="External"/><Relationship Id="rId_hyperlink_1494" Type="http://schemas.openxmlformats.org/officeDocument/2006/relationships/hyperlink" Target="https://old.ukr-mobil.com/index.php?route=product&amp;product_id=10006237" TargetMode="External"/><Relationship Id="rId_hyperlink_1495" Type="http://schemas.openxmlformats.org/officeDocument/2006/relationships/hyperlink" Target="https://old.ukr-mobil.com/index.php?route=product&amp;product_id=10006244" TargetMode="External"/><Relationship Id="rId_hyperlink_1496" Type="http://schemas.openxmlformats.org/officeDocument/2006/relationships/hyperlink" Target="https://old.ukr-mobil.com/index.php?route=product&amp;product_id=10006114" TargetMode="External"/><Relationship Id="rId_hyperlink_1497" Type="http://schemas.openxmlformats.org/officeDocument/2006/relationships/hyperlink" Target="https://old.ukr-mobil.com/kamera_dlya_drona_fpv_caddx_ratel_2_micro_1200tvl_1_1_8_starlight_hdr_2_1mm_165_10004680" TargetMode="External"/><Relationship Id="rId_hyperlink_1498" Type="http://schemas.openxmlformats.org/officeDocument/2006/relationships/hyperlink" Target="https://old.ukr-mobil.com/index.php?route=product&amp;product_id=10005713" TargetMode="External"/><Relationship Id="rId_hyperlink_1499" Type="http://schemas.openxmlformats.org/officeDocument/2006/relationships/hyperlink" Target="https://old.ukr-mobil.com/kamera_dlya_drona_fpv_caddx_ratel_pro_micro_19mmx19mm_1500tvl_1_1_8_super_wdr_125_dlya_poletov_v_sumerkah_10005592" TargetMode="External"/><Relationship Id="rId_hyperlink_1500" Type="http://schemas.openxmlformats.org/officeDocument/2006/relationships/hyperlink" Target="https://old.ukr-mobil.com/kamera_dlya_drona_fpv_foxeer_cat_3_micro_1_3_1200_tvl_0_00001_10004588" TargetMode="External"/><Relationship Id="rId_hyperlink_1501" Type="http://schemas.openxmlformats.org/officeDocument/2006/relationships/hyperlink" Target="https://old.ukr-mobil.com/index.php?route=product&amp;product_id=10005554" TargetMode="External"/><Relationship Id="rId_hyperlink_1502" Type="http://schemas.openxmlformats.org/officeDocument/2006/relationships/hyperlink" Target="https://old.ukr-mobil.com/kamera_dlya_drona_fpv_runcam_phoenix_2_sp_1500tvl_1_2_8_cmos_4_3_16_9_ntsc_pal_10004777" TargetMode="External"/><Relationship Id="rId_hyperlink_1503" Type="http://schemas.openxmlformats.org/officeDocument/2006/relationships/hyperlink" Target="https://old.ukr-mobil.com/index.php?route=product&amp;product_id=10006197" TargetMode="External"/><Relationship Id="rId_hyperlink_1504" Type="http://schemas.openxmlformats.org/officeDocument/2006/relationships/hyperlink" Target="https://old.ukr-mobil.com/index.php?route=product&amp;product_id=10006117" TargetMode="External"/><Relationship Id="rId_hyperlink_1505" Type="http://schemas.openxmlformats.org/officeDocument/2006/relationships/hyperlink" Target="https://old.ukr-mobil.com/modul_gps_beitian_be-182_10005674" TargetMode="External"/><Relationship Id="rId_hyperlink_1506" Type="http://schemas.openxmlformats.org/officeDocument/2006/relationships/hyperlink" Target="https://old.ukr-mobil.com/index.php?route=product&amp;product_id=10005673" TargetMode="External"/><Relationship Id="rId_hyperlink_1507" Type="http://schemas.openxmlformats.org/officeDocument/2006/relationships/hyperlink" Target="https://old.ukr-mobil.com/index.php?route=product&amp;product_id=10005675" TargetMode="External"/><Relationship Id="rId_hyperlink_1508" Type="http://schemas.openxmlformats.org/officeDocument/2006/relationships/hyperlink" Target="https://old.ukr-mobil.com/index.php?route=product&amp;product_id=10006141" TargetMode="External"/><Relationship Id="rId_hyperlink_1509" Type="http://schemas.openxmlformats.org/officeDocument/2006/relationships/hyperlink" Target="https://old.ukr-mobil.com/index.php?route=product&amp;product_id=10006116" TargetMode="External"/><Relationship Id="rId_hyperlink_1510" Type="http://schemas.openxmlformats.org/officeDocument/2006/relationships/hyperlink" Target="https://old.ukr-mobil.com/index.php?route=product&amp;product_id=10004595" TargetMode="External"/><Relationship Id="rId_hyperlink_1511" Type="http://schemas.openxmlformats.org/officeDocument/2006/relationships/hyperlink" Target="https://old.ukr-mobil.com/index.php?route=product&amp;product_id=10006152" TargetMode="External"/><Relationship Id="rId_hyperlink_1512" Type="http://schemas.openxmlformats.org/officeDocument/2006/relationships/hyperlink" Target="https://old.ukr-mobil.com/index.php?route=product&amp;product_id=10006153" TargetMode="External"/><Relationship Id="rId_hyperlink_1513" Type="http://schemas.openxmlformats.org/officeDocument/2006/relationships/hyperlink" Target="https://old.ukr-mobil.com/kombo_motor_hobbywing_xrotor_x9_plus_s_regulyatorom_bez_propellera_ccw_10005653" TargetMode="External"/><Relationship Id="rId_hyperlink_1514" Type="http://schemas.openxmlformats.org/officeDocument/2006/relationships/hyperlink" Target="https://old.ukr-mobil.com/kombo_motor_hobbywing_xrotor_x9_plus_s_regulyatorom_bez_propellera_cw_10005652" TargetMode="External"/><Relationship Id="rId_hyperlink_1515" Type="http://schemas.openxmlformats.org/officeDocument/2006/relationships/hyperlink" Target="https://old.ukr-mobil.com/index.php?route=product&amp;product_id=10006143" TargetMode="External"/><Relationship Id="rId_hyperlink_1516" Type="http://schemas.openxmlformats.org/officeDocument/2006/relationships/hyperlink" Target="https://old.ukr-mobil.com/index.php?route=product&amp;product_id=10006142" TargetMode="External"/><Relationship Id="rId_hyperlink_1517" Type="http://schemas.openxmlformats.org/officeDocument/2006/relationships/hyperlink" Target="https://old.ukr-mobil.com/index.php?route=product&amp;product_id=10005607" TargetMode="External"/><Relationship Id="rId_hyperlink_1518" Type="http://schemas.openxmlformats.org/officeDocument/2006/relationships/hyperlink" Target="https://old.ukr-mobil.com/index.php?route=product&amp;product_id=10005606" TargetMode="External"/><Relationship Id="rId_hyperlink_1519" Type="http://schemas.openxmlformats.org/officeDocument/2006/relationships/hyperlink" Target="https://old.ukr-mobil.com/motor_beskollektornyj_arthur_flash_hobby_2807_1300kv_10004725" TargetMode="External"/><Relationship Id="rId_hyperlink_1520" Type="http://schemas.openxmlformats.org/officeDocument/2006/relationships/hyperlink" Target="https://old.ukr-mobil.com/motor_beskollektornyj_arthur_flash_hobby_a2812_900kv_10005083" TargetMode="External"/><Relationship Id="rId_hyperlink_1521" Type="http://schemas.openxmlformats.org/officeDocument/2006/relationships/hyperlink" Target="https://old.ukr-mobil.com/motor_beskollektornyj_motor_flashhobby_3112_a3112_900kv_10004986" TargetMode="External"/><Relationship Id="rId_hyperlink_1522" Type="http://schemas.openxmlformats.org/officeDocument/2006/relationships/hyperlink" Target="https://old.ukr-mobil.com/index.php?route=product&amp;product_id=10005748" TargetMode="External"/><Relationship Id="rId_hyperlink_1523" Type="http://schemas.openxmlformats.org/officeDocument/2006/relationships/hyperlink" Target="https://old.ukr-mobil.com/index.php?route=product&amp;product_id=10006046" TargetMode="External"/><Relationship Id="rId_hyperlink_1524" Type="http://schemas.openxmlformats.org/officeDocument/2006/relationships/hyperlink" Target="https://old.ukr-mobil.com/index.php?route=product&amp;product_id=10006201" TargetMode="External"/><Relationship Id="rId_hyperlink_1525" Type="http://schemas.openxmlformats.org/officeDocument/2006/relationships/hyperlink" Target="https://old.ukr-mobil.com/index.php?route=product&amp;product_id=10005721" TargetMode="External"/><Relationship Id="rId_hyperlink_1526" Type="http://schemas.openxmlformats.org/officeDocument/2006/relationships/hyperlink" Target="https://old.ukr-mobil.com/index.php?route=product&amp;product_id=10006180" TargetMode="External"/><Relationship Id="rId_hyperlink_1527" Type="http://schemas.openxmlformats.org/officeDocument/2006/relationships/hyperlink" Target="https://old.ukr-mobil.com/index.php?route=product&amp;product_id=10005715" TargetMode="External"/><Relationship Id="rId_hyperlink_1528" Type="http://schemas.openxmlformats.org/officeDocument/2006/relationships/hyperlink" Target="https://old.ukr-mobil.com/index.php?route=product&amp;product_id=10006121" TargetMode="External"/><Relationship Id="rId_hyperlink_1529" Type="http://schemas.openxmlformats.org/officeDocument/2006/relationships/hyperlink" Target="https://old.ukr-mobil.com/index.php?route=product&amp;product_id=10005918" TargetMode="External"/><Relationship Id="rId_hyperlink_1530" Type="http://schemas.openxmlformats.org/officeDocument/2006/relationships/hyperlink" Target="https://old.ukr-mobil.com/index.php?route=product&amp;product_id=10006218" TargetMode="External"/><Relationship Id="rId_hyperlink_1531" Type="http://schemas.openxmlformats.org/officeDocument/2006/relationships/hyperlink" Target="https://old.ukr-mobil.com/motor_beskollektornyj_diatone_kn3214_730kv_10005650" TargetMode="External"/><Relationship Id="rId_hyperlink_1532" Type="http://schemas.openxmlformats.org/officeDocument/2006/relationships/hyperlink" Target="https://old.ukr-mobil.com/motor_beskollektornyj_emax_eco_ii_2807_1300kv_10004544" TargetMode="External"/><Relationship Id="rId_hyperlink_1533" Type="http://schemas.openxmlformats.org/officeDocument/2006/relationships/hyperlink" Target="https://old.ukr-mobil.com/index.php?route=product&amp;product_id=10006170" TargetMode="External"/><Relationship Id="rId_hyperlink_1534" Type="http://schemas.openxmlformats.org/officeDocument/2006/relationships/hyperlink" Target="https://old.ukr-mobil.com/index.php?route=product&amp;product_id=10006120" TargetMode="External"/><Relationship Id="rId_hyperlink_1535" Type="http://schemas.openxmlformats.org/officeDocument/2006/relationships/hyperlink" Target="https://old.ukr-mobil.com/index.php?route=product&amp;product_id=10006178" TargetMode="External"/><Relationship Id="rId_hyperlink_1536" Type="http://schemas.openxmlformats.org/officeDocument/2006/relationships/hyperlink" Target="https://old.ukr-mobil.com/index.php?route=product&amp;product_id=10006179" TargetMode="External"/><Relationship Id="rId_hyperlink_1537" Type="http://schemas.openxmlformats.org/officeDocument/2006/relationships/hyperlink" Target="https://old.ukr-mobil.com/index.php?route=product&amp;product_id=10006211" TargetMode="External"/><Relationship Id="rId_hyperlink_1538" Type="http://schemas.openxmlformats.org/officeDocument/2006/relationships/hyperlink" Target="https://old.ukr-mobil.com/index.php?route=product&amp;product_id=10006212" TargetMode="External"/><Relationship Id="rId_hyperlink_1539" Type="http://schemas.openxmlformats.org/officeDocument/2006/relationships/hyperlink" Target="https://old.ukr-mobil.com/ochki_dlya_fpv_skyzone_sky04o_pro_oled_1024_x_768_5_8_ghz_48_ch_l_x_band_s_priyomnikom_steadyview_black_10005668" TargetMode="External"/><Relationship Id="rId_hyperlink_1540" Type="http://schemas.openxmlformats.org/officeDocument/2006/relationships/hyperlink" Target="https://old.ukr-mobil.com/ochki_dlya_fpv_skyzone_sky04x_pro_oled_1920_x_1080_5_8g_s_priyomnikom_steadyview_black_10004574" TargetMode="External"/><Relationship Id="rId_hyperlink_1541" Type="http://schemas.openxmlformats.org/officeDocument/2006/relationships/hyperlink" Target="https://old.ukr-mobil.com/index.php?route=product&amp;product_id=10005878" TargetMode="External"/><Relationship Id="rId_hyperlink_1542" Type="http://schemas.openxmlformats.org/officeDocument/2006/relationships/hyperlink" Target="https://old.ukr-mobil.com/index.php?route=product&amp;product_id=10006107" TargetMode="External"/><Relationship Id="rId_hyperlink_1543" Type="http://schemas.openxmlformats.org/officeDocument/2006/relationships/hyperlink" Target="https://old.ukr-mobil.com/index.php?route=product&amp;product_id=10006140" TargetMode="External"/><Relationship Id="rId_hyperlink_1544" Type="http://schemas.openxmlformats.org/officeDocument/2006/relationships/hyperlink" Target="https://old.ukr-mobil.com/kontroller_poleta_diatone_mamba_f405mk2_v2_gyro_42688_10005639" TargetMode="External"/><Relationship Id="rId_hyperlink_1545" Type="http://schemas.openxmlformats.org/officeDocument/2006/relationships/hyperlink" Target="https://old.ukr-mobil.com/index.php?route=product&amp;product_id=10006110" TargetMode="External"/><Relationship Id="rId_hyperlink_1546" Type="http://schemas.openxmlformats.org/officeDocument/2006/relationships/hyperlink" Target="https://old.ukr-mobil.com/index.php?route=product&amp;product_id=10006112" TargetMode="External"/><Relationship Id="rId_hyperlink_1547" Type="http://schemas.openxmlformats.org/officeDocument/2006/relationships/hyperlink" Target="https://old.ukr-mobil.com/index.php?route=product&amp;product_id=10005732" TargetMode="External"/><Relationship Id="rId_hyperlink_1548" Type="http://schemas.openxmlformats.org/officeDocument/2006/relationships/hyperlink" Target="https://old.ukr-mobil.com/index.php?route=product&amp;product_id=10005729" TargetMode="External"/><Relationship Id="rId_hyperlink_1549" Type="http://schemas.openxmlformats.org/officeDocument/2006/relationships/hyperlink" Target="https://old.ukr-mobil.com/index.php?route=product&amp;product_id=10005730" TargetMode="External"/><Relationship Id="rId_hyperlink_1550" Type="http://schemas.openxmlformats.org/officeDocument/2006/relationships/hyperlink" Target="https://old.ukr-mobil.com/poletnyj_stek_diatone_mamba_f405mk2_v2_gyro_42688_esc_f55_bls_6s_10005637" TargetMode="External"/><Relationship Id="rId_hyperlink_1551" Type="http://schemas.openxmlformats.org/officeDocument/2006/relationships/hyperlink" Target="https://old.ukr-mobil.com/poletnyj_stek_flash_hobby_f405_bls_60a_30_5x30_5_4-in-1esc_10004969" TargetMode="External"/><Relationship Id="rId_hyperlink_1552" Type="http://schemas.openxmlformats.org/officeDocument/2006/relationships/hyperlink" Target="https://old.ukr-mobil.com/poletnyj_stek_flash_hobby_f722_bls_60a_30_5x30_5_4-in-1esc_10004968" TargetMode="External"/><Relationship Id="rId_hyperlink_1553" Type="http://schemas.openxmlformats.org/officeDocument/2006/relationships/hyperlink" Target="https://old.ukr-mobil.com/index.php?route=product&amp;product_id=10006185" TargetMode="External"/><Relationship Id="rId_hyperlink_1554" Type="http://schemas.openxmlformats.org/officeDocument/2006/relationships/hyperlink" Target="https://old.ukr-mobil.com/index.php?route=product&amp;product_id=10006222" TargetMode="External"/><Relationship Id="rId_hyperlink_1555" Type="http://schemas.openxmlformats.org/officeDocument/2006/relationships/hyperlink" Target="https://old.ukr-mobil.com/index.php?route=product&amp;product_id=10006196" TargetMode="External"/><Relationship Id="rId_hyperlink_1556" Type="http://schemas.openxmlformats.org/officeDocument/2006/relationships/hyperlink" Target="https://old.ukr-mobil.com/index.php?route=product&amp;product_id=10006245" TargetMode="External"/><Relationship Id="rId_hyperlink_1557" Type="http://schemas.openxmlformats.org/officeDocument/2006/relationships/hyperlink" Target="https://old.ukr-mobil.com/index.php?route=product&amp;product_id=10006198" TargetMode="External"/><Relationship Id="rId_hyperlink_1558" Type="http://schemas.openxmlformats.org/officeDocument/2006/relationships/hyperlink" Target="https://old.ukr-mobil.com/poletnyj_stek_sologood_f405_bls_50a_30_5x30_5_4-in-1_esc_10005119" TargetMode="External"/><Relationship Id="rId_hyperlink_1559" Type="http://schemas.openxmlformats.org/officeDocument/2006/relationships/hyperlink" Target="https://old.ukr-mobil.com/index.php?route=product&amp;product_id=10005724" TargetMode="External"/><Relationship Id="rId_hyperlink_1560" Type="http://schemas.openxmlformats.org/officeDocument/2006/relationships/hyperlink" Target="https://old.ukr-mobil.com/poletnyj_kontroller_speedybee_f405_v3_esc_stm32f405_50a_30x30_stack_10004547" TargetMode="External"/><Relationship Id="rId_hyperlink_1561" Type="http://schemas.openxmlformats.org/officeDocument/2006/relationships/hyperlink" Target="https://old.ukr-mobil.com/index.php?route=product&amp;product_id=10006083" TargetMode="External"/><Relationship Id="rId_hyperlink_1562" Type="http://schemas.openxmlformats.org/officeDocument/2006/relationships/hyperlink" Target="https://old.ukr-mobil.com/regulyator_oborotov_esc_diatone_mamba_s60_bls_8_bit_60a_6s_10005640" TargetMode="External"/><Relationship Id="rId_hyperlink_1563" Type="http://schemas.openxmlformats.org/officeDocument/2006/relationships/hyperlink" Target="https://old.ukr-mobil.com/regulyator_oborotov_esc_hobbywing_xrotor_40a_2-6s_10005669" TargetMode="External"/><Relationship Id="rId_hyperlink_1564" Type="http://schemas.openxmlformats.org/officeDocument/2006/relationships/hyperlink" Target="https://old.ukr-mobil.com/index.php?route=product&amp;product_id=10006144" TargetMode="External"/><Relationship Id="rId_hyperlink_1565" Type="http://schemas.openxmlformats.org/officeDocument/2006/relationships/hyperlink" Target="https://old.ukr-mobil.com/index.php?route=product&amp;product_id=10006014" TargetMode="External"/><Relationship Id="rId_hyperlink_1566" Type="http://schemas.openxmlformats.org/officeDocument/2006/relationships/hyperlink" Target="https://old.ukr-mobil.com/index.php?route=product&amp;product_id=10005084" TargetMode="External"/><Relationship Id="rId_hyperlink_1567" Type="http://schemas.openxmlformats.org/officeDocument/2006/relationships/hyperlink" Target="https://old.ukr-mobil.com/index.php?route=product&amp;product_id=10005843" TargetMode="External"/><Relationship Id="rId_hyperlink_1568" Type="http://schemas.openxmlformats.org/officeDocument/2006/relationships/hyperlink" Target="https://old.ukr-mobil.com/index.php?route=product&amp;product_id=10005666" TargetMode="External"/><Relationship Id="rId_hyperlink_1569" Type="http://schemas.openxmlformats.org/officeDocument/2006/relationships/hyperlink" Target="https://old.ukr-mobil.com/index.php?route=product&amp;product_id=10005667" TargetMode="External"/><Relationship Id="rId_hyperlink_1570" Type="http://schemas.openxmlformats.org/officeDocument/2006/relationships/hyperlink" Target="https://old.ukr-mobil.com/index.php?route=product&amp;product_id=10004775" TargetMode="External"/><Relationship Id="rId_hyperlink_1571" Type="http://schemas.openxmlformats.org/officeDocument/2006/relationships/hyperlink" Target="https://old.ukr-mobil.com/index.php?route=product&amp;product_id=10005441" TargetMode="External"/><Relationship Id="rId_hyperlink_1572" Type="http://schemas.openxmlformats.org/officeDocument/2006/relationships/hyperlink" Target="https://old.ukr-mobil.com/index.php?route=product&amp;product_id=10006191" TargetMode="External"/><Relationship Id="rId_hyperlink_1573" Type="http://schemas.openxmlformats.org/officeDocument/2006/relationships/hyperlink" Target="https://old.ukr-mobil.com/index.php?route=product&amp;product_id=10006192" TargetMode="External"/><Relationship Id="rId_hyperlink_1574" Type="http://schemas.openxmlformats.org/officeDocument/2006/relationships/hyperlink" Target="https://old.ukr-mobil.com/index.php?route=product&amp;product_id=10006215" TargetMode="External"/><Relationship Id="rId_hyperlink_1575" Type="http://schemas.openxmlformats.org/officeDocument/2006/relationships/hyperlink" Target="https://old.ukr-mobil.com/index.php?route=product&amp;product_id=10006213" TargetMode="External"/><Relationship Id="rId_hyperlink_1576" Type="http://schemas.openxmlformats.org/officeDocument/2006/relationships/hyperlink" Target="https://old.ukr-mobil.com/priemnik_tbs_crossfire_nano_rx_pro_s_antennoj_immortal_t_v2_10004549" TargetMode="External"/><Relationship Id="rId_hyperlink_1577" Type="http://schemas.openxmlformats.org/officeDocument/2006/relationships/hyperlink" Target="https://old.ukr-mobil.com/index.php?route=product&amp;product_id=10005654" TargetMode="External"/><Relationship Id="rId_hyperlink_1578" Type="http://schemas.openxmlformats.org/officeDocument/2006/relationships/hyperlink" Target="https://old.ukr-mobil.com/index.php?route=product&amp;product_id=10005655" TargetMode="External"/><Relationship Id="rId_hyperlink_1579" Type="http://schemas.openxmlformats.org/officeDocument/2006/relationships/hyperlink" Target="https://old.ukr-mobil.com/index.php?route=product&amp;product_id=10004994" TargetMode="External"/><Relationship Id="rId_hyperlink_1580" Type="http://schemas.openxmlformats.org/officeDocument/2006/relationships/hyperlink" Target="https://old.ukr-mobil.com/index.php?route=product&amp;product_id=10005580" TargetMode="External"/><Relationship Id="rId_hyperlink_1581" Type="http://schemas.openxmlformats.org/officeDocument/2006/relationships/hyperlink" Target="https://old.ukr-mobil.com/index.php?route=product&amp;product_id=10006026" TargetMode="External"/><Relationship Id="rId_hyperlink_1582" Type="http://schemas.openxmlformats.org/officeDocument/2006/relationships/hyperlink" Target="https://old.ukr-mobil.com/index.php?route=product&amp;product_id=10005846" TargetMode="External"/><Relationship Id="rId_hyperlink_1583" Type="http://schemas.openxmlformats.org/officeDocument/2006/relationships/hyperlink" Target="https://old.ukr-mobil.com/index.php?route=product&amp;product_id=10005845" TargetMode="External"/><Relationship Id="rId_hyperlink_1584" Type="http://schemas.openxmlformats.org/officeDocument/2006/relationships/hyperlink" Target="https://old.ukr-mobil.com/index.php?route=product&amp;product_id=10006025" TargetMode="External"/><Relationship Id="rId_hyperlink_1585" Type="http://schemas.openxmlformats.org/officeDocument/2006/relationships/hyperlink" Target="https://old.ukr-mobil.com/index.php?route=product&amp;product_id=10004996" TargetMode="External"/><Relationship Id="rId_hyperlink_1586" Type="http://schemas.openxmlformats.org/officeDocument/2006/relationships/hyperlink" Target="https://old.ukr-mobil.com/index.php?route=product&amp;product_id=10004995" TargetMode="External"/><Relationship Id="rId_hyperlink_1587" Type="http://schemas.openxmlformats.org/officeDocument/2006/relationships/hyperlink" Target="https://old.ukr-mobil.com/index.php?route=product&amp;product_id=10004650" TargetMode="External"/><Relationship Id="rId_hyperlink_1588" Type="http://schemas.openxmlformats.org/officeDocument/2006/relationships/hyperlink" Target="https://old.ukr-mobil.com/index.php?route=product&amp;product_id=10006225" TargetMode="External"/><Relationship Id="rId_hyperlink_1589" Type="http://schemas.openxmlformats.org/officeDocument/2006/relationships/hyperlink" Target="https://old.ukr-mobil.com/index.php?route=product&amp;product_id=10006226" TargetMode="External"/><Relationship Id="rId_hyperlink_1590" Type="http://schemas.openxmlformats.org/officeDocument/2006/relationships/hyperlink" Target="https://old.ukr-mobil.com/index.php?route=product&amp;product_id=10006227" TargetMode="External"/><Relationship Id="rId_hyperlink_1591" Type="http://schemas.openxmlformats.org/officeDocument/2006/relationships/hyperlink" Target="https://old.ukr-mobil.com/index.php?route=product&amp;product_id=10005844" TargetMode="External"/><Relationship Id="rId_hyperlink_1592" Type="http://schemas.openxmlformats.org/officeDocument/2006/relationships/hyperlink" Target="https://old.ukr-mobil.com/modul_peredatchika_elrs_750-780_mhz_1w_micro_s_antennoj_750_mhz_10005644" TargetMode="External"/><Relationship Id="rId_hyperlink_1593" Type="http://schemas.openxmlformats.org/officeDocument/2006/relationships/hyperlink" Target="https://old.ukr-mobil.com/modul_peredatchika_elrs_868_mhz_1w_micro_s_antennoj_868-930_mhz_10005645" TargetMode="External"/><Relationship Id="rId_hyperlink_1594" Type="http://schemas.openxmlformats.org/officeDocument/2006/relationships/hyperlink" Target="https://old.ukr-mobil.com/index.php?route=product&amp;product_id=10005546" TargetMode="External"/><Relationship Id="rId_hyperlink_1595" Type="http://schemas.openxmlformats.org/officeDocument/2006/relationships/hyperlink" Target="https://old.ukr-mobil.com/index.php?route=product&amp;product_id=10004705" TargetMode="External"/><Relationship Id="rId_hyperlink_1596" Type="http://schemas.openxmlformats.org/officeDocument/2006/relationships/hyperlink" Target="https://old.ukr-mobil.com/index.php?route=product&amp;product_id=10005924" TargetMode="External"/><Relationship Id="rId_hyperlink_1597" Type="http://schemas.openxmlformats.org/officeDocument/2006/relationships/hyperlink" Target="https://old.ukr-mobil.com/index.php?route=product&amp;product_id=10004970" TargetMode="External"/><Relationship Id="rId_hyperlink_1598" Type="http://schemas.openxmlformats.org/officeDocument/2006/relationships/hyperlink" Target="https://old.ukr-mobil.com/index.php?route=product&amp;product_id=10006147" TargetMode="External"/><Relationship Id="rId_hyperlink_1599" Type="http://schemas.openxmlformats.org/officeDocument/2006/relationships/hyperlink" Target="https://old.ukr-mobil.com/index.php?route=product&amp;product_id=10004971" TargetMode="External"/><Relationship Id="rId_hyperlink_1600" Type="http://schemas.openxmlformats.org/officeDocument/2006/relationships/hyperlink" Target="https://old.ukr-mobil.com/index.php?route=product&amp;product_id=10004702" TargetMode="External"/><Relationship Id="rId_hyperlink_1601" Type="http://schemas.openxmlformats.org/officeDocument/2006/relationships/hyperlink" Target="https://old.ukr-mobil.com/index.php?route=product&amp;product_id=10005636" TargetMode="External"/><Relationship Id="rId_hyperlink_1602" Type="http://schemas.openxmlformats.org/officeDocument/2006/relationships/hyperlink" Target="https://old.ukr-mobil.com/index.php?route=product&amp;product_id=10006230" TargetMode="External"/><Relationship Id="rId_hyperlink_1603" Type="http://schemas.openxmlformats.org/officeDocument/2006/relationships/hyperlink" Target="https://old.ukr-mobil.com/index.php?route=product&amp;product_id=10006172" TargetMode="External"/><Relationship Id="rId_hyperlink_1604" Type="http://schemas.openxmlformats.org/officeDocument/2006/relationships/hyperlink" Target="https://old.ukr-mobil.com/index.php?route=product&amp;product_id=10006173" TargetMode="External"/><Relationship Id="rId_hyperlink_1605" Type="http://schemas.openxmlformats.org/officeDocument/2006/relationships/hyperlink" Target="https://old.ukr-mobil.com/index.php?route=product&amp;product_id=10006132" TargetMode="External"/><Relationship Id="rId_hyperlink_1606" Type="http://schemas.openxmlformats.org/officeDocument/2006/relationships/hyperlink" Target="https://old.ukr-mobil.com/index.php?route=product&amp;product_id=10006133" TargetMode="External"/><Relationship Id="rId_hyperlink_1607" Type="http://schemas.openxmlformats.org/officeDocument/2006/relationships/hyperlink" Target="https://old.ukr-mobil.com/index.php?route=product&amp;product_id=10004764" TargetMode="External"/><Relationship Id="rId_hyperlink_1608" Type="http://schemas.openxmlformats.org/officeDocument/2006/relationships/hyperlink" Target="https://old.ukr-mobil.com/index.php?route=product&amp;product_id=10004875" TargetMode="External"/><Relationship Id="rId_hyperlink_1609" Type="http://schemas.openxmlformats.org/officeDocument/2006/relationships/hyperlink" Target="https://old.ukr-mobil.com/index.php?route=product&amp;product_id=10006174" TargetMode="External"/><Relationship Id="rId_hyperlink_1610" Type="http://schemas.openxmlformats.org/officeDocument/2006/relationships/hyperlink" Target="https://old.ukr-mobil.com/index.php?route=product&amp;product_id=10006150" TargetMode="External"/><Relationship Id="rId_hyperlink_1611" Type="http://schemas.openxmlformats.org/officeDocument/2006/relationships/hyperlink" Target="https://old.ukr-mobil.com/index.php?route=product&amp;product_id=10004843" TargetMode="External"/><Relationship Id="rId_hyperlink_1612" Type="http://schemas.openxmlformats.org/officeDocument/2006/relationships/hyperlink" Target="https://old.ukr-mobil.com/index.php?route=product&amp;product_id=10004842" TargetMode="External"/><Relationship Id="rId_hyperlink_1613" Type="http://schemas.openxmlformats.org/officeDocument/2006/relationships/hyperlink" Target="https://old.ukr-mobil.com/index.php?route=product&amp;product_id=10005648" TargetMode="External"/><Relationship Id="rId_hyperlink_1614" Type="http://schemas.openxmlformats.org/officeDocument/2006/relationships/hyperlink" Target="https://old.ukr-mobil.com/index.php?route=product&amp;product_id=10005649" TargetMode="External"/><Relationship Id="rId_hyperlink_1615" Type="http://schemas.openxmlformats.org/officeDocument/2006/relationships/hyperlink" Target="https://old.ukr-mobil.com/index.php?route=product&amp;product_id=10004767" TargetMode="External"/><Relationship Id="rId_hyperlink_1616" Type="http://schemas.openxmlformats.org/officeDocument/2006/relationships/hyperlink" Target="https://old.ukr-mobil.com/index.php?route=product&amp;product_id=10004997" TargetMode="External"/><Relationship Id="rId_hyperlink_1617" Type="http://schemas.openxmlformats.org/officeDocument/2006/relationships/hyperlink" Target="https://old.ukr-mobil.com/index.php?route=product&amp;product_id=10005665" TargetMode="External"/><Relationship Id="rId_hyperlink_1618" Type="http://schemas.openxmlformats.org/officeDocument/2006/relationships/hyperlink" Target="https://old.ukr-mobil.com/index.php?route=product&amp;product_id=10006063" TargetMode="External"/><Relationship Id="rId_hyperlink_1619" Type="http://schemas.openxmlformats.org/officeDocument/2006/relationships/hyperlink" Target="https://old.ukr-mobil.com/index.php?route=product&amp;product_id=10004594" TargetMode="External"/><Relationship Id="rId_hyperlink_1620" Type="http://schemas.openxmlformats.org/officeDocument/2006/relationships/hyperlink" Target="https://old.ukr-mobil.com/index.php?route=product&amp;product_id=10006041" TargetMode="External"/><Relationship Id="rId_hyperlink_1621" Type="http://schemas.openxmlformats.org/officeDocument/2006/relationships/hyperlink" Target="https://old.ukr-mobil.com/index.php?route=product&amp;product_id=10004892" TargetMode="External"/><Relationship Id="rId_hyperlink_1622" Type="http://schemas.openxmlformats.org/officeDocument/2006/relationships/hyperlink" Target="https://old.ukr-mobil.com/index.php?route=product&amp;product_id=10005731" TargetMode="External"/><Relationship Id="rId_hyperlink_1623" Type="http://schemas.openxmlformats.org/officeDocument/2006/relationships/hyperlink" Target="https://old.ukr-mobil.com/index.php?route=product&amp;product_id=10005175" TargetMode="External"/><Relationship Id="rId_hyperlink_1624" Type="http://schemas.openxmlformats.org/officeDocument/2006/relationships/hyperlink" Target="https://old.ukr-mobil.com/index.php?route=product&amp;product_id=10005634" TargetMode="External"/><Relationship Id="rId_hyperlink_1625" Type="http://schemas.openxmlformats.org/officeDocument/2006/relationships/hyperlink" Target="https://old.ukr-mobil.com/rama_dlya_drona_fpv_mark4_7_dyujmov_295_mm_karbonovaya_10004576" TargetMode="External"/><Relationship Id="rId_hyperlink_1626" Type="http://schemas.openxmlformats.org/officeDocument/2006/relationships/hyperlink" Target="https://old.ukr-mobil.com/index.php?route=product&amp;product_id=10004676" TargetMode="External"/><Relationship Id="rId_hyperlink_1627" Type="http://schemas.openxmlformats.org/officeDocument/2006/relationships/hyperlink" Target="https://old.ukr-mobil.com/index.php?route=product&amp;product_id=10004677" TargetMode="External"/><Relationship Id="rId_hyperlink_1628" Type="http://schemas.openxmlformats.org/officeDocument/2006/relationships/hyperlink" Target="https://old.ukr-mobil.com/index.php?route=product&amp;product_id=10005646" TargetMode="External"/><Relationship Id="rId_hyperlink_1629" Type="http://schemas.openxmlformats.org/officeDocument/2006/relationships/hyperlink" Target="https://old.ukr-mobil.com/index.php?route=product&amp;product_id=10005723" TargetMode="External"/><Relationship Id="rId_hyperlink_1630" Type="http://schemas.openxmlformats.org/officeDocument/2006/relationships/hyperlink" Target="https://old.ukr-mobil.com/index.php?route=product&amp;product_id=10005726" TargetMode="External"/><Relationship Id="rId_hyperlink_1631" Type="http://schemas.openxmlformats.org/officeDocument/2006/relationships/hyperlink" Target="https://old.ukr-mobil.com/index.php?route=product&amp;product_id=10005719" TargetMode="External"/><Relationship Id="rId_hyperlink_1632" Type="http://schemas.openxmlformats.org/officeDocument/2006/relationships/hyperlink" Target="https://old.ukr-mobil.com/index.php?route=product&amp;product_id=10005678" TargetMode="External"/><Relationship Id="rId_hyperlink_1633" Type="http://schemas.openxmlformats.org/officeDocument/2006/relationships/hyperlink" Target="https://old.ukr-mobil.com/index.php?route=product&amp;product_id=10006056" TargetMode="External"/><Relationship Id="rId_hyperlink_1634" Type="http://schemas.openxmlformats.org/officeDocument/2006/relationships/hyperlink" Target="https://old.ukr-mobil.com/index.php?route=product&amp;product_id=10005941" TargetMode="External"/><Relationship Id="rId_hyperlink_1635" Type="http://schemas.openxmlformats.org/officeDocument/2006/relationships/hyperlink" Target="https://old.ukr-mobil.com/index.php?route=product&amp;product_id=10005942" TargetMode="External"/><Relationship Id="rId_hyperlink_1636" Type="http://schemas.openxmlformats.org/officeDocument/2006/relationships/hyperlink" Target="https://old.ukr-mobil.com/index.php?route=product&amp;product_id=10006034" TargetMode="External"/><Relationship Id="rId_hyperlink_1637" Type="http://schemas.openxmlformats.org/officeDocument/2006/relationships/hyperlink" Target="https://old.ukr-mobil.com/index.php?route=product&amp;product_id=10006035" TargetMode="External"/><Relationship Id="rId_hyperlink_1638" Type="http://schemas.openxmlformats.org/officeDocument/2006/relationships/hyperlink" Target="https://old.ukr-mobil.com/index.php?route=product&amp;product_id=10006036" TargetMode="External"/><Relationship Id="rId_hyperlink_1639" Type="http://schemas.openxmlformats.org/officeDocument/2006/relationships/hyperlink" Target="https://old.ukr-mobil.com/index.php?route=product&amp;product_id=10005943" TargetMode="External"/><Relationship Id="rId_hyperlink_1640" Type="http://schemas.openxmlformats.org/officeDocument/2006/relationships/hyperlink" Target="https://old.ukr-mobil.com/index.php?route=product&amp;product_id=10006123" TargetMode="External"/><Relationship Id="rId_hyperlink_1641" Type="http://schemas.openxmlformats.org/officeDocument/2006/relationships/hyperlink" Target="https://old.ukr-mobil.com/akkumulyator_ipad_2_a1376_3660" TargetMode="External"/><Relationship Id="rId_hyperlink_1642" Type="http://schemas.openxmlformats.org/officeDocument/2006/relationships/hyperlink" Target="https://old.ukr-mobil.com/akkumulyator_ipad_3_a1389_ipad_4_a1460_11560_mah_original_5630" TargetMode="External"/><Relationship Id="rId_hyperlink_1643" Type="http://schemas.openxmlformats.org/officeDocument/2006/relationships/hyperlink" Target="https://old.ukr-mobil.com/akkumulyator_apple_ipad_air_2_a1567_a1566_original_10001200" TargetMode="External"/><Relationship Id="rId_hyperlink_1644" Type="http://schemas.openxmlformats.org/officeDocument/2006/relationships/hyperlink" Target="https://old.ukr-mobil.com/akkumulyator_ipad_air_a1484_5405" TargetMode="External"/><Relationship Id="rId_hyperlink_1645" Type="http://schemas.openxmlformats.org/officeDocument/2006/relationships/hyperlink" Target="https://old.ukr-mobil.com/akkumulyator_ipad_mini_a1445_a1432_a1454_a1455_original_12238" TargetMode="External"/><Relationship Id="rId_hyperlink_1646" Type="http://schemas.openxmlformats.org/officeDocument/2006/relationships/hyperlink" Target="https://old.ukr-mobil.com/akkumulyator_ipad_mini_2_retina_a1512_ipad_mini_3_retina_a1512_6471_mah_original_9961" TargetMode="External"/><Relationship Id="rId_hyperlink_1647" Type="http://schemas.openxmlformats.org/officeDocument/2006/relationships/hyperlink" Target="https://old.ukr-mobil.com/akkumulyator_ipad_mini_4_a1546_original_9805" TargetMode="External"/><Relationship Id="rId_hyperlink_1648" Type="http://schemas.openxmlformats.org/officeDocument/2006/relationships/hyperlink" Target="https://old.ukr-mobil.com/akkumulyator_apple_ipad_pro_10_5_a1701_a1709_a1852_original_10001202" TargetMode="External"/><Relationship Id="rId_hyperlink_1649" Type="http://schemas.openxmlformats.org/officeDocument/2006/relationships/hyperlink" Target="https://old.ukr-mobil.com/akkumulyator_apple_ipad_pro_9_7_a1673_a1674_a1675_original_10001201" TargetMode="External"/><Relationship Id="rId_hyperlink_1650" Type="http://schemas.openxmlformats.org/officeDocument/2006/relationships/hyperlink" Target="https://old.ukr-mobil.com/akkumulyator_asus_fonepad_7_me372_cg_k00e_c11p1310_6279" TargetMode="External"/><Relationship Id="rId_hyperlink_1651" Type="http://schemas.openxmlformats.org/officeDocument/2006/relationships/hyperlink" Target="https://old.ukr-mobil.com/akkumulyator_dlya_plansheta_huawei_mediapad_m5_mediapad_m5_lite_10_0_bah2-l09_hb299418ecw_li-ion_3_82v_7350mah_original_prc_10003483" TargetMode="External"/><Relationship Id="rId_hyperlink_1652" Type="http://schemas.openxmlformats.org/officeDocument/2006/relationships/hyperlink" Target="https://old.ukr-mobil.com/akkumulyator_huawei_y6_ii_cam-l21_honor_5x_honor_6_h60-l02_hb396481ebc_3100mah_9957" TargetMode="External"/><Relationship Id="rId_hyperlink_1653" Type="http://schemas.openxmlformats.org/officeDocument/2006/relationships/hyperlink" Target="https://old.ukr-mobil.com/akkumulyator_huawei_mediapad_t3_8_0_kob-l09_kob-w09_hb3080g1ebw_4800mah_10000681" TargetMode="External"/><Relationship Id="rId_hyperlink_1654" Type="http://schemas.openxmlformats.org/officeDocument/2006/relationships/hyperlink" Target="https://old.ukr-mobil.com/akkumulyator_huawei_mediapad_t5_10_ags2-l09_ags2-w09_hb2899c0ecw_5100mah_original_prc_10001831" TargetMode="External"/><Relationship Id="rId_hyperlink_1655" Type="http://schemas.openxmlformats.org/officeDocument/2006/relationships/hyperlink" Target="https://old.ukr-mobil.com/akkumulyator_lenovo_a10-70f_bt-x103f_l14d2p31_7000_mah_10001736" TargetMode="External"/><Relationship Id="rId_hyperlink_1656" Type="http://schemas.openxmlformats.org/officeDocument/2006/relationships/hyperlink" Target="https://old.ukr-mobil.com/akkumulyator_lenovo_tab_2_a7-30_l13d1p31_3550mah_11104" TargetMode="External"/><Relationship Id="rId_hyperlink_1657" Type="http://schemas.openxmlformats.org/officeDocument/2006/relationships/hyperlink" Target="https://old.ukr-mobil.com/akkumulyator_lenovo_ideapad_s6000_l11c2p32_6340mah_10732" TargetMode="External"/><Relationship Id="rId_hyperlink_1658" Type="http://schemas.openxmlformats.org/officeDocument/2006/relationships/hyperlink" Target="https://old.ukr-mobil.com/akkumulyator_lenovo_ideatab_a1000_a3000_a5000_a3300_l12t1p33_l12d1p31_6276" TargetMode="External"/><Relationship Id="rId_hyperlink_1659" Type="http://schemas.openxmlformats.org/officeDocument/2006/relationships/hyperlink" Target="https://old.ukr-mobil.com/akkumulyator_lenovo_phab_plus_pb1-770m_l14d1p31_3500mah_11643" TargetMode="External"/><Relationship Id="rId_hyperlink_1660" Type="http://schemas.openxmlformats.org/officeDocument/2006/relationships/hyperlink" Target="https://old.ukr-mobil.com/akkumulyator_samsung_galaxy_tab_3_7_0_t210_t211_p3200_3210_4000_mah_6227" TargetMode="External"/><Relationship Id="rId_hyperlink_1661" Type="http://schemas.openxmlformats.org/officeDocument/2006/relationships/hyperlink" Target="https://old.ukr-mobil.com/index.php?route=product&amp;product_id=10005264" TargetMode="External"/><Relationship Id="rId_hyperlink_1662" Type="http://schemas.openxmlformats.org/officeDocument/2006/relationships/hyperlink" Target="https://old.ukr-mobil.com/akkumulyator_samsung_t230_galaxy_tab_4_t231_galaxy_tab_4_3g_t235_galaxy_tab_4_lte_eb-bt230fbe_10001204" TargetMode="External"/><Relationship Id="rId_hyperlink_1663" Type="http://schemas.openxmlformats.org/officeDocument/2006/relationships/hyperlink" Target="https://old.ukr-mobil.com/akkumulyator_samsung_t280_galaxy_tab_e_7_0_t285_galaxy_tab_a_7_0_lte_eb-bt280abe_original_10001208" TargetMode="External"/><Relationship Id="rId_hyperlink_1664" Type="http://schemas.openxmlformats.org/officeDocument/2006/relationships/hyperlink" Target="https://old.ukr-mobil.com/akkumulyator_samsung_t500_t505_galaxy_tab_a7_10_4_scud-wt-n19_7400_mah_bez_logotipa_10003184" TargetMode="External"/><Relationship Id="rId_hyperlink_1665" Type="http://schemas.openxmlformats.org/officeDocument/2006/relationships/hyperlink" Target="https://old.ukr-mobil.com/akkumulyator_samsung_t510_t515_galaxy_tab_a_10_1_eb-bt515abu_6000_mah_bez_logotipa_10003185" TargetMode="External"/><Relationship Id="rId_hyperlink_1666" Type="http://schemas.openxmlformats.org/officeDocument/2006/relationships/hyperlink" Target="https://old.ukr-mobil.com/akkumulyator_samsung_t530_t531_t535_galaxy_tab_4_10_1_eb-bt530fbe_original_10001205" TargetMode="External"/><Relationship Id="rId_hyperlink_1667" Type="http://schemas.openxmlformats.org/officeDocument/2006/relationships/hyperlink" Target="https://old.ukr-mobil.com/akkumulyator_samsung_t560_galaxy_tab_e_t561_galaxy_tab_e_eb-bt561abe_original_10001207" TargetMode="External"/><Relationship Id="rId_hyperlink_1668" Type="http://schemas.openxmlformats.org/officeDocument/2006/relationships/hyperlink" Target="https://old.ukr-mobil.com/akkumulyator_samsung_t580_galaxy_tab_a_10_1_t585_galaxy_tab_a_10_1_eb-bt585abe_original_10001206" TargetMode="External"/><Relationship Id="rId_hyperlink_1669" Type="http://schemas.openxmlformats.org/officeDocument/2006/relationships/hyperlink" Target="https://old.ukr-mobil.com/akkumulyator_samsung_t590_galaxy_tab_a_10_5_wi-fi_t595_galaxy_tab_a_10_5_lte_eb-bt595abe_7300_mah_bez_logotipa_10003495" TargetMode="External"/><Relationship Id="rId_hyperlink_1670" Type="http://schemas.openxmlformats.org/officeDocument/2006/relationships/hyperlink" Target="https://old.ukr-mobil.com/derzhatel_sim-karty_ipad_2_ipad_3_10453" TargetMode="External"/><Relationship Id="rId_hyperlink_1671" Type="http://schemas.openxmlformats.org/officeDocument/2006/relationships/hyperlink" Target="https://old.ukr-mobil.com/displej_apple_ipad_10_2_2019_a2197_a2198_a2200_ipad_10_2_2020_a2270_a2428_a2429_ipad_10_2_2021_a2602_a2603_a2604_a2605_high_copy_10002934" TargetMode="External"/><Relationship Id="rId_hyperlink_1672" Type="http://schemas.openxmlformats.org/officeDocument/2006/relationships/hyperlink" Target="https://old.ukr-mobil.com/displej_apple_ipad_10_2_2019_a2197_a2198_a2200_original_10001196" TargetMode="External"/><Relationship Id="rId_hyperlink_1673" Type="http://schemas.openxmlformats.org/officeDocument/2006/relationships/hyperlink" Target="https://old.ukr-mobil.com/displej_apple_ipad_10_9_2022_10_gen_original_10003681" TargetMode="External"/><Relationship Id="rId_hyperlink_1674" Type="http://schemas.openxmlformats.org/officeDocument/2006/relationships/hyperlink" Target="https://old.ukr-mobil.com/displej_ipad_3_a1403_a1416_a1430_ipad_4_a1458_a1459_a1460_3244" TargetMode="External"/><Relationship Id="rId_hyperlink_1675" Type="http://schemas.openxmlformats.org/officeDocument/2006/relationships/hyperlink" Target="https://old.ukr-mobil.com/displej_ipad_9_7_2018_a1893_a1954_11388" TargetMode="External"/><Relationship Id="rId_hyperlink_1676" Type="http://schemas.openxmlformats.org/officeDocument/2006/relationships/hyperlink" Target="https://old.ukr-mobil.com/displej_apple_ipad_9_7_2018_a1893_a1954_original_10003168" TargetMode="External"/><Relationship Id="rId_hyperlink_1677" Type="http://schemas.openxmlformats.org/officeDocument/2006/relationships/hyperlink" Target="https://old.ukr-mobil.com/displej_apple_ipad_air_10_9_s_tachskrinom_original_10001199" TargetMode="External"/><Relationship Id="rId_hyperlink_1678" Type="http://schemas.openxmlformats.org/officeDocument/2006/relationships/hyperlink" Target="https://old.ukr-mobil.com/displej_ipad_air_2_a1566_a1567_s_tachskrinom_original_prc_black_6062" TargetMode="External"/><Relationship Id="rId_hyperlink_1679" Type="http://schemas.openxmlformats.org/officeDocument/2006/relationships/hyperlink" Target="https://old.ukr-mobil.com/displej_ipad_air_2_a1566_a1567_s_tachskrinom_original_prc_white_5714" TargetMode="External"/><Relationship Id="rId_hyperlink_1680" Type="http://schemas.openxmlformats.org/officeDocument/2006/relationships/hyperlink" Target="https://old.ukr-mobil.com/displej_apple_ipad_air_2022_s_tachskrinom_original_10003554" TargetMode="External"/><Relationship Id="rId_hyperlink_1681" Type="http://schemas.openxmlformats.org/officeDocument/2006/relationships/hyperlink" Target="https://old.ukr-mobil.com/displej_ipad_air_3_2019_a2123_a2152_a2153_s_tachskrinom_original_black_11891" TargetMode="External"/><Relationship Id="rId_hyperlink_1682" Type="http://schemas.openxmlformats.org/officeDocument/2006/relationships/hyperlink" Target="https://old.ukr-mobil.com/displej_ipad_air_3_2019_a2123_a2152_a2153_s_tachskrinom_original_white_11892" TargetMode="External"/><Relationship Id="rId_hyperlink_1683" Type="http://schemas.openxmlformats.org/officeDocument/2006/relationships/hyperlink" Target="https://old.ukr-mobil.com/displej_ipad_mini_a1432_a1454_a1455_3707" TargetMode="External"/><Relationship Id="rId_hyperlink_1684" Type="http://schemas.openxmlformats.org/officeDocument/2006/relationships/hyperlink" Target="https://old.ukr-mobil.com/displej_ipad_mini_2_retina_a1489_a1490_a1491_ipad_mini_3_a1599_a1600_4567" TargetMode="External"/><Relationship Id="rId_hyperlink_1685" Type="http://schemas.openxmlformats.org/officeDocument/2006/relationships/hyperlink" Target="https://old.ukr-mobil.com/displej_ipad_mini_4_a1538_a1550_s_tachskrinom_black_8584" TargetMode="External"/><Relationship Id="rId_hyperlink_1686" Type="http://schemas.openxmlformats.org/officeDocument/2006/relationships/hyperlink" Target="https://old.ukr-mobil.com/displej_ipad_mini_4_a1538_a1550_s_tachskrinom_white_6199" TargetMode="External"/><Relationship Id="rId_hyperlink_1687" Type="http://schemas.openxmlformats.org/officeDocument/2006/relationships/hyperlink" Target="https://old.ukr-mobil.com/displej_ipad_mini_5_a2124a2126_a2133_s_tachskrinom_black_11923" TargetMode="External"/><Relationship Id="rId_hyperlink_1688" Type="http://schemas.openxmlformats.org/officeDocument/2006/relationships/hyperlink" Target="https://old.ukr-mobil.com/displej_ipad_pro_10_5_a1701_a1709_a1852_s_tachskrinom_original_black_9707" TargetMode="External"/><Relationship Id="rId_hyperlink_1689" Type="http://schemas.openxmlformats.org/officeDocument/2006/relationships/hyperlink" Target="https://old.ukr-mobil.com/displej_ipad_pro_10_5_a1701_a1709_a1852_s_tachskrinom_original_white_11305" TargetMode="External"/><Relationship Id="rId_hyperlink_1690" Type="http://schemas.openxmlformats.org/officeDocument/2006/relationships/hyperlink" Target="https://old.ukr-mobil.com/displej_ipad_pro_11_a1934_a1980_a2013_s_tachskrinom_original_black_11924" TargetMode="External"/><Relationship Id="rId_hyperlink_1691" Type="http://schemas.openxmlformats.org/officeDocument/2006/relationships/hyperlink" Target="https://old.ukr-mobil.com/displej_apple_ipad_pro_11_2021_a2301_a2377_a2459_a2460_s_tachskrinom_original_black_10002816" TargetMode="External"/><Relationship Id="rId_hyperlink_1692" Type="http://schemas.openxmlformats.org/officeDocument/2006/relationships/hyperlink" Target="https://old.ukr-mobil.com/displej_ipad_pro_12_9_2015_a1584_a1652_s_tachskrinom_black_7941" TargetMode="External"/><Relationship Id="rId_hyperlink_1693" Type="http://schemas.openxmlformats.org/officeDocument/2006/relationships/hyperlink" Target="https://old.ukr-mobil.com/displej_ipad_pro_12_9_2015_a1584_a1652_s_tachskrinom_white_7942" TargetMode="External"/><Relationship Id="rId_hyperlink_1694" Type="http://schemas.openxmlformats.org/officeDocument/2006/relationships/hyperlink" Target="https://old.ukr-mobil.com/displej_ipad_pro_12_9_2015_a1584_a1652_s_tachskrinom_so_shlejfom_black_11386" TargetMode="External"/><Relationship Id="rId_hyperlink_1695" Type="http://schemas.openxmlformats.org/officeDocument/2006/relationships/hyperlink" Target="https://old.ukr-mobil.com/displej_ipad_pro_12_9_2015_a1584_a1652_s_tachskrinom_so_shlejfom_white_11387" TargetMode="External"/><Relationship Id="rId_hyperlink_1696" Type="http://schemas.openxmlformats.org/officeDocument/2006/relationships/hyperlink" Target="https://old.ukr-mobil.com/displej_ipad_pro_12_9_2017_a1670_a1671_s_tachskrinom_so_shlejfom_original_black_11102" TargetMode="External"/><Relationship Id="rId_hyperlink_1697" Type="http://schemas.openxmlformats.org/officeDocument/2006/relationships/hyperlink" Target="https://old.ukr-mobil.com/displej_ipad_pro_12_9_2017_a1670_a1671_s_tachskrinom_so_shlejfom_original_white_11781" TargetMode="External"/><Relationship Id="rId_hyperlink_1698" Type="http://schemas.openxmlformats.org/officeDocument/2006/relationships/hyperlink" Target="https://old.ukr-mobil.com/displej_ipad_pro_12_9_3rd_gen_2018_a1876_a1895_a1983_a2014_s_tachskrinom_original_black_11925" TargetMode="External"/><Relationship Id="rId_hyperlink_1699" Type="http://schemas.openxmlformats.org/officeDocument/2006/relationships/hyperlink" Target="https://old.ukr-mobil.com/displej_ipad_pro_9_7_a1673_a1674_a1675_s_tachskrinom_original_prc_black_7754" TargetMode="External"/><Relationship Id="rId_hyperlink_1700" Type="http://schemas.openxmlformats.org/officeDocument/2006/relationships/hyperlink" Target="https://old.ukr-mobil.com/displej_ipad_pro_9_7_a1673_a1674_a1675_s_tachskrinom_original_prc_white_8583" TargetMode="External"/><Relationship Id="rId_hyperlink_1701" Type="http://schemas.openxmlformats.org/officeDocument/2006/relationships/hyperlink" Target="https://old.ukr-mobil.com/displej_asus_fonepad_7_fe170cg_memo_pad_7_me170_memo_pad_7_me170c_k012_k017_k01a_5212" TargetMode="External"/><Relationship Id="rId_hyperlink_1702" Type="http://schemas.openxmlformats.org/officeDocument/2006/relationships/hyperlink" Target="https://old.ukr-mobil.com/displej_asus_google_nexus_7_s_tachskrinom_4016" TargetMode="External"/><Relationship Id="rId_hyperlink_1703" Type="http://schemas.openxmlformats.org/officeDocument/2006/relationships/hyperlink" Target="https://old.ukr-mobil.com/displej_asus_me301t_memo_pad_smart_tf300t_eee_pad_transformer_tf301t_eee_pad_transformer_n101icg-l21_4042" TargetMode="External"/><Relationship Id="rId_hyperlink_1704" Type="http://schemas.openxmlformats.org/officeDocument/2006/relationships/hyperlink" Target="https://old.ukr-mobil.com/displej_asus_z170mg_zenpad_c_7_0_p001_s_tachskrinom_black_8922" TargetMode="External"/><Relationship Id="rId_hyperlink_1705" Type="http://schemas.openxmlformats.org/officeDocument/2006/relationships/hyperlink" Target="https://old.ukr-mobil.com/displej_asus_zenpad_3s_z500kl_23_8_cm_x_16_cm_s_tachskrinom_black_11295" TargetMode="External"/><Relationship Id="rId_hyperlink_1706" Type="http://schemas.openxmlformats.org/officeDocument/2006/relationships/hyperlink" Target="https://old.ukr-mobil.com/displej_asus_zenpad_3s_z500m_23_6_cm_x_16_cm_s_tachskrinom_black_10387" TargetMode="External"/><Relationship Id="rId_hyperlink_1707" Type="http://schemas.openxmlformats.org/officeDocument/2006/relationships/hyperlink" Target="https://old.ukr-mobil.com/displej_asus_zenpad_s_8_0_z580_s_tachskrinom_black_11300" TargetMode="External"/><Relationship Id="rId_hyperlink_1708" Type="http://schemas.openxmlformats.org/officeDocument/2006/relationships/hyperlink" Target="https://old.ukr-mobil.com/displej_nomi_c070020_corsa_pro_7_3g_asus_fonepad_7_fe375cxg_fonepad_7_me375_memo_pad_7_me176_memo_pad_7_me176cx_7_1280_800_162_mm_103_mm_5214" TargetMode="External"/><Relationship Id="rId_hyperlink_1709" Type="http://schemas.openxmlformats.org/officeDocument/2006/relationships/hyperlink" Target="https://old.ukr-mobil.com/displej_huawei_honor_tab_5_8_0_wi-fi_s_tachskrinom_black_12216" TargetMode="External"/><Relationship Id="rId_hyperlink_1710" Type="http://schemas.openxmlformats.org/officeDocument/2006/relationships/hyperlink" Target="https://old.ukr-mobil.com/displej_huawei_matepad_10_4_bah3-w09_bah3-al00_s_tachskrinom_original_10003551" TargetMode="External"/><Relationship Id="rId_hyperlink_1711" Type="http://schemas.openxmlformats.org/officeDocument/2006/relationships/hyperlink" Target="https://old.ukr-mobil.com/displej_huawei_matepad_pro_10_8_mrx-al09_s_tachskrinom_original_10001137" TargetMode="External"/><Relationship Id="rId_hyperlink_1712" Type="http://schemas.openxmlformats.org/officeDocument/2006/relationships/hyperlink" Target="https://old.ukr-mobil.com/displej_huawei_matepad_se_10_4_ags5-w09_ags5-l09_ags5-w00_s_tachskrinom_original_10003677" TargetMode="External"/><Relationship Id="rId_hyperlink_1713" Type="http://schemas.openxmlformats.org/officeDocument/2006/relationships/hyperlink" Target="https://old.ukr-mobil.com/displej_huawei_matepad_t10_agr-w09_agr-l09_s_tachskrinom_original_prc_black_10002239" TargetMode="External"/><Relationship Id="rId_hyperlink_1714" Type="http://schemas.openxmlformats.org/officeDocument/2006/relationships/hyperlink" Target="https://old.ukr-mobil.com/displej_huawei_matepad_t10s_10_1_s_tachskrinom_original_10001138" TargetMode="External"/><Relationship Id="rId_hyperlink_1715" Type="http://schemas.openxmlformats.org/officeDocument/2006/relationships/hyperlink" Target="https://old.ukr-mobil.com/displej_huawei_matepad_t8_kobe2-l09_kobe2-l03_s_tachskrinom_original_prc_black_10002240" TargetMode="External"/><Relationship Id="rId_hyperlink_1716" Type="http://schemas.openxmlformats.org/officeDocument/2006/relationships/hyperlink" Target="https://old.ukr-mobil.com/displej_huawei_mediapad_m3_lite_10_lte_bah-l09_s_tachskrinom_black_10055" TargetMode="External"/><Relationship Id="rId_hyperlink_1717" Type="http://schemas.openxmlformats.org/officeDocument/2006/relationships/hyperlink" Target="https://old.ukr-mobil.com/displej_huawei_mediapad_m3_lite_10_lte_bah-l09_s_tachskrinom_white_11298" TargetMode="External"/><Relationship Id="rId_hyperlink_1718" Type="http://schemas.openxmlformats.org/officeDocument/2006/relationships/hyperlink" Target="https://old.ukr-mobil.com/displej_huawei_mediapad_m5_8_sht-al09_sht-w09_s_tachskrinom_black_11463" TargetMode="External"/><Relationship Id="rId_hyperlink_1719" Type="http://schemas.openxmlformats.org/officeDocument/2006/relationships/hyperlink" Target="https://old.ukr-mobil.com/displej_huawei_mediapad_m5_lite_10_bah2-l09_bah2-w19_s_tachskrinom_original_prc_black_11301" TargetMode="External"/><Relationship Id="rId_hyperlink_1720" Type="http://schemas.openxmlformats.org/officeDocument/2006/relationships/hyperlink" Target="https://old.ukr-mobil.com/displej_huawei_mediapad_m5_lite_10_bah2-l09_bah2-w19_s_tachskrinom_original_prc_white_10000718" TargetMode="External"/><Relationship Id="rId_hyperlink_1721" Type="http://schemas.openxmlformats.org/officeDocument/2006/relationships/hyperlink" Target="https://old.ukr-mobil.com/displej_huawei_mediapad_t1_7_t1-701u_s_tachskrinom_original_black_9591" TargetMode="External"/><Relationship Id="rId_hyperlink_1722" Type="http://schemas.openxmlformats.org/officeDocument/2006/relationships/hyperlink" Target="https://old.ukr-mobil.com/displej_huawei_mediapad_t1_7_t1-701u_s_tachskrinom_original_white_105" TargetMode="External"/><Relationship Id="rId_hyperlink_1723" Type="http://schemas.openxmlformats.org/officeDocument/2006/relationships/hyperlink" Target="https://old.ukr-mobil.com/displej_huawei_mediapad_t3_10_lte_ags-l09_s_tachskrinom_original_prc_black_10054" TargetMode="External"/><Relationship Id="rId_hyperlink_1724" Type="http://schemas.openxmlformats.org/officeDocument/2006/relationships/hyperlink" Target="https://old.ukr-mobil.com/displej_huawei_mediapad_t3_10_lte_ags-l09_s_tachskrinom_original_prc_white_10389" TargetMode="External"/><Relationship Id="rId_hyperlink_1725" Type="http://schemas.openxmlformats.org/officeDocument/2006/relationships/hyperlink" Target="https://old.ukr-mobil.com/displej_huawei_mediapad_t3_7_3g_t3-701_bg-u01_bg2-u01_s_tachskrinom_original_prc_black_9994" TargetMode="External"/><Relationship Id="rId_hyperlink_1726" Type="http://schemas.openxmlformats.org/officeDocument/2006/relationships/hyperlink" Target="https://old.ukr-mobil.com/displej_huawei_mediapad_t3_7_wi-fi_bg2-w09_t3-701_s_tachskrinom_original_prc_black_9993" TargetMode="External"/><Relationship Id="rId_hyperlink_1727" Type="http://schemas.openxmlformats.org/officeDocument/2006/relationships/hyperlink" Target="https://old.ukr-mobil.com/displej_huawei_mediapad_t3_8_0_kob-l09_kob-w09_s_tachskrinom_original_prc_black_10053" TargetMode="External"/><Relationship Id="rId_hyperlink_1728" Type="http://schemas.openxmlformats.org/officeDocument/2006/relationships/hyperlink" Target="https://old.ukr-mobil.com/displej_huawei_mediapad_t3_8_0_kob-l09_kob-w09_s_tachskrinom_original_prc_white_10000719" TargetMode="External"/><Relationship Id="rId_hyperlink_1729" Type="http://schemas.openxmlformats.org/officeDocument/2006/relationships/hyperlink" Target="https://old.ukr-mobil.com/displej_huawei_mediapad_t5_10_ags2-l09_ags2-w09_s_tachskrinom_original_prc_black_11302" TargetMode="External"/><Relationship Id="rId_hyperlink_1730" Type="http://schemas.openxmlformats.org/officeDocument/2006/relationships/hyperlink" Target="https://old.ukr-mobil.com/displej_lenovo_a5500_ideatab_a8-50_tab_2_a8-50f_tab_2_a8-50l_tab_2_a8-50lc_tab_2_5998" TargetMode="External"/><Relationship Id="rId_hyperlink_1731" Type="http://schemas.openxmlformats.org/officeDocument/2006/relationships/hyperlink" Target="https://old.ukr-mobil.com/displej_lenovo_ideatab_a7600_a10-70_5895" TargetMode="External"/><Relationship Id="rId_hyperlink_1732" Type="http://schemas.openxmlformats.org/officeDocument/2006/relationships/hyperlink" Target="https://old.ukr-mobil.com/displej_lenovo_ideatab_a7600_a10-70_s_tachskrinom_ramkoj_black_8027" TargetMode="External"/><Relationship Id="rId_hyperlink_1733" Type="http://schemas.openxmlformats.org/officeDocument/2006/relationships/hyperlink" Target="https://old.ukr-mobil.com/displej_lenovo_miix_3-830_s_tachskrinom_ramkoj_black_8501" TargetMode="External"/><Relationship Id="rId_hyperlink_1734" Type="http://schemas.openxmlformats.org/officeDocument/2006/relationships/hyperlink" Target="https://old.ukr-mobil.com/displej_lenovo_pb1-750m_phab_s_tachskrinom_black_9592" TargetMode="External"/><Relationship Id="rId_hyperlink_1735" Type="http://schemas.openxmlformats.org/officeDocument/2006/relationships/hyperlink" Target="https://old.ukr-mobil.com/displej_lenovo_pb1-750m_phab_s_tachskrinom_white_9593" TargetMode="External"/><Relationship Id="rId_hyperlink_1736" Type="http://schemas.openxmlformats.org/officeDocument/2006/relationships/hyperlink" Target="https://old.ukr-mobil.com/displej_lenovo_pb1-770m_phab_plus_lte_s_tachskrinom_white_8022" TargetMode="External"/><Relationship Id="rId_hyperlink_1737" Type="http://schemas.openxmlformats.org/officeDocument/2006/relationships/hyperlink" Target="https://old.ukr-mobil.com/displej_lenovo_tab_10_tb-x103f_s_tachskrinom_black_10390" TargetMode="External"/><Relationship Id="rId_hyperlink_1738" Type="http://schemas.openxmlformats.org/officeDocument/2006/relationships/hyperlink" Target="https://old.ukr-mobil.com/displej_lenovo_tab_2_a10-70f_a10-70l_s_tachskrinom_white_12343" TargetMode="External"/><Relationship Id="rId_hyperlink_1739" Type="http://schemas.openxmlformats.org/officeDocument/2006/relationships/hyperlink" Target="https://old.ukr-mobil.com/displej_lenovo_tab_2_a10-70f_a10-70l_s_tachskrinom_black_8021" TargetMode="External"/><Relationship Id="rId_hyperlink_1740" Type="http://schemas.openxmlformats.org/officeDocument/2006/relationships/hyperlink" Target="https://old.ukr-mobil.com/displej_lenovo_tab_2_a7-10_a7-20_s_tachskrinom_black_6085" TargetMode="External"/><Relationship Id="rId_hyperlink_1741" Type="http://schemas.openxmlformats.org/officeDocument/2006/relationships/hyperlink" Target="https://old.ukr-mobil.com/displej_lenovo_tab_2_a7-30_tab_2_a7-30dc_tab_2_a7-30f_green_fpc_s_tachskrinom_black_11267" TargetMode="External"/><Relationship Id="rId_hyperlink_1742" Type="http://schemas.openxmlformats.org/officeDocument/2006/relationships/hyperlink" Target="https://old.ukr-mobil.com/displej_lenovo_tab_2_a7-30hc_yellow_fpc_s_tachskrinom_black_6211" TargetMode="External"/><Relationship Id="rId_hyperlink_1743" Type="http://schemas.openxmlformats.org/officeDocument/2006/relationships/hyperlink" Target="https://old.ukr-mobil.com/displej_lenovo_tab_3_plus_8703x_8_lte_tb-8703x_s_tachskrinom_black_10253" TargetMode="External"/><Relationship Id="rId_hyperlink_1744" Type="http://schemas.openxmlformats.org/officeDocument/2006/relationships/hyperlink" Target="https://old.ukr-mobil.com/displej_lenovo_tab_3_plus_tb-7703x_7_lte_s_tachskrinom_black_10252" TargetMode="External"/><Relationship Id="rId_hyperlink_1745" Type="http://schemas.openxmlformats.org/officeDocument/2006/relationships/hyperlink" Target="https://old.ukr-mobil.com/displej_lenovo_tab_3_plus_x70l_10_1_lte_s_tachskrinom_black_10254" TargetMode="External"/><Relationship Id="rId_hyperlink_1746" Type="http://schemas.openxmlformats.org/officeDocument/2006/relationships/hyperlink" Target="https://old.ukr-mobil.com/displej_lenovo_tab_3_plus_x70l_10_1_lte_s_tachskrinom_white_11805" TargetMode="External"/><Relationship Id="rId_hyperlink_1747" Type="http://schemas.openxmlformats.org/officeDocument/2006/relationships/hyperlink" Target="https://old.ukr-mobil.com/displej_lenovo_tab_3_tb3-710f_essential_tab_3_tb3-710l_essential_7532" TargetMode="External"/><Relationship Id="rId_hyperlink_1748" Type="http://schemas.openxmlformats.org/officeDocument/2006/relationships/hyperlink" Target="https://old.ukr-mobil.com/displej_lenovo_tab_3_tb3-850m_tb3-850f_s_tachskrinom_black_9145" TargetMode="External"/><Relationship Id="rId_hyperlink_1749" Type="http://schemas.openxmlformats.org/officeDocument/2006/relationships/hyperlink" Target="https://old.ukr-mobil.com/displej_lenovo_tab_3-710f_s_tachskrinom_black_9363" TargetMode="External"/><Relationship Id="rId_hyperlink_1750" Type="http://schemas.openxmlformats.org/officeDocument/2006/relationships/hyperlink" Target="https://old.ukr-mobil.com/displej_lenovo_tab_3-730_187_97mm_s_tachskrinom_black_8587" TargetMode="External"/><Relationship Id="rId_hyperlink_1751" Type="http://schemas.openxmlformats.org/officeDocument/2006/relationships/hyperlink" Target="https://old.ukr-mobil.com/displej_lenovo_tab_4_10_plus_x704l_s_tachskrinom_black_10395" TargetMode="External"/><Relationship Id="rId_hyperlink_1752" Type="http://schemas.openxmlformats.org/officeDocument/2006/relationships/hyperlink" Target="https://old.ukr-mobil.com/displej_lenovo_tab_4_10_tb-x304l_original_prc_10002266" TargetMode="External"/><Relationship Id="rId_hyperlink_1753" Type="http://schemas.openxmlformats.org/officeDocument/2006/relationships/hyperlink" Target="https://old.ukr-mobil.com/displej_lenovo_tab_4_10_tb-x304l_s_tachskrinom_black_11466" TargetMode="External"/><Relationship Id="rId_hyperlink_1754" Type="http://schemas.openxmlformats.org/officeDocument/2006/relationships/hyperlink" Target="https://old.ukr-mobil.com/displej_lenovo_tab_4_10_tb-x304l_s_tachskrinom_white_11472" TargetMode="External"/><Relationship Id="rId_hyperlink_1755" Type="http://schemas.openxmlformats.org/officeDocument/2006/relationships/hyperlink" Target="https://old.ukr-mobil.com/displej_lenovo_tab_4_7_essential_tb-7304f_187_97mm_s_tachskrinom_black_10312" TargetMode="External"/><Relationship Id="rId_hyperlink_1756" Type="http://schemas.openxmlformats.org/officeDocument/2006/relationships/hyperlink" Target="https://old.ukr-mobil.com/displej_lenovo_tab_4_8_plus_tb-8704x_s_tachskrinom_black_10391" TargetMode="External"/><Relationship Id="rId_hyperlink_1757" Type="http://schemas.openxmlformats.org/officeDocument/2006/relationships/hyperlink" Target="https://old.ukr-mobil.com/displej_lenovo_tab_4_8_tb-8504f_s_tachskrinom_black_10392" TargetMode="External"/><Relationship Id="rId_hyperlink_1758" Type="http://schemas.openxmlformats.org/officeDocument/2006/relationships/hyperlink" Target="https://old.ukr-mobil.com/displej_lenovo_tab_4_tb-7504x_lte_s_tachskrinom_original_prc_black_11464" TargetMode="External"/><Relationship Id="rId_hyperlink_1759" Type="http://schemas.openxmlformats.org/officeDocument/2006/relationships/hyperlink" Target="https://old.ukr-mobil.com/displej_lenovo_tab_4_tb-7504x_lte_s_tachskrinom_original_prc_white_11473" TargetMode="External"/><Relationship Id="rId_hyperlink_1760" Type="http://schemas.openxmlformats.org/officeDocument/2006/relationships/hyperlink" Target="https://old.ukr-mobil.com/displej_lenovo_tab_m10_3rd_gen_tb328_s_tachskrinom_original_black_10003547" TargetMode="External"/><Relationship Id="rId_hyperlink_1761" Type="http://schemas.openxmlformats.org/officeDocument/2006/relationships/hyperlink" Target="https://old.ukr-mobil.com/displej_lenovo_tab_m10_hd_2_gen_x306f_x306x_s_tachskrinom_original_prc_black_10003604" TargetMode="External"/><Relationship Id="rId_hyperlink_1762" Type="http://schemas.openxmlformats.org/officeDocument/2006/relationships/hyperlink" Target="https://old.ukr-mobil.com/displej_lenovo_tab_m10_hd_2_gen_x306f_x306x_s_tachskrinom_original_black_10003548" TargetMode="External"/><Relationship Id="rId_hyperlink_1763" Type="http://schemas.openxmlformats.org/officeDocument/2006/relationships/hyperlink" Target="https://old.ukr-mobil.com/displej_lenovo_tab_m10_plus_3rd_gen_tb125_tb128_s_tachskrinom_original_black_10003546" TargetMode="External"/><Relationship Id="rId_hyperlink_1764" Type="http://schemas.openxmlformats.org/officeDocument/2006/relationships/hyperlink" Target="https://old.ukr-mobil.com/displej_lenovo_tab_m10_plus_fhd_tb-x606f_s_tachskrinom_original_black_10002241" TargetMode="External"/><Relationship Id="rId_hyperlink_1765" Type="http://schemas.openxmlformats.org/officeDocument/2006/relationships/hyperlink" Target="https://old.ukr-mobil.com/displej_lenovo_tab_m10_tb-x605_s_tachskrinom_original_black_10001141" TargetMode="External"/><Relationship Id="rId_hyperlink_1766" Type="http://schemas.openxmlformats.org/officeDocument/2006/relationships/hyperlink" Target="https://old.ukr-mobil.com/displej_lenovo_tab_m7_7305_s_tachskrinom_original_black_10001140" TargetMode="External"/><Relationship Id="rId_hyperlink_1767" Type="http://schemas.openxmlformats.org/officeDocument/2006/relationships/hyperlink" Target="https://old.ukr-mobil.com/displej_lenovo_tab_m8_tb-8505f_tb-8505x_s_tachskrinom_original_black_10002242" TargetMode="External"/><Relationship Id="rId_hyperlink_1768" Type="http://schemas.openxmlformats.org/officeDocument/2006/relationships/hyperlink" Target="https://old.ukr-mobil.com/displej_lenovo_tab_m8_fhd_tb-8705f_s_tachskrinom_original_black_10002261" TargetMode="External"/><Relationship Id="rId_hyperlink_1769" Type="http://schemas.openxmlformats.org/officeDocument/2006/relationships/hyperlink" Target="https://old.ukr-mobil.com/displej_lenovo_tab_p10_tb-x705_s_tachskrinom_original_black_10003550" TargetMode="External"/><Relationship Id="rId_hyperlink_1770" Type="http://schemas.openxmlformats.org/officeDocument/2006/relationships/hyperlink" Target="https://old.ukr-mobil.com/displej_lenovo_tab_p11_tb-j606f_tab_p11_plus_tb-j616f_s_tachskrinom_original_black_10003549" TargetMode="External"/><Relationship Id="rId_hyperlink_1771" Type="http://schemas.openxmlformats.org/officeDocument/2006/relationships/hyperlink" Target="https://old.ukr-mobil.com/displej_lenovo_tab_s8-50_s_tachskrinom_black_7172" TargetMode="External"/><Relationship Id="rId_hyperlink_1772" Type="http://schemas.openxmlformats.org/officeDocument/2006/relationships/hyperlink" Target="https://old.ukr-mobil.com/displej_lenovo_tab_s8-50f_5757" TargetMode="External"/><Relationship Id="rId_hyperlink_1773" Type="http://schemas.openxmlformats.org/officeDocument/2006/relationships/hyperlink" Target="https://old.ukr-mobil.com/displej_lenovo_yoga_tablet_2_1050l_s_tachskrinom_black_7171" TargetMode="External"/><Relationship Id="rId_hyperlink_1774" Type="http://schemas.openxmlformats.org/officeDocument/2006/relationships/hyperlink" Target="https://old.ukr-mobil.com/displej_lenovo_yoga_tablet_3_pro_yt3-x90l_yt3-x90f_yt3-x90x_x90l_s_tachskrinom_black_10057" TargetMode="External"/><Relationship Id="rId_hyperlink_1775" Type="http://schemas.openxmlformats.org/officeDocument/2006/relationships/hyperlink" Target="https://old.ukr-mobil.com/displej_lenovo_yoga_tablet_3-850f_s_tachskrinom_black_8509" TargetMode="External"/><Relationship Id="rId_hyperlink_1776" Type="http://schemas.openxmlformats.org/officeDocument/2006/relationships/hyperlink" Target="https://old.ukr-mobil.com/displej_lenovo_yoga_tablet_b6000_s_tachskrinom_black_4899" TargetMode="External"/><Relationship Id="rId_hyperlink_1777" Type="http://schemas.openxmlformats.org/officeDocument/2006/relationships/hyperlink" Target="https://old.ukr-mobil.com/displej_lenovo_yoga_tablet_b8000_s_tachskrinom_black_4900" TargetMode="External"/><Relationship Id="rId_hyperlink_1778" Type="http://schemas.openxmlformats.org/officeDocument/2006/relationships/hyperlink" Target="https://old.ukr-mobil.com/displej_lg_v400_g_pad_7_0_s_tachskrinom_5467" TargetMode="External"/><Relationship Id="rId_hyperlink_1779" Type="http://schemas.openxmlformats.org/officeDocument/2006/relationships/hyperlink" Target="https://old.ukr-mobil.com/displej_lg_v480_v490_g_pad_8_0_s_tachskrinom_black_5737" TargetMode="External"/><Relationship Id="rId_hyperlink_1780" Type="http://schemas.openxmlformats.org/officeDocument/2006/relationships/hyperlink" Target="https://old.ukr-mobil.com/displej_lg_v500_g_pad_8_3_3g_s_tachskrinom_white_5679" TargetMode="External"/><Relationship Id="rId_hyperlink_1781" Type="http://schemas.openxmlformats.org/officeDocument/2006/relationships/hyperlink" Target="https://old.ukr-mobil.com/displej_lg_v500_g_pad_8_3_wi-fi_s_tachskrinom_black_verizon_5466" TargetMode="External"/><Relationship Id="rId_hyperlink_1782" Type="http://schemas.openxmlformats.org/officeDocument/2006/relationships/hyperlink" Target="https://old.ukr-mobil.com/displej_lg_v500_g_pad_8_3_wi-fi_s_tachskrinom_ramkoj_white_6219" TargetMode="External"/><Relationship Id="rId_hyperlink_1783" Type="http://schemas.openxmlformats.org/officeDocument/2006/relationships/hyperlink" Target="https://old.ukr-mobil.com/displej_lg_v700_g_pad_10_1_s_tachskrinom_black_6178" TargetMode="External"/><Relationship Id="rId_hyperlink_1784" Type="http://schemas.openxmlformats.org/officeDocument/2006/relationships/hyperlink" Target="https://old.ukr-mobil.com/displej_microsoft_surface_pro_1_5760" TargetMode="External"/><Relationship Id="rId_hyperlink_1785" Type="http://schemas.openxmlformats.org/officeDocument/2006/relationships/hyperlink" Target="https://old.ukr-mobil.com/displej_microsoft_surface_pro_2_5761" TargetMode="External"/><Relationship Id="rId_hyperlink_1786" Type="http://schemas.openxmlformats.org/officeDocument/2006/relationships/hyperlink" Target="https://old.ukr-mobil.com/displej_microsoft_surface_pro_3_s_tachskrinom_9445" TargetMode="External"/><Relationship Id="rId_hyperlink_1787" Type="http://schemas.openxmlformats.org/officeDocument/2006/relationships/hyperlink" Target="https://old.ukr-mobil.com/displej_microsoft_surface_pro_4_s_tachskrinom_11936" TargetMode="External"/><Relationship Id="rId_hyperlink_1788" Type="http://schemas.openxmlformats.org/officeDocument/2006/relationships/hyperlink" Target="https://old.ukr-mobil.com/displej_microsoft_surface_rt1_5759" TargetMode="External"/><Relationship Id="rId_hyperlink_1789" Type="http://schemas.openxmlformats.org/officeDocument/2006/relationships/hyperlink" Target="https://old.ukr-mobil.com/displej_nomi_nomi_c070010_corsa_7_3g_1280x720_162_mm_103_mm_31_pin_n070ice-gb2_rev_b1_7936" TargetMode="External"/><Relationship Id="rId_hyperlink_1790" Type="http://schemas.openxmlformats.org/officeDocument/2006/relationships/hyperlink" Target="https://old.ukr-mobil.com/displej_nomi_c10104_terra_s_7593" TargetMode="External"/><Relationship Id="rId_hyperlink_1791" Type="http://schemas.openxmlformats.org/officeDocument/2006/relationships/hyperlink" Target="https://old.ukr-mobil.com/displej_realme_pad_mini_8_7_s_tachskrinom_original_black_10003553" TargetMode="External"/><Relationship Id="rId_hyperlink_1792" Type="http://schemas.openxmlformats.org/officeDocument/2006/relationships/hyperlink" Target="https://old.ukr-mobil.com/displej_samsung_a3000_p1000_p3100_p3110_p3200_p6200_t211_galaxy_tab_3_7_0_4514" TargetMode="External"/><Relationship Id="rId_hyperlink_1793" Type="http://schemas.openxmlformats.org/officeDocument/2006/relationships/hyperlink" Target="https://old.ukr-mobil.com/displej_samsung_n8000_galaxy_note_n8010_galaxy_note_7715" TargetMode="External"/><Relationship Id="rId_hyperlink_1794" Type="http://schemas.openxmlformats.org/officeDocument/2006/relationships/hyperlink" Target="https://old.ukr-mobil.com/displej_samsung_p355_galaxy_tab_a_8_0_s_tachskrinom_black_6182" TargetMode="External"/><Relationship Id="rId_hyperlink_1795" Type="http://schemas.openxmlformats.org/officeDocument/2006/relationships/hyperlink" Target="https://old.ukr-mobil.com/displej_samsung_p5100_galaxy_tab2_p5110_galaxy_tab2_p5200_galaxy_tab3_p5210_galaxy_tab3_p7500_galaxy_tab_p7510_galaxy_tab_t530_galaxy_tab_4_1_9787" TargetMode="External"/><Relationship Id="rId_hyperlink_1796" Type="http://schemas.openxmlformats.org/officeDocument/2006/relationships/hyperlink" Target="https://old.ukr-mobil.com/displej_samsung_p600_p605_galaxy_note_10_1_s_tachskrinom_black_4648" TargetMode="External"/><Relationship Id="rId_hyperlink_1797" Type="http://schemas.openxmlformats.org/officeDocument/2006/relationships/hyperlink" Target="https://old.ukr-mobil.com/displej_samsung_p600_p605_galaxy_note_10_1_s_tachskrinom_white_4688" TargetMode="External"/><Relationship Id="rId_hyperlink_1798" Type="http://schemas.openxmlformats.org/officeDocument/2006/relationships/hyperlink" Target="https://old.ukr-mobil.com/displej_samsung_p610_galaxy_tab_s6_lite_s_tachskrinom_black_original_10001143" TargetMode="External"/><Relationship Id="rId_hyperlink_1799" Type="http://schemas.openxmlformats.org/officeDocument/2006/relationships/hyperlink" Target="https://old.ukr-mobil.com/displej_samsung_p610_p613_p615_p617_p619_galaxy_tab_s6_lite_s_tachskrinom_original_black_10003545" TargetMode="External"/><Relationship Id="rId_hyperlink_1800" Type="http://schemas.openxmlformats.org/officeDocument/2006/relationships/hyperlink" Target="https://old.ukr-mobil.com/displej_samsung_t220_galaxy_tab_a7_lite_wi-fi_s_tachskrinom_original_prc_black_10002256" TargetMode="External"/><Relationship Id="rId_hyperlink_1801" Type="http://schemas.openxmlformats.org/officeDocument/2006/relationships/hyperlink" Target="https://old.ukr-mobil.com/displej_samsung_t225_galaxy_tab_a7_lite_lte_s_tachskrinom_original_prc_black_10002255" TargetMode="External"/><Relationship Id="rId_hyperlink_1802" Type="http://schemas.openxmlformats.org/officeDocument/2006/relationships/hyperlink" Target="https://old.ukr-mobil.com/displej_samsung_t230_galaxy_tab_4_7_0_t231_galaxy_tab_4_7_0_3g_t235_galaxy_tab_4_7_0_lte_7716" TargetMode="External"/><Relationship Id="rId_hyperlink_1803" Type="http://schemas.openxmlformats.org/officeDocument/2006/relationships/hyperlink" Target="https://old.ukr-mobil.com/displej_samsung_t231_galaxy_tab_4_7_0_wi-fi_3g_s_tachskrinom_black_5753" TargetMode="External"/><Relationship Id="rId_hyperlink_1804" Type="http://schemas.openxmlformats.org/officeDocument/2006/relationships/hyperlink" Target="https://old.ukr-mobil.com/displej_samsung_t231_galaxy_tab_4_7_0_wi-fi_3g_s_tachskrinom_white_5754" TargetMode="External"/><Relationship Id="rId_hyperlink_1805" Type="http://schemas.openxmlformats.org/officeDocument/2006/relationships/hyperlink" Target="https://old.ukr-mobil.com/displej_samsung_t280_galaxy_tab_a_7_0_wifi_s_tachskrinom_black_9126" TargetMode="External"/><Relationship Id="rId_hyperlink_1806" Type="http://schemas.openxmlformats.org/officeDocument/2006/relationships/hyperlink" Target="https://old.ukr-mobil.com/displej_samsung_t285_galaxy_tab_a_7_0_lte_s_tachskrinom_original_prc_black_7085" TargetMode="External"/><Relationship Id="rId_hyperlink_1807" Type="http://schemas.openxmlformats.org/officeDocument/2006/relationships/hyperlink" Target="https://old.ukr-mobil.com/displej_samsung_t285_galaxy_tab_a_7_0_lte_s_tachskrinom_original_prc_white_7086" TargetMode="External"/><Relationship Id="rId_hyperlink_1808" Type="http://schemas.openxmlformats.org/officeDocument/2006/relationships/hyperlink" Target="https://old.ukr-mobil.com/displej_samsung_t310_galaxy_tab_3_8_0_t3100_t311_t3110_t315_lte_versiya_wifi_s_tachskrinom_black_6740" TargetMode="External"/><Relationship Id="rId_hyperlink_1809" Type="http://schemas.openxmlformats.org/officeDocument/2006/relationships/hyperlink" Target="https://old.ukr-mobil.com/displej_samsung_t310_galaxy_tab_3_8_0_t3100_t311_t3110_t315_lte_versiya_wifi_s_tachskrinom_white_4705" TargetMode="External"/><Relationship Id="rId_hyperlink_1810" Type="http://schemas.openxmlformats.org/officeDocument/2006/relationships/hyperlink" Target="https://old.ukr-mobil.com/displej_samsung_t310_galaxy_tab_3_8_0_t3100_t311_t3110_t315_lte_versiya_3g_s_tachskrinom_black_4815" TargetMode="External"/><Relationship Id="rId_hyperlink_1811" Type="http://schemas.openxmlformats.org/officeDocument/2006/relationships/hyperlink" Target="https://old.ukr-mobil.com/displej_samsung_t310_galaxy_tab_3_8_0_t3100_t311_t3110_t315_lte_versiya_3g_s_tachskrinom_white_4814" TargetMode="External"/><Relationship Id="rId_hyperlink_1812" Type="http://schemas.openxmlformats.org/officeDocument/2006/relationships/hyperlink" Target="https://old.ukr-mobil.com/displej_samsung_t320_galaxy_tab_pro_8_4_wi-fi_s_tachskrinom_black_11303" TargetMode="External"/><Relationship Id="rId_hyperlink_1813" Type="http://schemas.openxmlformats.org/officeDocument/2006/relationships/hyperlink" Target="https://old.ukr-mobil.com/displej_samsung_t321_galaxy_tab_pro_8_4_3g_t325_galaxy_tab_pro_8_4_lte_s_tachskrinom_original_prc_black_11470" TargetMode="External"/><Relationship Id="rId_hyperlink_1814" Type="http://schemas.openxmlformats.org/officeDocument/2006/relationships/hyperlink" Target="https://old.ukr-mobil.com/displej_samsung_t321_galaxy_tab_pro_8_4_3g_t325_galaxy_tab_pro_8_4_lte_s_tachskrinom_original_prc_white_11471" TargetMode="External"/><Relationship Id="rId_hyperlink_1815" Type="http://schemas.openxmlformats.org/officeDocument/2006/relationships/hyperlink" Target="https://old.ukr-mobil.com/displej_samsung_t330_galaxy_tab_4_8_0_wi-fi_s_tachskrinom_black_6191" TargetMode="External"/><Relationship Id="rId_hyperlink_1816" Type="http://schemas.openxmlformats.org/officeDocument/2006/relationships/hyperlink" Target="https://old.ukr-mobil.com/displej_samsung_t330_galaxy_tab_4_8_0_wi-fi_s_tachskrinom_white_6192" TargetMode="External"/><Relationship Id="rId_hyperlink_1817" Type="http://schemas.openxmlformats.org/officeDocument/2006/relationships/hyperlink" Target="https://old.ukr-mobil.com/displej_samsung_t335_galaxy_tab_4_8_0_3g_s_tachskrinom_black_6193" TargetMode="External"/><Relationship Id="rId_hyperlink_1818" Type="http://schemas.openxmlformats.org/officeDocument/2006/relationships/hyperlink" Target="https://old.ukr-mobil.com/displej_samsung_t335_galaxy_tab_4_8_0_3g_s_tachskrinom_white_6194" TargetMode="External"/><Relationship Id="rId_hyperlink_1819" Type="http://schemas.openxmlformats.org/officeDocument/2006/relationships/hyperlink" Target="https://old.ukr-mobil.com/displej_samsung_t380_galaxy_tab_a_8_0_versiya_wi-fi_s_tachskrinom_black_12215" TargetMode="External"/><Relationship Id="rId_hyperlink_1820" Type="http://schemas.openxmlformats.org/officeDocument/2006/relationships/hyperlink" Target="https://old.ukr-mobil.com/displej_samsung_t385_galaxy_tab_a_8_0_lte_s_tachskrinom_original_prc_black_11481" TargetMode="External"/><Relationship Id="rId_hyperlink_1821" Type="http://schemas.openxmlformats.org/officeDocument/2006/relationships/hyperlink" Target="https://old.ukr-mobil.com/displej_samsung_t385_galaxy_tab_a_8_0_lte_s_tachskrinom_original_prc_white_11482" TargetMode="External"/><Relationship Id="rId_hyperlink_1822" Type="http://schemas.openxmlformats.org/officeDocument/2006/relationships/hyperlink" Target="https://old.ukr-mobil.com/displej_samsung_t395_galaxy_active_2_8_0_lte_s_tachskrinom_original_prc_black_10056" TargetMode="External"/><Relationship Id="rId_hyperlink_1823" Type="http://schemas.openxmlformats.org/officeDocument/2006/relationships/hyperlink" Target="https://old.ukr-mobil.com/displej_samsung_t395_galaxy_active_2_8_0_lte_s_tachskrinom_original_prc_white_12100" TargetMode="External"/><Relationship Id="rId_hyperlink_1824" Type="http://schemas.openxmlformats.org/officeDocument/2006/relationships/hyperlink" Target="https://old.ukr-mobil.com/displej_samsung_t500_galaxy_tab_a7_10_4_s_tachskrinom_black_original_10001145" TargetMode="External"/><Relationship Id="rId_hyperlink_1825" Type="http://schemas.openxmlformats.org/officeDocument/2006/relationships/hyperlink" Target="https://old.ukr-mobil.com/displej_samsung_t510_galaxy_tab_a_10_1_wi-fi_t515_galaxy_tab_a_10_1_lte_s_tachskrinom_high_copy_black_10003228" TargetMode="External"/><Relationship Id="rId_hyperlink_1826" Type="http://schemas.openxmlformats.org/officeDocument/2006/relationships/hyperlink" Target="https://old.ukr-mobil.com/displej_samsung_t510_galaxy_tab_a_10_1_wi-fi_t515_galaxy_tab_a_10_1_lte_s_tachskrinom_original_black_10000356" TargetMode="External"/><Relationship Id="rId_hyperlink_1827" Type="http://schemas.openxmlformats.org/officeDocument/2006/relationships/hyperlink" Target="https://old.ukr-mobil.com/displej_samsung_t530_t531_galaxy_tab_4_10_1_s_tachskrinom_black_6070" TargetMode="External"/><Relationship Id="rId_hyperlink_1828" Type="http://schemas.openxmlformats.org/officeDocument/2006/relationships/hyperlink" Target="https://old.ukr-mobil.com/displej_samsung_t530_t531_galaxy_tab_4_10_1_s_tachskrinom_white_6069" TargetMode="External"/><Relationship Id="rId_hyperlink_1829" Type="http://schemas.openxmlformats.org/officeDocument/2006/relationships/hyperlink" Target="https://old.ukr-mobil.com/displej_samsung_t550_galaxy_tab_a_9_7_t555_galaxy_tab_a_9_7_lte_11477" TargetMode="External"/><Relationship Id="rId_hyperlink_1830" Type="http://schemas.openxmlformats.org/officeDocument/2006/relationships/hyperlink" Target="https://old.ukr-mobil.com/displej_samsung_t550_galaxy_tab_a_9_7_t555_galaxy_tab_a_9_7_lte_s_tachskrinom_black_9338" TargetMode="External"/><Relationship Id="rId_hyperlink_1831" Type="http://schemas.openxmlformats.org/officeDocument/2006/relationships/hyperlink" Target="https://old.ukr-mobil.com/displej_samsung_t560_galaxy_tab_e_9_6_t561_galaxy_tab_e_9_6_original_prc_11296" TargetMode="External"/><Relationship Id="rId_hyperlink_1832" Type="http://schemas.openxmlformats.org/officeDocument/2006/relationships/hyperlink" Target="https://old.ukr-mobil.com/displej_samsung_t560_galaxy_tab_e_9_6_t561_galaxy_tab_e_9_6_s_tachskrinom_original_prc_black_6068" TargetMode="External"/><Relationship Id="rId_hyperlink_1833" Type="http://schemas.openxmlformats.org/officeDocument/2006/relationships/hyperlink" Target="https://old.ukr-mobil.com/displej_samsung_t560_galaxy_tab_e_9_6_t561_galaxy_tab_e_9_6_s_tachskrinom_original_prc_white_6067" TargetMode="External"/><Relationship Id="rId_hyperlink_1834" Type="http://schemas.openxmlformats.org/officeDocument/2006/relationships/hyperlink" Target="https://old.ukr-mobil.com/displej_samsung_t580_galaxy_tab_a_10_1_wifi_t585_galaxy_tab_a_10_1_lte_original_11478" TargetMode="External"/><Relationship Id="rId_hyperlink_1835" Type="http://schemas.openxmlformats.org/officeDocument/2006/relationships/hyperlink" Target="https://old.ukr-mobil.com/displej_samsung_t580_galaxy_tab_a_10_1_wifi_t585_galaxy_tab_a_10_1_lte_s_tachskrinom_original_black_7081" TargetMode="External"/><Relationship Id="rId_hyperlink_1836" Type="http://schemas.openxmlformats.org/officeDocument/2006/relationships/hyperlink" Target="https://old.ukr-mobil.com/displej_samsung_t580_galaxy_tab_a_10_1_wifi_t585_galaxy_tab_a_10_1_lte_s_tachskrinom_original_white_7082" TargetMode="External"/><Relationship Id="rId_hyperlink_1837" Type="http://schemas.openxmlformats.org/officeDocument/2006/relationships/hyperlink" Target="https://old.ukr-mobil.com/displej_samsung_t590_galaxy_tab_a_10_5_wi-fi_t595_galaxy_tab_a_10_5_lte_s_tachskrinom_original_black_11483" TargetMode="External"/><Relationship Id="rId_hyperlink_1838" Type="http://schemas.openxmlformats.org/officeDocument/2006/relationships/hyperlink" Target="https://old.ukr-mobil.com/displej_samsung_t700_galaxy_tab_s_8_4_versiya_wifi_s_tachskrinom_bronze_6846" TargetMode="External"/><Relationship Id="rId_hyperlink_1839" Type="http://schemas.openxmlformats.org/officeDocument/2006/relationships/hyperlink" Target="https://old.ukr-mobil.com/displej_samsung_t700_galaxy_tab_s_8_4_versiya_wifi_s_tachskrinom_white_6847" TargetMode="External"/><Relationship Id="rId_hyperlink_1840" Type="http://schemas.openxmlformats.org/officeDocument/2006/relationships/hyperlink" Target="https://old.ukr-mobil.com/displej_samsung_t705_galaxy_tab_s_8_4_versiya_3g_s_tachskrinom_bronze_11479" TargetMode="External"/><Relationship Id="rId_hyperlink_1841" Type="http://schemas.openxmlformats.org/officeDocument/2006/relationships/hyperlink" Target="https://old.ukr-mobil.com/displej_samsung_t720_galaxy_tab_s5e_10_5_2019_t725_galaxy_tab_s5e_10_5_2019_lte_s_tachskrinom_black_11937" TargetMode="External"/><Relationship Id="rId_hyperlink_1842" Type="http://schemas.openxmlformats.org/officeDocument/2006/relationships/hyperlink" Target="https://old.ukr-mobil.com/index.php?route=product&amp;product_id=10004590" TargetMode="External"/><Relationship Id="rId_hyperlink_1843" Type="http://schemas.openxmlformats.org/officeDocument/2006/relationships/hyperlink" Target="https://old.ukr-mobil.com/displej_samsung_t800_galaxy_tab_s_10_5_t805_galaxy_tab_s_10_5_lte_s_tachskrinom_bronze_9650" TargetMode="External"/><Relationship Id="rId_hyperlink_1844" Type="http://schemas.openxmlformats.org/officeDocument/2006/relationships/hyperlink" Target="https://old.ukr-mobil.com/displej_samsung_t810_galaxy_tab_s2_t815_galaxy_tab_s2_lte_s_tachskrinom_black_7084" TargetMode="External"/><Relationship Id="rId_hyperlink_1845" Type="http://schemas.openxmlformats.org/officeDocument/2006/relationships/hyperlink" Target="https://old.ukr-mobil.com/displej_samsung_t830_galaxy_tab_s4_10_5_t835_galaxy_tab_s4_10_5_lte_s_tachskrinom_black_original_10001144" TargetMode="External"/><Relationship Id="rId_hyperlink_1846" Type="http://schemas.openxmlformats.org/officeDocument/2006/relationships/hyperlink" Target="https://old.ukr-mobil.com/displej_samsung_t860_t865_galaxy_tab_s6_s_tachskrinom_black_original_10001187" TargetMode="External"/><Relationship Id="rId_hyperlink_1847" Type="http://schemas.openxmlformats.org/officeDocument/2006/relationships/hyperlink" Target="https://old.ukr-mobil.com/index.php?route=product&amp;product_id=10004589" TargetMode="External"/><Relationship Id="rId_hyperlink_1848" Type="http://schemas.openxmlformats.org/officeDocument/2006/relationships/hyperlink" Target="https://old.ukr-mobil.com/displej_samsung_x200_galaxy_tab_a8_wi-fi_x205_galaxy_tab_a8_lte_s_tachskrinom_original_black_10002942" TargetMode="External"/><Relationship Id="rId_hyperlink_1849" Type="http://schemas.openxmlformats.org/officeDocument/2006/relationships/hyperlink" Target="https://old.ukr-mobil.com/displej_samsung_x706_galaxy_tab_s8_5g_s_tachskrinom_original_10002926" TargetMode="External"/><Relationship Id="rId_hyperlink_1850" Type="http://schemas.openxmlformats.org/officeDocument/2006/relationships/hyperlink" Target="https://old.ukr-mobil.com/displej_samsung_x806_galaxy_tab_s8_plus_5g_s_tachskrinom_original_10002927" TargetMode="External"/><Relationship Id="rId_hyperlink_1851" Type="http://schemas.openxmlformats.org/officeDocument/2006/relationships/hyperlink" Target="https://old.ukr-mobil.com/displej_samsung_x906_galaxy_tab_s8_ultra_5g_s_tachskrinom_original_10002928" TargetMode="External"/><Relationship Id="rId_hyperlink_1852" Type="http://schemas.openxmlformats.org/officeDocument/2006/relationships/hyperlink" Target="https://old.ukr-mobil.com/displej_sony_xperia_tablet_z_sgp311_sgp312_s_tachskrinom_4816" TargetMode="External"/><Relationship Id="rId_hyperlink_1853" Type="http://schemas.openxmlformats.org/officeDocument/2006/relationships/hyperlink" Target="https://old.ukr-mobil.com/displej_sony_xperia_tablet_z2_sgp511_sgp512_sgp521_sgp541_s_tachskrinom_4817" TargetMode="External"/><Relationship Id="rId_hyperlink_1854" Type="http://schemas.openxmlformats.org/officeDocument/2006/relationships/hyperlink" Target="https://old.ukr-mobil.com/displej_xiaomi_mi_pad_2_mi_pad_3_s_tachskrinom_black_11933" TargetMode="External"/><Relationship Id="rId_hyperlink_1855" Type="http://schemas.openxmlformats.org/officeDocument/2006/relationships/hyperlink" Target="https://old.ukr-mobil.com/displej_xiaomi_mi_pad_4_plus_s_tachskrinom_black_11934" TargetMode="External"/><Relationship Id="rId_hyperlink_1856" Type="http://schemas.openxmlformats.org/officeDocument/2006/relationships/hyperlink" Target="https://old.ukr-mobil.com/displej_xiaomi_mi_pad_4_plus_s_tachskrinom_white_11935" TargetMode="External"/><Relationship Id="rId_hyperlink_1857" Type="http://schemas.openxmlformats.org/officeDocument/2006/relationships/hyperlink" Target="https://old.ukr-mobil.com/displej_xiaomi_mi_pad_4_s_tachskrinom_black_11931" TargetMode="External"/><Relationship Id="rId_hyperlink_1858" Type="http://schemas.openxmlformats.org/officeDocument/2006/relationships/hyperlink" Target="https://old.ukr-mobil.com/displej_xiaomi_mi_pad_4_s_tachskrinom_white_11932" TargetMode="External"/><Relationship Id="rId_hyperlink_1859" Type="http://schemas.openxmlformats.org/officeDocument/2006/relationships/hyperlink" Target="https://old.ukr-mobil.com/displej_xiaomi_mi_pad_5_mi_pad_5_pro_s_tachskrinom_original_prc_black_10002257" TargetMode="External"/><Relationship Id="rId_hyperlink_1860" Type="http://schemas.openxmlformats.org/officeDocument/2006/relationships/hyperlink" Target="https://old.ukr-mobil.com/displej_10_1_inch_30pins_size_234mm_137mm_1024_600_mf1011683002a_9168" TargetMode="External"/><Relationship Id="rId_hyperlink_1861" Type="http://schemas.openxmlformats.org/officeDocument/2006/relationships/hyperlink" Target="https://old.ukr-mobil.com/korpus_ipad_4_3g_a1460_white_zadnyaya_kryshka_5597" TargetMode="External"/><Relationship Id="rId_hyperlink_1862" Type="http://schemas.openxmlformats.org/officeDocument/2006/relationships/hyperlink" Target="https://old.ukr-mobil.com/razem_na_zaryadku_asus_me170_memo_pad_hd7_dual_sim_me175kg_k00s_lenovo_tab_2_a7-30_explay_a500_5_pin_micro-usb_tip-b_5620" TargetMode="External"/><Relationship Id="rId_hyperlink_1863" Type="http://schemas.openxmlformats.org/officeDocument/2006/relationships/hyperlink" Target="https://old.ukr-mobil.com/ramka_sensora_ipad_2_ipad_3_black_106" TargetMode="External"/><Relationship Id="rId_hyperlink_1864" Type="http://schemas.openxmlformats.org/officeDocument/2006/relationships/hyperlink" Target="https://old.ukr-mobil.com/ramka_sensora_ipad_2_ipad_3_white_107" TargetMode="External"/><Relationship Id="rId_hyperlink_1865" Type="http://schemas.openxmlformats.org/officeDocument/2006/relationships/hyperlink" Target="https://old.ukr-mobil.com/sensor_tachskrin_apple_ipad_10_2_2019_a2197_a2198_a2200_original_black_10001197" TargetMode="External"/><Relationship Id="rId_hyperlink_1866" Type="http://schemas.openxmlformats.org/officeDocument/2006/relationships/hyperlink" Target="https://old.ukr-mobil.com/sensor_tachskrin_apple_ipad_10_2_2019_a2197_a2198_a2200_original_white_10001198" TargetMode="External"/><Relationship Id="rId_hyperlink_1867" Type="http://schemas.openxmlformats.org/officeDocument/2006/relationships/hyperlink" Target="https://old.ukr-mobil.com/sensor_tachskrin_apple_ipad_10_2_2021_a2602_a2603_a2604_a2605_original_black_10002481" TargetMode="External"/><Relationship Id="rId_hyperlink_1868" Type="http://schemas.openxmlformats.org/officeDocument/2006/relationships/hyperlink" Target="https://old.ukr-mobil.com/sensor_tachskrin_apple_ipad_10_2_2021_a2602_a2603_a2604_a2605_original_white_10002482" TargetMode="External"/><Relationship Id="rId_hyperlink_1869" Type="http://schemas.openxmlformats.org/officeDocument/2006/relationships/hyperlink" Target="https://old.ukr-mobil.com/sensor_tachskrin_apple_ipad_10_9_2022_10_gen_original_black_10003893" TargetMode="External"/><Relationship Id="rId_hyperlink_1870" Type="http://schemas.openxmlformats.org/officeDocument/2006/relationships/hyperlink" Target="https://old.ukr-mobil.com/sensor_tachskrin_ipad_5_air_ipad_air_ipad_9_7_2017_a1822_a1823_original_prc_black_11967" TargetMode="External"/><Relationship Id="rId_hyperlink_1871" Type="http://schemas.openxmlformats.org/officeDocument/2006/relationships/hyperlink" Target="https://old.ukr-mobil.com/sensor_tachskrin_ipad_5_air_ipad_air_ipad_9_7_2017_a1822_a1823_original_prc_white_11968" TargetMode="External"/><Relationship Id="rId_hyperlink_1872" Type="http://schemas.openxmlformats.org/officeDocument/2006/relationships/hyperlink" Target="https://old.ukr-mobil.com/sensor_tachskrin_ipad_5_air_ipad_air_ipad_9_7_2017_a1822_a1823_high_copy_black_4523" TargetMode="External"/><Relationship Id="rId_hyperlink_1873" Type="http://schemas.openxmlformats.org/officeDocument/2006/relationships/hyperlink" Target="https://old.ukr-mobil.com/sensor_tachskrin_apple_ipad_5_air_ipad_air_ipad_9_7_2017_a1822_a1823_s_knopkoj_home_original_prc_black_10002460" TargetMode="External"/><Relationship Id="rId_hyperlink_1874" Type="http://schemas.openxmlformats.org/officeDocument/2006/relationships/hyperlink" Target="https://old.ukr-mobil.com/sensor_tachskrin_apple_ipad_5_air_ipad_air_ipad_9_7_2017_a1822_a1823_s_knopkoj_home_original_prc_white_10002461" TargetMode="External"/><Relationship Id="rId_hyperlink_1875" Type="http://schemas.openxmlformats.org/officeDocument/2006/relationships/hyperlink" Target="https://old.ukr-mobil.com/sensor_tachskrin_ipad_9_7_2018_a1893_a1954_original_white_11390" TargetMode="External"/><Relationship Id="rId_hyperlink_1876" Type="http://schemas.openxmlformats.org/officeDocument/2006/relationships/hyperlink" Target="https://old.ukr-mobil.com/sensor_tachskrin_ipad_2018_a1893_a1954_original_s_knopkoj_home_black_11926" TargetMode="External"/><Relationship Id="rId_hyperlink_1877" Type="http://schemas.openxmlformats.org/officeDocument/2006/relationships/hyperlink" Target="https://old.ukr-mobil.com/sensor_tachskrin_ipad_2018_a1893_a1954_original_s_knopkoj_home_white_10000403" TargetMode="External"/><Relationship Id="rId_hyperlink_1878" Type="http://schemas.openxmlformats.org/officeDocument/2006/relationships/hyperlink" Target="https://old.ukr-mobil.com/sensor_tachskrin_ipad_air_2_a1566_a1567_black_5594" TargetMode="External"/><Relationship Id="rId_hyperlink_1879" Type="http://schemas.openxmlformats.org/officeDocument/2006/relationships/hyperlink" Target="https://old.ukr-mobil.com/sensor_tachskrin_ipad_air_2_a1566_a1567_white_5593" TargetMode="External"/><Relationship Id="rId_hyperlink_1880" Type="http://schemas.openxmlformats.org/officeDocument/2006/relationships/hyperlink" Target="https://old.ukr-mobil.com/sensor_tachskrin_apple_ipad_air_2_a1566_a1567_s_knopkoj_home_original_black_10002530" TargetMode="External"/><Relationship Id="rId_hyperlink_1881" Type="http://schemas.openxmlformats.org/officeDocument/2006/relationships/hyperlink" Target="https://old.ukr-mobil.com/sensor_tachskrin_apple_ipad_air_2_a1566_a1567_s_knopkoj_home_original_white_10002531" TargetMode="External"/><Relationship Id="rId_hyperlink_1882" Type="http://schemas.openxmlformats.org/officeDocument/2006/relationships/hyperlink" Target="https://old.ukr-mobil.com/sensor_tachskrin_apple_ipad_air_3_2019_a2123_a2152_a2153_original_prc_black_10002017" TargetMode="External"/><Relationship Id="rId_hyperlink_1883" Type="http://schemas.openxmlformats.org/officeDocument/2006/relationships/hyperlink" Target="https://old.ukr-mobil.com/sensor_tachskrin_ipad_mini_a1432_a1454_a1455_ipad_mini_2_retina_a1489_a1490_a1491_s_knopkoj_home_high_copy_black_4010" TargetMode="External"/><Relationship Id="rId_hyperlink_1884" Type="http://schemas.openxmlformats.org/officeDocument/2006/relationships/hyperlink" Target="https://old.ukr-mobil.com/sensor_tachskrin_ipad_mini_a1432_a1454_a1455_ipad_mini_2_retina_a1489_a1490_a1491_s_knopkoj_home_high_copy_white_4009" TargetMode="External"/><Relationship Id="rId_hyperlink_1885" Type="http://schemas.openxmlformats.org/officeDocument/2006/relationships/hyperlink" Target="https://old.ukr-mobil.com/sensor_tachskrin_ipad_mini_a1432_a1454_a1455_ipad_mini_2_retina_a1489_a1490_a1491_s_knopkoj_home_original_prc_black_5908" TargetMode="External"/><Relationship Id="rId_hyperlink_1886" Type="http://schemas.openxmlformats.org/officeDocument/2006/relationships/hyperlink" Target="https://old.ukr-mobil.com/sensor_tachskrin_ipad_mini_a1432_a1454_a1455_ipad_mini_2_retina_a1489_a1490_a1491_s_knopkoj_home_original_prc_white_5907" TargetMode="External"/><Relationship Id="rId_hyperlink_1887" Type="http://schemas.openxmlformats.org/officeDocument/2006/relationships/hyperlink" Target="https://old.ukr-mobil.com/sensor_tachskrin_ipad_mini_3_a1599_a1600_black_7316" TargetMode="External"/><Relationship Id="rId_hyperlink_1888" Type="http://schemas.openxmlformats.org/officeDocument/2006/relationships/hyperlink" Target="https://old.ukr-mobil.com/sensor_tachskrin_ipad_mini_3_a1599_a1600_white_7317" TargetMode="External"/><Relationship Id="rId_hyperlink_1889" Type="http://schemas.openxmlformats.org/officeDocument/2006/relationships/hyperlink" Target="https://old.ukr-mobil.com/sensor_tachskrin_apple_ipad_mini_5_a2124_a2126_a2133_original_prc_black_10002018" TargetMode="External"/><Relationship Id="rId_hyperlink_1890" Type="http://schemas.openxmlformats.org/officeDocument/2006/relationships/hyperlink" Target="https://old.ukr-mobil.com/sensor_tachskrin_apple_ipad_mini_5_a2124_a2126_a2133_original_prc_white_10002019" TargetMode="External"/><Relationship Id="rId_hyperlink_1891" Type="http://schemas.openxmlformats.org/officeDocument/2006/relationships/hyperlink" Target="https://old.ukr-mobil.com/sensor_tachskrin_apple_ipad_mini_2021_a2567_a2568_a2569_original_10002423" TargetMode="External"/><Relationship Id="rId_hyperlink_1892" Type="http://schemas.openxmlformats.org/officeDocument/2006/relationships/hyperlink" Target="https://old.ukr-mobil.com/sensor_tachskrin_ipad_pro_10_5_a1701_a1709_a1852_black_11928" TargetMode="External"/><Relationship Id="rId_hyperlink_1893" Type="http://schemas.openxmlformats.org/officeDocument/2006/relationships/hyperlink" Target="https://old.ukr-mobil.com/sensor_tachskrin_ipad_pro_10_5_a1701_a1709_a1852_white_11929" TargetMode="External"/><Relationship Id="rId_hyperlink_1894" Type="http://schemas.openxmlformats.org/officeDocument/2006/relationships/hyperlink" Target="https://old.ukr-mobil.com/sensor_tachskrin_apple_ipad_pro_11_2018_ipad_pro_11_2020_original_10002424" TargetMode="External"/><Relationship Id="rId_hyperlink_1895" Type="http://schemas.openxmlformats.org/officeDocument/2006/relationships/hyperlink" Target="https://old.ukr-mobil.com/sensor_tachskrin_apple_ipad_pro_11_2021_original_10002425" TargetMode="External"/><Relationship Id="rId_hyperlink_1896" Type="http://schemas.openxmlformats.org/officeDocument/2006/relationships/hyperlink" Target="https://old.ukr-mobil.com/sensor_tachskrin_apple_ipad_pro_12_9_2018_ipad_pro_12_9_2020_original_10002422" TargetMode="External"/><Relationship Id="rId_hyperlink_1897" Type="http://schemas.openxmlformats.org/officeDocument/2006/relationships/hyperlink" Target="https://old.ukr-mobil.com/sensor_tachskrin_ipad_pro_9_7_a1673_a1674_a1675_black_7957" TargetMode="External"/><Relationship Id="rId_hyperlink_1898" Type="http://schemas.openxmlformats.org/officeDocument/2006/relationships/hyperlink" Target="https://old.ukr-mobil.com/sensor_tachskrin_ipad_pro_9_7_a1673_a1674_a1675_white_11927" TargetMode="External"/><Relationship Id="rId_hyperlink_1899" Type="http://schemas.openxmlformats.org/officeDocument/2006/relationships/hyperlink" Target="https://old.ukr-mobil.com/sensor_tachskrin_huawei_mediapad_m5_lite_10_bah2-l09_bah2-w19_s_oca_plenkoj_original_prc_black_10004055" TargetMode="External"/><Relationship Id="rId_hyperlink_1900" Type="http://schemas.openxmlformats.org/officeDocument/2006/relationships/hyperlink" Target="https://old.ukr-mobil.com/sensor_tachskrin_huawei_mediapad_t3_10_lte_ags-l09_high_copy_black_10379" TargetMode="External"/><Relationship Id="rId_hyperlink_1901" Type="http://schemas.openxmlformats.org/officeDocument/2006/relationships/hyperlink" Target="https://old.ukr-mobil.com/sensor_tachskrin_huawei_mediapad_t3_10_lte_ags-l09_high_copy_white_11486" TargetMode="External"/><Relationship Id="rId_hyperlink_1902" Type="http://schemas.openxmlformats.org/officeDocument/2006/relationships/hyperlink" Target="https://old.ukr-mobil.com/sensor_tachskrin_huawei_mediapad_t3_10_lte_ags-l09_s_oca_plenkoj_original_prc_black_10004053" TargetMode="External"/><Relationship Id="rId_hyperlink_1903" Type="http://schemas.openxmlformats.org/officeDocument/2006/relationships/hyperlink" Target="https://old.ukr-mobil.com/sensor_tachskrin_huawei_mediapad_t3_10_lte_ags-l09_s_oca_plenkoj_original_prc_white_10004054" TargetMode="External"/><Relationship Id="rId_hyperlink_1904" Type="http://schemas.openxmlformats.org/officeDocument/2006/relationships/hyperlink" Target="https://old.ukr-mobil.com/sensor_tachskrin_huawei_mediapad_t3_8_0_kob-l09_kob-w09_high_copy_black_11487" TargetMode="External"/><Relationship Id="rId_hyperlink_1905" Type="http://schemas.openxmlformats.org/officeDocument/2006/relationships/hyperlink" Target="https://old.ukr-mobil.com/sensor_tachskrin_huawei_mediapad_t3_8_0_kob-l09_kob-w09_high_copy_white_11488" TargetMode="External"/><Relationship Id="rId_hyperlink_1906" Type="http://schemas.openxmlformats.org/officeDocument/2006/relationships/hyperlink" Target="https://old.ukr-mobil.com/sensor_tachskrin_huawei_s8-701u_mediapad_t1_8_0_t1-821l_mediapad_t1_8_0_lte_white_9042" TargetMode="External"/><Relationship Id="rId_hyperlink_1907" Type="http://schemas.openxmlformats.org/officeDocument/2006/relationships/hyperlink" Target="https://old.ukr-mobil.com/steklo_displeya_huawei_matepad_t10_agr-w09_agr-l09_s_oca_plenkoj_original_prc_white_10004180" TargetMode="External"/><Relationship Id="rId_hyperlink_1908" Type="http://schemas.openxmlformats.org/officeDocument/2006/relationships/hyperlink" Target="https://old.ukr-mobil.com/steklo_displeya_huawei_matepad_t10s_ags3-l09_ags3-w09_s_oca_plenkoj_original_prc_white_10004221" TargetMode="External"/><Relationship Id="rId_hyperlink_1909" Type="http://schemas.openxmlformats.org/officeDocument/2006/relationships/hyperlink" Target="https://old.ukr-mobil.com/sensor_tachskrin_lenovo_ideatab_a1000_4515" TargetMode="External"/><Relationship Id="rId_hyperlink_1910" Type="http://schemas.openxmlformats.org/officeDocument/2006/relationships/hyperlink" Target="https://old.ukr-mobil.com/sensor_tachskrin_lenovo_ideatab_a3000_black_4516" TargetMode="External"/><Relationship Id="rId_hyperlink_1911" Type="http://schemas.openxmlformats.org/officeDocument/2006/relationships/hyperlink" Target="https://old.ukr-mobil.com/sensor_tachskrin_lenovo_ideatab_a3000_white_5060" TargetMode="External"/><Relationship Id="rId_hyperlink_1912" Type="http://schemas.openxmlformats.org/officeDocument/2006/relationships/hyperlink" Target="https://old.ukr-mobil.com/sensor_tachskrin_lenovo_ideatab_a3300_black_4831" TargetMode="External"/><Relationship Id="rId_hyperlink_1913" Type="http://schemas.openxmlformats.org/officeDocument/2006/relationships/hyperlink" Target="https://old.ukr-mobil.com/sensor_tachskrin_lenovo_ideatab_a3500_black_4826" TargetMode="External"/><Relationship Id="rId_hyperlink_1914" Type="http://schemas.openxmlformats.org/officeDocument/2006/relationships/hyperlink" Target="https://old.ukr-mobil.com/sensor_tachskrin_lenovo_ideatab_s5000_4825" TargetMode="External"/><Relationship Id="rId_hyperlink_1915" Type="http://schemas.openxmlformats.org/officeDocument/2006/relationships/hyperlink" Target="https://old.ukr-mobil.com/sensor_tachskrin_lenovo_ideatab_s6000_4829" TargetMode="External"/><Relationship Id="rId_hyperlink_1916" Type="http://schemas.openxmlformats.org/officeDocument/2006/relationships/hyperlink" Target="https://old.ukr-mobil.com/sensor_tachskrin_lenovo_phab_2_pb2-670m_black_10382" TargetMode="External"/><Relationship Id="rId_hyperlink_1917" Type="http://schemas.openxmlformats.org/officeDocument/2006/relationships/hyperlink" Target="https://old.ukr-mobil.com/sensor_tachskrin_lenovo_phab_2_pb2-670m_gold_10383" TargetMode="External"/><Relationship Id="rId_hyperlink_1918" Type="http://schemas.openxmlformats.org/officeDocument/2006/relationships/hyperlink" Target="https://old.ukr-mobil.com/sensor_tachskrin_lenovo_tab_10_tb-x103f_black_11489" TargetMode="External"/><Relationship Id="rId_hyperlink_1919" Type="http://schemas.openxmlformats.org/officeDocument/2006/relationships/hyperlink" Target="https://old.ukr-mobil.com/sensor_tachskrin_lenovo_tab_2_a10-30_x30f_high_copy_black_6084" TargetMode="External"/><Relationship Id="rId_hyperlink_1920" Type="http://schemas.openxmlformats.org/officeDocument/2006/relationships/hyperlink" Target="https://old.ukr-mobil.com/sensor_tachskrin_lenovo_tab_2_a10-30_x30f_high_copy_white_6083" TargetMode="External"/><Relationship Id="rId_hyperlink_1921" Type="http://schemas.openxmlformats.org/officeDocument/2006/relationships/hyperlink" Target="https://old.ukr-mobil.com/sensor_tachskrin_lenovo_tab_2_a10-70f_tab_2_a10-70l_white_6081" TargetMode="External"/><Relationship Id="rId_hyperlink_1922" Type="http://schemas.openxmlformats.org/officeDocument/2006/relationships/hyperlink" Target="https://old.ukr-mobil.com/sensor_tachskrin_lenovo_tab_2_a7-10_tab_2_a7-20f_black_5755" TargetMode="External"/><Relationship Id="rId_hyperlink_1923" Type="http://schemas.openxmlformats.org/officeDocument/2006/relationships/hyperlink" Target="https://old.ukr-mobil.com/sensor_tachskrin_lenovo_tab_2_a7600_a10-70_black_7511" TargetMode="External"/><Relationship Id="rId_hyperlink_1924" Type="http://schemas.openxmlformats.org/officeDocument/2006/relationships/hyperlink" Target="https://old.ukr-mobil.com/sensor_tachskrin_lenovo_tab_2_a8-50f_tab_2_a8-50lc_black_5758" TargetMode="External"/><Relationship Id="rId_hyperlink_1925" Type="http://schemas.openxmlformats.org/officeDocument/2006/relationships/hyperlink" Target="https://old.ukr-mobil.com/sensor_tachskrin_lenovo_tab_3-710f_black_7534" TargetMode="External"/><Relationship Id="rId_hyperlink_1926" Type="http://schemas.openxmlformats.org/officeDocument/2006/relationships/hyperlink" Target="https://old.ukr-mobil.com/sensor_tachskrin_lenovo_tab_3_tb3-850m_tb3-850f_black_10347" TargetMode="External"/><Relationship Id="rId_hyperlink_1927" Type="http://schemas.openxmlformats.org/officeDocument/2006/relationships/hyperlink" Target="https://old.ukr-mobil.com/sensor_tachskrin_lenovo_tab_4_10_plus_x704l_black_11493" TargetMode="External"/><Relationship Id="rId_hyperlink_1928" Type="http://schemas.openxmlformats.org/officeDocument/2006/relationships/hyperlink" Target="https://old.ukr-mobil.com/sensor_tachskrin_lenovo_tab_4_10_tb-x304l_high_copy_white_10000406" TargetMode="External"/><Relationship Id="rId_hyperlink_1929" Type="http://schemas.openxmlformats.org/officeDocument/2006/relationships/hyperlink" Target="https://old.ukr-mobil.com/sensor_tachskrin_lenovo_tab_4_10_tb-x304l_s_oca_plenkoj_original_prc_black_10004074" TargetMode="External"/><Relationship Id="rId_hyperlink_1930" Type="http://schemas.openxmlformats.org/officeDocument/2006/relationships/hyperlink" Target="https://old.ukr-mobil.com/sensor_tachskrin_lenovo_tab_m10_hd_tb-x505_s_oca_plenkoj_original_prc_black_10004057" TargetMode="External"/><Relationship Id="rId_hyperlink_1931" Type="http://schemas.openxmlformats.org/officeDocument/2006/relationships/hyperlink" Target="https://old.ukr-mobil.com/sensor_tachskrin_lenovo_tab_m10_hd_tb-x505_s_oca_plenkoj_original_prc_white_10004058" TargetMode="External"/><Relationship Id="rId_hyperlink_1932" Type="http://schemas.openxmlformats.org/officeDocument/2006/relationships/hyperlink" Target="https://old.ukr-mobil.com/sensor_tachskrin_lenovo_yoga_tablet_3_pro_yt3-x90l_yt3-x90f_yt3-x90x_x90l_black_10385" TargetMode="External"/><Relationship Id="rId_hyperlink_1933" Type="http://schemas.openxmlformats.org/officeDocument/2006/relationships/hyperlink" Target="https://old.ukr-mobil.com/sensor_tachskrin_lenovo_yoga_tablet_3-850f_black_10348" TargetMode="External"/><Relationship Id="rId_hyperlink_1934" Type="http://schemas.openxmlformats.org/officeDocument/2006/relationships/hyperlink" Target="https://old.ukr-mobil.com/sensor_tachskrin_lenovo_yoga_tablet_3-x50_10_lte_black_11490" TargetMode="External"/><Relationship Id="rId_hyperlink_1935" Type="http://schemas.openxmlformats.org/officeDocument/2006/relationships/hyperlink" Target="https://old.ukr-mobil.com/sensor_tachskrin_lenovo_yoga_tablet_b6000_4862" TargetMode="External"/><Relationship Id="rId_hyperlink_1936" Type="http://schemas.openxmlformats.org/officeDocument/2006/relationships/hyperlink" Target="https://old.ukr-mobil.com/sensor_tachskrin_lenovo_yoga_tablet_b8000_4828" TargetMode="External"/><Relationship Id="rId_hyperlink_1937" Type="http://schemas.openxmlformats.org/officeDocument/2006/relationships/hyperlink" Target="https://old.ukr-mobil.com/sensor_tachskrin_lg_v490_g_pad_8_0_black_10284" TargetMode="External"/><Relationship Id="rId_hyperlink_1938" Type="http://schemas.openxmlformats.org/officeDocument/2006/relationships/hyperlink" Target="https://old.ukr-mobil.com/sensor_tachskrin_lg_v495_g_pad_8_0_black_11494" TargetMode="External"/><Relationship Id="rId_hyperlink_1939" Type="http://schemas.openxmlformats.org/officeDocument/2006/relationships/hyperlink" Target="https://old.ukr-mobil.com/sensor_tachskrin_nomi_c070010_corsa_razmer_184_108_mm_black_7322" TargetMode="External"/><Relationship Id="rId_hyperlink_1940" Type="http://schemas.openxmlformats.org/officeDocument/2006/relationships/hyperlink" Target="https://old.ukr-mobil.com/sensor_tachskrin_nomi_c070010_corsa_razmer_184_108_mm_white_7323" TargetMode="External"/><Relationship Id="rId_hyperlink_1941" Type="http://schemas.openxmlformats.org/officeDocument/2006/relationships/hyperlink" Target="https://old.ukr-mobil.com/sensor_tachskrin_nomi_c070011_corsa_2_2_5d_p_n_jm70f-62_zyd070-268-v02_white_10004" TargetMode="External"/><Relationship Id="rId_hyperlink_1942" Type="http://schemas.openxmlformats.org/officeDocument/2006/relationships/hyperlink" Target="https://old.ukr-mobil.com/sensor_tachskrin_nomi_c070012_corsa_3_2_5d_p_n_cy70s309-01_gray_10447" TargetMode="External"/><Relationship Id="rId_hyperlink_1943" Type="http://schemas.openxmlformats.org/officeDocument/2006/relationships/hyperlink" Target="https://old.ukr-mobil.com/sensor_tachskrin_nomi_c070012_corsa_3_2_5d_p_n_cy70s309-01_white_10448" TargetMode="External"/><Relationship Id="rId_hyperlink_1944" Type="http://schemas.openxmlformats.org/officeDocument/2006/relationships/hyperlink" Target="https://old.ukr-mobil.com/sensor_tachskrin_nomi_c070014_corsa_4_3g_p_n_xc-283-a1_black_11854" TargetMode="External"/><Relationship Id="rId_hyperlink_1945" Type="http://schemas.openxmlformats.org/officeDocument/2006/relationships/hyperlink" Target="https://old.ukr-mobil.com/sensor_tachskrin_nomi_c070020_corsa_pro_black_razmer_184_104_mm_7520" TargetMode="External"/><Relationship Id="rId_hyperlink_1946" Type="http://schemas.openxmlformats.org/officeDocument/2006/relationships/hyperlink" Target="https://old.ukr-mobil.com/sensor_tachskrin_nomi_c070020_corsa_pro_p_n_70a23_razmer_184mm_108mm_white_7958" TargetMode="External"/><Relationship Id="rId_hyperlink_1947" Type="http://schemas.openxmlformats.org/officeDocument/2006/relationships/hyperlink" Target="https://old.ukr-mobil.com/sensor_tachskrin_nomi_c10103_ultra_16gb_p_n_yj406fpc-v1_7751" TargetMode="External"/><Relationship Id="rId_hyperlink_1948" Type="http://schemas.openxmlformats.org/officeDocument/2006/relationships/hyperlink" Target="https://old.ukr-mobil.com/sensor_tachskrin_nomi_c10103_ultra_nomi_nb-10103_razmer_250mm_115mm_p_n_yj408fpc-v0_8044" TargetMode="External"/><Relationship Id="rId_hyperlink_1949" Type="http://schemas.openxmlformats.org/officeDocument/2006/relationships/hyperlink" Target="https://old.ukr-mobil.com/sensor_tachskrin_samsung_n8000_galaxy_note_10_1_n8010_galaxy_note_10_1_p5100_galaxy_tab_2_10_1_p5110_galaxy_tab_2_10_1_black_3512" TargetMode="External"/><Relationship Id="rId_hyperlink_1950" Type="http://schemas.openxmlformats.org/officeDocument/2006/relationships/hyperlink" Target="https://old.ukr-mobil.com/sensor_tachskrin_samsung_p1000_2399" TargetMode="External"/><Relationship Id="rId_hyperlink_1951" Type="http://schemas.openxmlformats.org/officeDocument/2006/relationships/hyperlink" Target="https://old.ukr-mobil.com/sensor_tachskrin_samsung_p3100_galaxy_tab_2_7_0_black_3800" TargetMode="External"/><Relationship Id="rId_hyperlink_1952" Type="http://schemas.openxmlformats.org/officeDocument/2006/relationships/hyperlink" Target="https://old.ukr-mobil.com/sensor_tachskrin_samsung_p550_galaxy_tab_a_9_7_black_11495" TargetMode="External"/><Relationship Id="rId_hyperlink_1953" Type="http://schemas.openxmlformats.org/officeDocument/2006/relationships/hyperlink" Target="https://old.ukr-mobil.com/sensor_tachskrin_samsung_p550_galaxy_tab_a_9_7_white_11496" TargetMode="External"/><Relationship Id="rId_hyperlink_1954" Type="http://schemas.openxmlformats.org/officeDocument/2006/relationships/hyperlink" Target="https://old.ukr-mobil.com/sensor_tachskrin_samsung_p7300_galaxy_tab_8_9_black_3565" TargetMode="External"/><Relationship Id="rId_hyperlink_1955" Type="http://schemas.openxmlformats.org/officeDocument/2006/relationships/hyperlink" Target="https://old.ukr-mobil.com/sensor_tachskrin_samsung_p7300_galaxy_tab_8_9_white_3801" TargetMode="External"/><Relationship Id="rId_hyperlink_1956" Type="http://schemas.openxmlformats.org/officeDocument/2006/relationships/hyperlink" Target="https://old.ukr-mobil.com/sensor_tachskrin_samsung_p7500_p7510_galaxy_tab_black_2977" TargetMode="External"/><Relationship Id="rId_hyperlink_1957" Type="http://schemas.openxmlformats.org/officeDocument/2006/relationships/hyperlink" Target="https://old.ukr-mobil.com/sensor_tachskrin_samsung_p7500_p7510_galaxy_tab_white_3798" TargetMode="External"/><Relationship Id="rId_hyperlink_1958" Type="http://schemas.openxmlformats.org/officeDocument/2006/relationships/hyperlink" Target="https://old.ukr-mobil.com/sensor_tachskrin_samsung_t111_galaxy_tab_3_lite_7_0_3g_black_4856" TargetMode="External"/><Relationship Id="rId_hyperlink_1959" Type="http://schemas.openxmlformats.org/officeDocument/2006/relationships/hyperlink" Target="https://old.ukr-mobil.com/sensor_tachskrin_samsung_t111_galaxy_tab_3_lite_7_0_3g_white_4857" TargetMode="External"/><Relationship Id="rId_hyperlink_1960" Type="http://schemas.openxmlformats.org/officeDocument/2006/relationships/hyperlink" Target="https://old.ukr-mobil.com/sensor_tachskrin_samsung_t113_galaxy_tab_3_lite_7_0_wi-fi_white_8051" TargetMode="External"/><Relationship Id="rId_hyperlink_1961" Type="http://schemas.openxmlformats.org/officeDocument/2006/relationships/hyperlink" Target="https://old.ukr-mobil.com/sensor_tachskrin_samsung_t116_galaxy_tab_3_lite_7_0_3g_high_copy_black_6241" TargetMode="External"/><Relationship Id="rId_hyperlink_1962" Type="http://schemas.openxmlformats.org/officeDocument/2006/relationships/hyperlink" Target="https://old.ukr-mobil.com/sensor_tachskrin_samsung_t116_galaxy_tab_3_lite_7_0_3g_high_copy_white_6581" TargetMode="External"/><Relationship Id="rId_hyperlink_1963" Type="http://schemas.openxmlformats.org/officeDocument/2006/relationships/hyperlink" Target="https://old.ukr-mobil.com/sensor_tachskrin_samsung_t210_galaxy_tab_3_7_0_wi-fi_black_5365" TargetMode="External"/><Relationship Id="rId_hyperlink_1964" Type="http://schemas.openxmlformats.org/officeDocument/2006/relationships/hyperlink" Target="https://old.ukr-mobil.com/sensor_tachskrin_samsung_t210_galaxy_tab_3_7_0_wi-fi_white_5846" TargetMode="External"/><Relationship Id="rId_hyperlink_1965" Type="http://schemas.openxmlformats.org/officeDocument/2006/relationships/hyperlink" Target="https://old.ukr-mobil.com/sensor_tachskrin_samsung_t211_galaxy_tab_3_7_0_3g_black_4487" TargetMode="External"/><Relationship Id="rId_hyperlink_1966" Type="http://schemas.openxmlformats.org/officeDocument/2006/relationships/hyperlink" Target="https://old.ukr-mobil.com/sensor_tachskrin_samsung_t211_galaxy_tab_3_7_0_3g_brown_5390" TargetMode="External"/><Relationship Id="rId_hyperlink_1967" Type="http://schemas.openxmlformats.org/officeDocument/2006/relationships/hyperlink" Target="https://old.ukr-mobil.com/sensor_tachskrin_samsung_t231_galaxy_tab_4_7_0_3g_high_copy_black_4858" TargetMode="External"/><Relationship Id="rId_hyperlink_1968" Type="http://schemas.openxmlformats.org/officeDocument/2006/relationships/hyperlink" Target="https://old.ukr-mobil.com/sensor_tachskrin_samsung_t231_galaxy_tab_4_7_0_3g_high_copy_white_4859" TargetMode="External"/><Relationship Id="rId_hyperlink_1969" Type="http://schemas.openxmlformats.org/officeDocument/2006/relationships/hyperlink" Target="https://old.ukr-mobil.com/sensor_tachskrin_samsung_t320_galaxy_tab_pro_8_4_versiya_wifi_black_11498" TargetMode="External"/><Relationship Id="rId_hyperlink_1970" Type="http://schemas.openxmlformats.org/officeDocument/2006/relationships/hyperlink" Target="https://old.ukr-mobil.com/sensor_tachskrin_samsung_t320_galaxy_tab_pro_8_4_versiya_wifi_white_11499" TargetMode="External"/><Relationship Id="rId_hyperlink_1971" Type="http://schemas.openxmlformats.org/officeDocument/2006/relationships/hyperlink" Target="https://old.ukr-mobil.com/sensor_tachskrin_samsung_t321_galaxy_tab_pro_8_4_3g_t325_galaxy_tab_pro_8_4_lte_versiya_3g_black_10160" TargetMode="External"/><Relationship Id="rId_hyperlink_1972" Type="http://schemas.openxmlformats.org/officeDocument/2006/relationships/hyperlink" Target="https://old.ukr-mobil.com/sensor_tachskrin_samsung_t321_galaxy_tab_pro_8_4_3g_t325_galaxy_tab_pro_8_4_lte_versiya_3g_white_11500" TargetMode="External"/><Relationship Id="rId_hyperlink_1973" Type="http://schemas.openxmlformats.org/officeDocument/2006/relationships/hyperlink" Target="https://old.ukr-mobil.com/sensor_tachskrin_samsung_t335_galaxy_tab_4_8_0_3g_black_9695" TargetMode="External"/><Relationship Id="rId_hyperlink_1974" Type="http://schemas.openxmlformats.org/officeDocument/2006/relationships/hyperlink" Target="https://old.ukr-mobil.com/sensor_tachskrin_samsung_t335_galaxy_tab_4_8_0_3g_white_9696" TargetMode="External"/><Relationship Id="rId_hyperlink_1975" Type="http://schemas.openxmlformats.org/officeDocument/2006/relationships/hyperlink" Target="https://old.ukr-mobil.com/sensor_tachskrin_samsung_t350_galaxy_tab_a_8_0_versiya_wi-fi_white_11497" TargetMode="External"/><Relationship Id="rId_hyperlink_1976" Type="http://schemas.openxmlformats.org/officeDocument/2006/relationships/hyperlink" Target="https://old.ukr-mobil.com/sensor_tachskrin_samsung_t510_galaxy_tab_a_10_1_wi-fi_t515_galaxy_tab_a_10_1_lte_original_prc_black_10001357" TargetMode="External"/><Relationship Id="rId_hyperlink_1977" Type="http://schemas.openxmlformats.org/officeDocument/2006/relationships/hyperlink" Target="https://old.ukr-mobil.com/sensor_tachskrin_samsung_t510_galaxy_tab_a_10_1_wi-fi_t515_galaxy_tab_a_10_1_lte_s_oca_plenkoj_original_10004043" TargetMode="External"/><Relationship Id="rId_hyperlink_1978" Type="http://schemas.openxmlformats.org/officeDocument/2006/relationships/hyperlink" Target="https://old.ukr-mobil.com/sensor_tachskrin_samsung_t550_galaxy_tab_a_9_7_t555_galaxy_tab_a_9_7_lte_black_11501" TargetMode="External"/><Relationship Id="rId_hyperlink_1979" Type="http://schemas.openxmlformats.org/officeDocument/2006/relationships/hyperlink" Target="https://old.ukr-mobil.com/sensor_tachskrin_samsung_t550_galaxy_tab_a_9_7_t555_galaxy_tab_a_9_7_lte_white_11502" TargetMode="External"/><Relationship Id="rId_hyperlink_1980" Type="http://schemas.openxmlformats.org/officeDocument/2006/relationships/hyperlink" Target="https://old.ukr-mobil.com/sensor_tachskrin_samsung_t560_galaxy_tab_e_9_6_black_9700" TargetMode="External"/><Relationship Id="rId_hyperlink_1981" Type="http://schemas.openxmlformats.org/officeDocument/2006/relationships/hyperlink" Target="https://old.ukr-mobil.com/sensor_tachskrin_samsung_t560_galaxy_tab_e_9_6_white_9701" TargetMode="External"/><Relationship Id="rId_hyperlink_1982" Type="http://schemas.openxmlformats.org/officeDocument/2006/relationships/hyperlink" Target="https://old.ukr-mobil.com/sensor_tachskrin_samsung_t580_galaxy_tab_a_10_1_wifi_t585_galaxy_tab_a_10_1_3g_high_copy_black_11129" TargetMode="External"/><Relationship Id="rId_hyperlink_1983" Type="http://schemas.openxmlformats.org/officeDocument/2006/relationships/hyperlink" Target="https://old.ukr-mobil.com/sensor_tachskrin_samsung_t580_galaxy_tab_a_10_1_wifi_t585_galaxy_tab_a_10_1_3g_high_copy_white_11118" TargetMode="External"/><Relationship Id="rId_hyperlink_1984" Type="http://schemas.openxmlformats.org/officeDocument/2006/relationships/hyperlink" Target="https://old.ukr-mobil.com/sensor_tachskrin_samsung_t800_galaxy_tab_s_10_5_t805_galaxy_tab_s_10_5_lte_black_11503" TargetMode="External"/><Relationship Id="rId_hyperlink_1985" Type="http://schemas.openxmlformats.org/officeDocument/2006/relationships/hyperlink" Target="https://old.ukr-mobil.com/shlejf_apple_ipad_10_2_2019_a2197_a2198_a2200_ipad_10_2_2020_a2270_a2428_a2429_ipad_10_2_2021_konnektor_zaryadki_black_10003468" TargetMode="External"/><Relationship Id="rId_hyperlink_1986" Type="http://schemas.openxmlformats.org/officeDocument/2006/relationships/hyperlink" Target="https://old.ukr-mobil.com/shlejf_apple_ipad_10_2_2019_a2197_a2198_a2200_ipad_10_2_2020_a2270_a2428_a2429_ipad_10_2_2021_konnektor_zaryadki_white_10003469" TargetMode="External"/><Relationship Id="rId_hyperlink_1987" Type="http://schemas.openxmlformats.org/officeDocument/2006/relationships/hyperlink" Target="https://old.ukr-mobil.com/shlejf_apple_ipad_10_2_2019_a2197_a2198_a2200_ipad_10_2_2020_a2270_a2428_a2429_s_mikrofonom_10003482" TargetMode="External"/><Relationship Id="rId_hyperlink_1988" Type="http://schemas.openxmlformats.org/officeDocument/2006/relationships/hyperlink" Target="https://old.ukr-mobil.com/shlejf_ipad_2_wi-fi_3g_a1395_a1396_a1397_s_konnektorom_na_naushniki_i_sim-kartu_black_2850" TargetMode="External"/><Relationship Id="rId_hyperlink_1989" Type="http://schemas.openxmlformats.org/officeDocument/2006/relationships/hyperlink" Target="https://old.ukr-mobil.com/shlejf_ipad_3_a1403_a1416_a1430_ipad_4_a1458_a1459_a1460_s_knopkoj_home_white_8897" TargetMode="External"/><Relationship Id="rId_hyperlink_1990" Type="http://schemas.openxmlformats.org/officeDocument/2006/relationships/hyperlink" Target="https://old.ukr-mobil.com/shlejf_ipad_3_ipad_4_a1416_a1430_a1403_a1458_a1459_a1460_s_mikrofonom_4097" TargetMode="External"/><Relationship Id="rId_hyperlink_1991" Type="http://schemas.openxmlformats.org/officeDocument/2006/relationships/hyperlink" Target="https://old.ukr-mobil.com/shlejf_ipad_air_a1474_a1475_a1476_ipad_9_7_2017_a1822_a1823_s_knopkoj_vklecheniya_regulirovkoj_gromkosti_original_5609" TargetMode="External"/><Relationship Id="rId_hyperlink_1992" Type="http://schemas.openxmlformats.org/officeDocument/2006/relationships/hyperlink" Target="https://old.ukr-mobil.com/shlejf_ipad_air_2_a1566_a1567_konnektor_zaryadki_s_komponentami_black_9713" TargetMode="External"/><Relationship Id="rId_hyperlink_1993" Type="http://schemas.openxmlformats.org/officeDocument/2006/relationships/hyperlink" Target="https://old.ukr-mobil.com/shlejf_ipad_air_2_a1566_a1567_konnektor_zaryadki_s_komponentami_white_9714" TargetMode="External"/><Relationship Id="rId_hyperlink_1994" Type="http://schemas.openxmlformats.org/officeDocument/2006/relationships/hyperlink" Target="https://old.ukr-mobil.com/shlejf_ipad_air_ipad_5_a1474_a1475_a1476_konnektor_zaryadki_black_original_10000438" TargetMode="External"/><Relationship Id="rId_hyperlink_1995" Type="http://schemas.openxmlformats.org/officeDocument/2006/relationships/hyperlink" Target="https://old.ukr-mobil.com/shlejf_ipad_air_ipad_5_a1474_a1475_a1476_konnektor_zaryadki_white_original_10000437" TargetMode="External"/><Relationship Id="rId_hyperlink_1996" Type="http://schemas.openxmlformats.org/officeDocument/2006/relationships/hyperlink" Target="https://old.ukr-mobil.com/shlejf_ipad_mini_a1432_a1454_a1455_knopka_vklyucheniya_s_komponentami_4096" TargetMode="External"/><Relationship Id="rId_hyperlink_1997" Type="http://schemas.openxmlformats.org/officeDocument/2006/relationships/hyperlink" Target="https://old.ukr-mobil.com/shlejf_ipad_mini_a1432_a1454_a1455_konnektor_zaryadki_s_komponentami_black_4092" TargetMode="External"/><Relationship Id="rId_hyperlink_1998" Type="http://schemas.openxmlformats.org/officeDocument/2006/relationships/hyperlink" Target="https://old.ukr-mobil.com/shlejf_ipad_mini_a1432_a1454_a1455_konnektor_zaryadki_s_komponentami_white_4093" TargetMode="External"/><Relationship Id="rId_hyperlink_1999" Type="http://schemas.openxmlformats.org/officeDocument/2006/relationships/hyperlink" Target="https://old.ukr-mobil.com/shlejf_ipad_mini_a1432_a1454_a1455_konnektor_naushnikov_s_komponentami_black_4094" TargetMode="External"/><Relationship Id="rId_hyperlink_2000" Type="http://schemas.openxmlformats.org/officeDocument/2006/relationships/hyperlink" Target="https://old.ukr-mobil.com/shlejf_ipad_mini_a1432_a1454_a1455_konnektor_naushnikov_s_komponentami_white_4095" TargetMode="External"/><Relationship Id="rId_hyperlink_2001" Type="http://schemas.openxmlformats.org/officeDocument/2006/relationships/hyperlink" Target="https://old.ukr-mobil.com/shlejf_ipad_mini_2_retina_a1489_a1490_a1491_ipad_mini_3_retina_a1599_a1600_konnektor_zaryadki_s_komponentami_white_11687" TargetMode="External"/><Relationship Id="rId_hyperlink_2002" Type="http://schemas.openxmlformats.org/officeDocument/2006/relationships/hyperlink" Target="https://old.ukr-mobil.com/shlejf_ipad_mini_4_a1538_a1550_knopka_vklyucheniya_s_mikrofonom_11691" TargetMode="External"/><Relationship Id="rId_hyperlink_2003" Type="http://schemas.openxmlformats.org/officeDocument/2006/relationships/hyperlink" Target="https://old.ukr-mobil.com/shlejf_ipad_mini_4_a1538_a1550_konnektor_zaryadki_s_komponentami_black_11688" TargetMode="External"/><Relationship Id="rId_hyperlink_2004" Type="http://schemas.openxmlformats.org/officeDocument/2006/relationships/hyperlink" Target="https://old.ukr-mobil.com/shlejf_ipad_mini_4_a1538_a1550_konnektor_zaryadki_s_komponentami_white_11689" TargetMode="External"/><Relationship Id="rId_hyperlink_2005" Type="http://schemas.openxmlformats.org/officeDocument/2006/relationships/hyperlink" Target="https://old.ukr-mobil.com/shlejf_ipad_mini_4_a1538_a1550_s_knopkoj_home_i_touch_id_black_8900" TargetMode="External"/><Relationship Id="rId_hyperlink_2006" Type="http://schemas.openxmlformats.org/officeDocument/2006/relationships/hyperlink" Target="https://old.ukr-mobil.com/shlejf_ipad_mini_4_a1538_a1550_s_knopkoj_home_i_touch_id_gold_8901" TargetMode="External"/><Relationship Id="rId_hyperlink_2007" Type="http://schemas.openxmlformats.org/officeDocument/2006/relationships/hyperlink" Target="https://old.ukr-mobil.com/shlejf_ipad_mini_4_a1538_a1550_s_knopkoj_home_i_touch_id_white_8902" TargetMode="External"/><Relationship Id="rId_hyperlink_2008" Type="http://schemas.openxmlformats.org/officeDocument/2006/relationships/hyperlink" Target="https://old.ukr-mobil.com/shlejf_lenovo_a7600_knopka_vklyucheniya_regulirovki_gromkosti_9084" TargetMode="External"/><Relationship Id="rId_hyperlink_2009" Type="http://schemas.openxmlformats.org/officeDocument/2006/relationships/hyperlink" Target="https://old.ukr-mobil.com/shlejf_lenovo_a8-50f_tab_2_mezhplatnij_10486" TargetMode="External"/><Relationship Id="rId_hyperlink_2010" Type="http://schemas.openxmlformats.org/officeDocument/2006/relationships/hyperlink" Target="https://old.ukr-mobil.com/shlejf_lenovo_s8-50l_mezhplatnij_10484" TargetMode="External"/><Relationship Id="rId_hyperlink_2011" Type="http://schemas.openxmlformats.org/officeDocument/2006/relationships/hyperlink" Target="https://old.ukr-mobil.com/nizhnyaya_plata_samsung_t220_galaxy_tab_a7_lite_wi-fi_t225_galaxy_tab_a7_lite_lte_s_razyomom_zaryadki_original_prc_10004263" TargetMode="External"/><Relationship Id="rId_hyperlink_2012" Type="http://schemas.openxmlformats.org/officeDocument/2006/relationships/hyperlink" Target="https://old.ukr-mobil.com/nizhnyaya_plata_samsung_t290_galaxy_tab_a_8_0_wifi_t295_galaxy_tab_a_8_0_s_razyomom_zaryadki_original_prc_10004265" TargetMode="External"/><Relationship Id="rId_hyperlink_2013" Type="http://schemas.openxmlformats.org/officeDocument/2006/relationships/hyperlink" Target="https://old.ukr-mobil.com/nizhnyaya_plata_samsung_t500_t505_galaxy_tab_a7_10_4_s_razyomom_zaryadki_original_prc_10004266" TargetMode="External"/><Relationship Id="rId_hyperlink_2014" Type="http://schemas.openxmlformats.org/officeDocument/2006/relationships/hyperlink" Target="https://old.ukr-mobil.com/nizhnyaya_plata_samsung_t510_galaxy_tab_a_10_1_wi-fi_t515_galaxy_tab_a_10_1_lte_s_razyomom_zaryadki_original_prc_10004262" TargetMode="External"/><Relationship Id="rId_hyperlink_2015" Type="http://schemas.openxmlformats.org/officeDocument/2006/relationships/hyperlink" Target="https://old.ukr-mobil.com/nizhnyaya_plata_samsung_t590_galaxy_tab_a_10_5_wi-fi_t595_galaxy_tab_a_10_5_lte_s_razyomom_zaryadki_original_10004264" TargetMode="External"/><Relationship Id="rId_hyperlink_2016" Type="http://schemas.openxmlformats.org/officeDocument/2006/relationships/hyperlink" Target="https://old.ukr-mobil.com/nizhnyaya_plata_samsung_x200_galaxy_tab_a8_wi-fi_x205_galaxy_tab_a8_lte_s_razyomom_zaryadki_original_prc_10004267" TargetMode="External"/><Relationship Id="rId_hyperlink_2017" Type="http://schemas.openxmlformats.org/officeDocument/2006/relationships/hyperlink" Target="https://old.ukr-mobil.com/shlejf_samsung_p5100_knopka_vklyuchennya_3774" TargetMode="External"/><Relationship Id="rId_hyperlink_2018" Type="http://schemas.openxmlformats.org/officeDocument/2006/relationships/hyperlink" Target="https://old.ukr-mobil.com/shlejf_samsung_samsung_p5100_galaxy_tab_2_p7500_galaxy_tab_n8000_galaxy_note_displejnyj_3773" TargetMode="External"/><Relationship Id="rId_hyperlink_2019" Type="http://schemas.openxmlformats.org/officeDocument/2006/relationships/hyperlink" Target="https://old.ukr-mobil.com/shlejf_samsung_samsung_p5100_galaxy_tab2_konnektor_zaryadki_s_mikrofonom_3772" TargetMode="External"/><Relationship Id="rId_hyperlink_2020" Type="http://schemas.openxmlformats.org/officeDocument/2006/relationships/hyperlink" Target="https://old.ukr-mobil.com/shlejf_samsung_t210_galaxy_tab_3_7_0_t211_galaxy_tab_3_7_0_na_displej_6003" TargetMode="External"/><Relationship Id="rId_hyperlink_2021" Type="http://schemas.openxmlformats.org/officeDocument/2006/relationships/hyperlink" Target="https://old.ukr-mobil.com/shlejf_samsung_t310_galaxy_tab_3_8_0_versiya_wifi_konnektor_zaryadki_6009" TargetMode="External"/><Relationship Id="rId_hyperlink_2022" Type="http://schemas.openxmlformats.org/officeDocument/2006/relationships/hyperlink" Target="https://old.ukr-mobil.com/shlejf_samsung_p3100_galaxy_tab2_p3110_galaxy_tab2_displeya_6002" TargetMode="External"/><Relationship Id="rId_hyperlink_2023" Type="http://schemas.openxmlformats.org/officeDocument/2006/relationships/hyperlink" Target="https://old.ukr-mobil.com/akkumulyator_apple_watch_series_1_38mm_original_9040" TargetMode="External"/><Relationship Id="rId_hyperlink_2024" Type="http://schemas.openxmlformats.org/officeDocument/2006/relationships/hyperlink" Target="https://old.ukr-mobil.com/akkumulyator_apple_watch_series_2_38mm_original_11901" TargetMode="External"/><Relationship Id="rId_hyperlink_2025" Type="http://schemas.openxmlformats.org/officeDocument/2006/relationships/hyperlink" Target="https://old.ukr-mobil.com/akkumulyator_apple_watch_series_2_42mm_original_11902" TargetMode="External"/><Relationship Id="rId_hyperlink_2026" Type="http://schemas.openxmlformats.org/officeDocument/2006/relationships/hyperlink" Target="https://old.ukr-mobil.com/akkumulyator_apple_watch_series_3_38mm_original_11904" TargetMode="External"/><Relationship Id="rId_hyperlink_2027" Type="http://schemas.openxmlformats.org/officeDocument/2006/relationships/hyperlink" Target="https://old.ukr-mobil.com/akkumulyator_apple_watch_series_4_40mm_original_11905" TargetMode="External"/><Relationship Id="rId_hyperlink_2028" Type="http://schemas.openxmlformats.org/officeDocument/2006/relationships/hyperlink" Target="https://old.ukr-mobil.com/akkumulyator_apple_watch_series_4_44mm_original_11906" TargetMode="External"/><Relationship Id="rId_hyperlink_2029" Type="http://schemas.openxmlformats.org/officeDocument/2006/relationships/hyperlink" Target="https://old.ukr-mobil.com/akkumulyator_apple_watch_series_5_44mm_original_prc_10002033" TargetMode="External"/><Relationship Id="rId_hyperlink_2030" Type="http://schemas.openxmlformats.org/officeDocument/2006/relationships/hyperlink" Target="https://old.ukr-mobil.com/displej_apple_watch_series_4_40mm_original_s_tachskrinom_11337" TargetMode="External"/><Relationship Id="rId_hyperlink_2031" Type="http://schemas.openxmlformats.org/officeDocument/2006/relationships/hyperlink" Target="https://old.ukr-mobil.com/displej_apple_watch_series_4_44mm_original_s_tachskrinom_11338" TargetMode="External"/><Relationship Id="rId_hyperlink_2032" Type="http://schemas.openxmlformats.org/officeDocument/2006/relationships/hyperlink" Target="https://old.ukr-mobil.com/displej_apple_watch_series_5_40mm_s_tachskrinom_10000561" TargetMode="External"/><Relationship Id="rId_hyperlink_2033" Type="http://schemas.openxmlformats.org/officeDocument/2006/relationships/hyperlink" Target="https://old.ukr-mobil.com/displej_apple_watch_series_5_44mm_s_tachskrinom_10000562" TargetMode="External"/><Relationship Id="rId_hyperlink_2034" Type="http://schemas.openxmlformats.org/officeDocument/2006/relationships/hyperlink" Target="https://old.ukr-mobil.com/displej_apple_watch_series_6_40mm_s_tachskrinom_original_10001984" TargetMode="External"/><Relationship Id="rId_hyperlink_2035" Type="http://schemas.openxmlformats.org/officeDocument/2006/relationships/hyperlink" Target="https://old.ukr-mobil.com/displej_apple_watch_series_6_44mm_s_tachskrinom_original_10001983" TargetMode="External"/><Relationship Id="rId_hyperlink_2036" Type="http://schemas.openxmlformats.org/officeDocument/2006/relationships/hyperlink" Target="https://old.ukr-mobil.com/displej_apple_watch_sport_38mm_s_tachskrinom_6175" TargetMode="External"/><Relationship Id="rId_hyperlink_2037" Type="http://schemas.openxmlformats.org/officeDocument/2006/relationships/hyperlink" Target="https://old.ukr-mobil.com/displej_apple_watch_sport_series_2_38mm_s_tachskrinom_9926" TargetMode="External"/><Relationship Id="rId_hyperlink_2038" Type="http://schemas.openxmlformats.org/officeDocument/2006/relationships/hyperlink" Target="https://old.ukr-mobil.com/displej_apple_watch_sport_series_2_42mm_s_tachskrinom_9595" TargetMode="External"/><Relationship Id="rId_hyperlink_2039" Type="http://schemas.openxmlformats.org/officeDocument/2006/relationships/hyperlink" Target="https://old.ukr-mobil.com/displej_apple_watch_sport_series_3_gps_38mm_s_tachskrinom_11202" TargetMode="External"/><Relationship Id="rId_hyperlink_2040" Type="http://schemas.openxmlformats.org/officeDocument/2006/relationships/hyperlink" Target="https://old.ukr-mobil.com/displej_apple_watch_sport_series_3_gps_42mm_s_tachskrinom_11203" TargetMode="External"/><Relationship Id="rId_hyperlink_2041" Type="http://schemas.openxmlformats.org/officeDocument/2006/relationships/hyperlink" Target="https://old.ukr-mobil.com/displej_apple_watch_sport_series_3_lte_38mm_s_tachskrinom_10000559" TargetMode="External"/><Relationship Id="rId_hyperlink_2042" Type="http://schemas.openxmlformats.org/officeDocument/2006/relationships/hyperlink" Target="https://old.ukr-mobil.com/displej_apple_watch_sport_series_3_lte_42mm_s_tachskrinom_10000560" TargetMode="External"/><Relationship Id="rId_hyperlink_2043" Type="http://schemas.openxmlformats.org/officeDocument/2006/relationships/hyperlink" Target="https://old.ukr-mobil.com/sensor_tachskrin_apple_watch_sport_series_2_38mm_original_11103" TargetMode="External"/><Relationship Id="rId_hyperlink_2044" Type="http://schemas.openxmlformats.org/officeDocument/2006/relationships/hyperlink" Target="https://old.ukr-mobil.com/sensor_tachskrin_apple_watch_sport_series_2_42mm_original_9927" TargetMode="External"/><Relationship Id="rId_hyperlink_2045" Type="http://schemas.openxmlformats.org/officeDocument/2006/relationships/hyperlink" Target="https://old.ukr-mobil.com/sensor_tachskrin_apple_watch_sport_series_4_40mm_original_11869" TargetMode="External"/><Relationship Id="rId_hyperlink_2046" Type="http://schemas.openxmlformats.org/officeDocument/2006/relationships/hyperlink" Target="https://old.ukr-mobil.com/sensor_tachskrin_apple_watch_sport_series_4_44mm_original_11870" TargetMode="External"/><Relationship Id="rId_hyperlink_2047" Type="http://schemas.openxmlformats.org/officeDocument/2006/relationships/hyperlink" Target="https://old.ukr-mobil.com/sensor_tachskrin_apple_watch_series_5_40mm_original_10001322" TargetMode="External"/><Relationship Id="rId_hyperlink_2048" Type="http://schemas.openxmlformats.org/officeDocument/2006/relationships/hyperlink" Target="https://old.ukr-mobil.com/sensor_tachskrin_apple_watch_series_5_44mm_original_10001323" TargetMode="External"/><Relationship Id="rId_hyperlink_2049" Type="http://schemas.openxmlformats.org/officeDocument/2006/relationships/hyperlink" Target="https://old.ukr-mobil.com/sensor_tachskrin_apple_watch_series_6_40mm_original_prc_10002462" TargetMode="External"/><Relationship Id="rId_hyperlink_2050" Type="http://schemas.openxmlformats.org/officeDocument/2006/relationships/hyperlink" Target="https://old.ukr-mobil.com/sensor_tachskrin_apple_watch_series_6_44mm_original_prc_10002463" TargetMode="External"/><Relationship Id="rId_hyperlink_2051" Type="http://schemas.openxmlformats.org/officeDocument/2006/relationships/hyperlink" Target="https://old.ukr-mobil.com/sensor_tachskrin_iwatch_sport_38mm_original_6176" TargetMode="External"/><Relationship Id="rId_hyperlink_2052" Type="http://schemas.openxmlformats.org/officeDocument/2006/relationships/hyperlink" Target="https://old.ukr-mobil.com/sensor_tachskrin_iwatch_sport_42mm_original_6177" TargetMode="External"/><Relationship Id="rId_hyperlink_2053" Type="http://schemas.openxmlformats.org/officeDocument/2006/relationships/hyperlink" Target="https://old.ukr-mobil.com/sensor_tachskrin_apple_watch_series_4_40mm_s_plenkoj_oca_original_g_oca_pro_10004562" TargetMode="External"/><Relationship Id="rId_hyperlink_2054" Type="http://schemas.openxmlformats.org/officeDocument/2006/relationships/hyperlink" Target="https://old.ukr-mobil.com/sensor_tachskrin_apple_watch_series_4_44mm_s_plenkoj_oca_original_g_oca_pro_10004563" TargetMode="External"/><Relationship Id="rId_hyperlink_2055" Type="http://schemas.openxmlformats.org/officeDocument/2006/relationships/hyperlink" Target="https://old.ukr-mobil.com/sensor_tachskrin_apple_watch_series_5_40mm_s_plenkoj_oca_original_g_oca_pro_10004564" TargetMode="External"/><Relationship Id="rId_hyperlink_2056" Type="http://schemas.openxmlformats.org/officeDocument/2006/relationships/hyperlink" Target="https://old.ukr-mobil.com/sensor_tachskrin_apple_watch_series_5_44mm_s_plenkoj_oca_original_g_oca_pro_10004565" TargetMode="External"/><Relationship Id="rId_hyperlink_2057" Type="http://schemas.openxmlformats.org/officeDocument/2006/relationships/hyperlink" Target="https://old.ukr-mobil.com/sensor_tachskrin_apple_watch_series_6_40mm_s_plenkoj_oca_original_g_oca_pro_10004566" TargetMode="External"/><Relationship Id="rId_hyperlink_2058" Type="http://schemas.openxmlformats.org/officeDocument/2006/relationships/hyperlink" Target="https://old.ukr-mobil.com/sensor_tachskrin_apple_watch_series_6_44mm_s_plenkoj_oca_original_g_oca_pro_10004567" TargetMode="External"/><Relationship Id="rId_hyperlink_2059" Type="http://schemas.openxmlformats.org/officeDocument/2006/relationships/hyperlink" Target="https://old.ukr-mobil.com/shlejf_apple_watch_sport_series_2_38mm_datchika_gravitacii_11895" TargetMode="External"/><Relationship Id="rId_hyperlink_2060" Type="http://schemas.openxmlformats.org/officeDocument/2006/relationships/hyperlink" Target="https://old.ukr-mobil.com/shlejf_apple_watch_sport_series_2_42mm_datchika_gravitacii_11896" TargetMode="External"/><Relationship Id="rId_hyperlink_2061" Type="http://schemas.openxmlformats.org/officeDocument/2006/relationships/hyperlink" Target="https://old.ukr-mobil.com/shlejf_apple_watch_sport_series_3_38mm_datchika_gravitacii_11897" TargetMode="External"/><Relationship Id="rId_hyperlink_2062" Type="http://schemas.openxmlformats.org/officeDocument/2006/relationships/hyperlink" Target="https://old.ukr-mobil.com/shlejf_apple_watch_sport_series_3_42mm_datchika_gravitacii_11898" TargetMode="External"/><Relationship Id="rId_hyperlink_2063" Type="http://schemas.openxmlformats.org/officeDocument/2006/relationships/hyperlink" Target="https://old.ukr-mobil.com/shlejf_apple_watch_sport_series_4_40mm_datchika_gravitacii_11899" TargetMode="External"/><Relationship Id="rId_hyperlink_2064" Type="http://schemas.openxmlformats.org/officeDocument/2006/relationships/hyperlink" Target="https://old.ukr-mobil.com/shlejf_apple_watch_sport_series_4_44mm_datchika_gravitacii_11900" TargetMode="External"/><Relationship Id="rId_hyperlink_2065" Type="http://schemas.openxmlformats.org/officeDocument/2006/relationships/hyperlink" Target="https://old.ukr-mobil.com/akkumulyator_apple_iphone_11_pro_max_original_10001776" TargetMode="External"/><Relationship Id="rId_hyperlink_2066" Type="http://schemas.openxmlformats.org/officeDocument/2006/relationships/hyperlink" Target="https://old.ukr-mobil.com/akkumulyator_apple_iphone_11_pro_max_li-ion_3_79_v_3969_mah_bez_kontrollera_original_prc_10002675" TargetMode="External"/><Relationship Id="rId_hyperlink_2067" Type="http://schemas.openxmlformats.org/officeDocument/2006/relationships/hyperlink" Target="https://old.ukr-mobil.com/index.php?route=product&amp;product_id=10005629" TargetMode="External"/><Relationship Id="rId_hyperlink_2068" Type="http://schemas.openxmlformats.org/officeDocument/2006/relationships/hyperlink" Target="https://old.ukr-mobil.com/akkumulyator_apple_iphone_11_pro_li-ion_3_83_v_3046_mah_bez_kontrollera_original_prc_10002674" TargetMode="External"/><Relationship Id="rId_hyperlink_2069" Type="http://schemas.openxmlformats.org/officeDocument/2006/relationships/hyperlink" Target="https://old.ukr-mobil.com/index.php?route=product&amp;product_id=10005628" TargetMode="External"/><Relationship Id="rId_hyperlink_2070" Type="http://schemas.openxmlformats.org/officeDocument/2006/relationships/hyperlink" Target="https://old.ukr-mobil.com/akkumulyator_apple_iphone_11_pro_original_10001775" TargetMode="External"/><Relationship Id="rId_hyperlink_2071" Type="http://schemas.openxmlformats.org/officeDocument/2006/relationships/hyperlink" Target="https://old.ukr-mobil.com/akkumulyator_apple_iphone_11_original_10001774" TargetMode="External"/><Relationship Id="rId_hyperlink_2072" Type="http://schemas.openxmlformats.org/officeDocument/2006/relationships/hyperlink" Target="https://old.ukr-mobil.com/akkumulyator_apple_iphone_11_li-ion_3_83_v_3110_mah_bez_kontrollera_original_prc_10002671" TargetMode="External"/><Relationship Id="rId_hyperlink_2073" Type="http://schemas.openxmlformats.org/officeDocument/2006/relationships/hyperlink" Target="https://old.ukr-mobil.com/index.php?route=product&amp;product_id=10005627" TargetMode="External"/><Relationship Id="rId_hyperlink_2074" Type="http://schemas.openxmlformats.org/officeDocument/2006/relationships/hyperlink" Target="https://old.ukr-mobil.com/akkumulyator_apple_iphone_12_mini_li-ion_3_85_v_2227_mah_bez_kontrollera_original_prc_10004518" TargetMode="External"/><Relationship Id="rId_hyperlink_2075" Type="http://schemas.openxmlformats.org/officeDocument/2006/relationships/hyperlink" Target="https://old.ukr-mobil.com/akkumulyator_apple_iphone_12_pro_max_li-ion_3_83_v_3687_mah_bez_kontrollera_original_prc_10002677" TargetMode="External"/><Relationship Id="rId_hyperlink_2076" Type="http://schemas.openxmlformats.org/officeDocument/2006/relationships/hyperlink" Target="https://old.ukr-mobil.com/index.php?route=product&amp;product_id=10005630" TargetMode="External"/><Relationship Id="rId_hyperlink_2077" Type="http://schemas.openxmlformats.org/officeDocument/2006/relationships/hyperlink" Target="https://old.ukr-mobil.com/akkumulyator_apple_iphone_12_iphone_12_pro_li-ion_3_83_v_2815_mah_bez_kontrollera_original_prc_10002676" TargetMode="External"/><Relationship Id="rId_hyperlink_2078" Type="http://schemas.openxmlformats.org/officeDocument/2006/relationships/hyperlink" Target="https://old.ukr-mobil.com/index.php?route=product&amp;product_id=10005625" TargetMode="External"/><Relationship Id="rId_hyperlink_2079" Type="http://schemas.openxmlformats.org/officeDocument/2006/relationships/hyperlink" Target="https://old.ukr-mobil.com/akkumulyator_apple_iphone_13_mini_li-ion_3_85_v_2427_mah_bez_kontrollera_original_prc_10004521" TargetMode="External"/><Relationship Id="rId_hyperlink_2080" Type="http://schemas.openxmlformats.org/officeDocument/2006/relationships/hyperlink" Target="https://old.ukr-mobil.com/akkumulyator_apple_iphone_13_pro_max_li-ion_3_85_v_4352_mah_bez_kontrollera_original_prc_10004522" TargetMode="External"/><Relationship Id="rId_hyperlink_2081" Type="http://schemas.openxmlformats.org/officeDocument/2006/relationships/hyperlink" Target="https://old.ukr-mobil.com/akkumulyator_apple_iphone_13_pro_li-ion_3_84_v_3095_mah_bez_kontrollera_original_prc_10004520" TargetMode="External"/><Relationship Id="rId_hyperlink_2082" Type="http://schemas.openxmlformats.org/officeDocument/2006/relationships/hyperlink" Target="https://old.ukr-mobil.com/akkumulyator_apple_iphone_13_li-ion_3_84_v_3227_mah_bez_kontrollera_original_prc_10004519" TargetMode="External"/><Relationship Id="rId_hyperlink_2083" Type="http://schemas.openxmlformats.org/officeDocument/2006/relationships/hyperlink" Target="https://old.ukr-mobil.com/index.php?route=product&amp;product_id=10005172" TargetMode="External"/><Relationship Id="rId_hyperlink_2084" Type="http://schemas.openxmlformats.org/officeDocument/2006/relationships/hyperlink" Target="https://old.ukr-mobil.com/index.php?route=product&amp;product_id=10005174" TargetMode="External"/><Relationship Id="rId_hyperlink_2085" Type="http://schemas.openxmlformats.org/officeDocument/2006/relationships/hyperlink" Target="https://old.ukr-mobil.com/index.php?route=product&amp;product_id=10005173" TargetMode="External"/><Relationship Id="rId_hyperlink_2086" Type="http://schemas.openxmlformats.org/officeDocument/2006/relationships/hyperlink" Target="https://old.ukr-mobil.com/index.php?route=product&amp;product_id=10005171" TargetMode="External"/><Relationship Id="rId_hyperlink_2087" Type="http://schemas.openxmlformats.org/officeDocument/2006/relationships/hyperlink" Target="https://old.ukr-mobil.com/akkumulyator_iphone_5_original_8453" TargetMode="External"/><Relationship Id="rId_hyperlink_2088" Type="http://schemas.openxmlformats.org/officeDocument/2006/relationships/hyperlink" Target="https://old.ukr-mobil.com/akkumulyator_iphone_5s_original_9210" TargetMode="External"/><Relationship Id="rId_hyperlink_2089" Type="http://schemas.openxmlformats.org/officeDocument/2006/relationships/hyperlink" Target="https://old.ukr-mobil.com/akkumulyator_iphone_5se_original_8273" TargetMode="External"/><Relationship Id="rId_hyperlink_2090" Type="http://schemas.openxmlformats.org/officeDocument/2006/relationships/hyperlink" Target="https://old.ukr-mobil.com/akkumulyator_iphone_6_plus_2915_mah_sunshine_12244" TargetMode="External"/><Relationship Id="rId_hyperlink_2091" Type="http://schemas.openxmlformats.org/officeDocument/2006/relationships/hyperlink" Target="https://old.ukr-mobil.com/akkumulyator_iphone_6_plus_original_8002" TargetMode="External"/><Relationship Id="rId_hyperlink_2092" Type="http://schemas.openxmlformats.org/officeDocument/2006/relationships/hyperlink" Target="https://old.ukr-mobil.com/akkumulyator_iphone_6_1810_mah_sunshine_12230" TargetMode="External"/><Relationship Id="rId_hyperlink_2093" Type="http://schemas.openxmlformats.org/officeDocument/2006/relationships/hyperlink" Target="https://old.ukr-mobil.com/akkumulyator_iphone_6_original_9283" TargetMode="External"/><Relationship Id="rId_hyperlink_2094" Type="http://schemas.openxmlformats.org/officeDocument/2006/relationships/hyperlink" Target="https://old.ukr-mobil.com/akkumulyator_iphone_6s_plus_2750_mah_sunshine_12245" TargetMode="External"/><Relationship Id="rId_hyperlink_2095" Type="http://schemas.openxmlformats.org/officeDocument/2006/relationships/hyperlink" Target="https://old.ukr-mobil.com/akkumulyator_iphone_6s_plus_original_7731" TargetMode="External"/><Relationship Id="rId_hyperlink_2096" Type="http://schemas.openxmlformats.org/officeDocument/2006/relationships/hyperlink" Target="https://old.ukr-mobil.com/akkumulyator_iphone_6s_1715_mah_sunshine_12241" TargetMode="External"/><Relationship Id="rId_hyperlink_2097" Type="http://schemas.openxmlformats.org/officeDocument/2006/relationships/hyperlink" Target="https://old.ukr-mobil.com/akkumulyator_apple_iphone_6s_original_10001505" TargetMode="External"/><Relationship Id="rId_hyperlink_2098" Type="http://schemas.openxmlformats.org/officeDocument/2006/relationships/hyperlink" Target="https://old.ukr-mobil.com/akkumulyator_iphone_6s_original_7007" TargetMode="External"/><Relationship Id="rId_hyperlink_2099" Type="http://schemas.openxmlformats.org/officeDocument/2006/relationships/hyperlink" Target="https://old.ukr-mobil.com/akkumulyator_iphone_7_plus_2900_mah_sunshine_12246" TargetMode="External"/><Relationship Id="rId_hyperlink_2100" Type="http://schemas.openxmlformats.org/officeDocument/2006/relationships/hyperlink" Target="https://old.ukr-mobil.com/akkumulyator_iphone_7_plus_original_10355" TargetMode="External"/><Relationship Id="rId_hyperlink_2101" Type="http://schemas.openxmlformats.org/officeDocument/2006/relationships/hyperlink" Target="https://old.ukr-mobil.com/akkumulyator_iphone_7_original_8547" TargetMode="External"/><Relationship Id="rId_hyperlink_2102" Type="http://schemas.openxmlformats.org/officeDocument/2006/relationships/hyperlink" Target="https://old.ukr-mobil.com/akkumulyator_iphone_8_plus_1810_mah_sunshine_12248" TargetMode="External"/><Relationship Id="rId_hyperlink_2103" Type="http://schemas.openxmlformats.org/officeDocument/2006/relationships/hyperlink" Target="https://old.ukr-mobil.com/akkumulyator_apple_iphone_8_plus_original_10001999" TargetMode="External"/><Relationship Id="rId_hyperlink_2104" Type="http://schemas.openxmlformats.org/officeDocument/2006/relationships/hyperlink" Target="https://old.ukr-mobil.com/akkumulyator_iphone_8_2020_mah_sunshine_12247" TargetMode="External"/><Relationship Id="rId_hyperlink_2105" Type="http://schemas.openxmlformats.org/officeDocument/2006/relationships/hyperlink" Target="https://old.ukr-mobil.com/akkumulyator_iphone_8_original_9960" TargetMode="External"/><Relationship Id="rId_hyperlink_2106" Type="http://schemas.openxmlformats.org/officeDocument/2006/relationships/hyperlink" Target="https://old.ukr-mobil.com/akkumulyator_apple_iphone_se_2020_original_10002176" TargetMode="External"/><Relationship Id="rId_hyperlink_2107" Type="http://schemas.openxmlformats.org/officeDocument/2006/relationships/hyperlink" Target="https://old.ukr-mobil.com/index.php?route=product&amp;product_id=10005611" TargetMode="External"/><Relationship Id="rId_hyperlink_2108" Type="http://schemas.openxmlformats.org/officeDocument/2006/relationships/hyperlink" Target="https://old.ukr-mobil.com/akkumulyator_iphone_x_1810_mah_sunshine_12249" TargetMode="External"/><Relationship Id="rId_hyperlink_2109" Type="http://schemas.openxmlformats.org/officeDocument/2006/relationships/hyperlink" Target="https://old.ukr-mobil.com/akkumulyator_iphone_x_original_10354" TargetMode="External"/><Relationship Id="rId_hyperlink_2110" Type="http://schemas.openxmlformats.org/officeDocument/2006/relationships/hyperlink" Target="https://old.ukr-mobil.com/index.php?route=product&amp;product_id=10005626" TargetMode="External"/><Relationship Id="rId_hyperlink_2111" Type="http://schemas.openxmlformats.org/officeDocument/2006/relationships/hyperlink" Target="https://old.ukr-mobil.com/akkumulyator_iphone_xr_original_12235" TargetMode="External"/><Relationship Id="rId_hyperlink_2112" Type="http://schemas.openxmlformats.org/officeDocument/2006/relationships/hyperlink" Target="https://old.ukr-mobil.com/akkumulyator_apple_iphone_xs_max_li-ion_3_8_v_3174_mah_bez_kontrollera_original_prc_10002673" TargetMode="External"/><Relationship Id="rId_hyperlink_2113" Type="http://schemas.openxmlformats.org/officeDocument/2006/relationships/hyperlink" Target="https://old.ukr-mobil.com/akkumulyator_iphone_xs_max_original_12237" TargetMode="External"/><Relationship Id="rId_hyperlink_2114" Type="http://schemas.openxmlformats.org/officeDocument/2006/relationships/hyperlink" Target="https://old.ukr-mobil.com/akkumulyator_apple_iphone_xs_max_sunshine_10002175" TargetMode="External"/><Relationship Id="rId_hyperlink_2115" Type="http://schemas.openxmlformats.org/officeDocument/2006/relationships/hyperlink" Target="https://old.ukr-mobil.com/akkumulyator_apple_iphone_xs_li-ion_3_81_v_2658_mah_bez_kontrollera_original_prc_10002672" TargetMode="External"/><Relationship Id="rId_hyperlink_2116" Type="http://schemas.openxmlformats.org/officeDocument/2006/relationships/hyperlink" Target="https://old.ukr-mobil.com/akkumulyator_iphone_xs_original_12236" TargetMode="External"/><Relationship Id="rId_hyperlink_2117" Type="http://schemas.openxmlformats.org/officeDocument/2006/relationships/hyperlink" Target="https://old.ukr-mobil.com/akkumulyator_apple_iphone_xs_sunshine_10002174" TargetMode="External"/><Relationship Id="rId_hyperlink_2118" Type="http://schemas.openxmlformats.org/officeDocument/2006/relationships/hyperlink" Target="https://old.ukr-mobil.com/skotch_fiksacii_akkumulyatora_apple_iphone_6_plus_6s_plus_10929" TargetMode="External"/><Relationship Id="rId_hyperlink_2119" Type="http://schemas.openxmlformats.org/officeDocument/2006/relationships/hyperlink" Target="https://old.ukr-mobil.com/skotch_fiksacii_akkumulyatora_apple_iphone_6_6s_10930" TargetMode="External"/><Relationship Id="rId_hyperlink_2120" Type="http://schemas.openxmlformats.org/officeDocument/2006/relationships/hyperlink" Target="https://old.ukr-mobil.com/akkumulyator_blackview_a100_li426587htt_4680_mah_original_10004408" TargetMode="External"/><Relationship Id="rId_hyperlink_2121" Type="http://schemas.openxmlformats.org/officeDocument/2006/relationships/hyperlink" Target="https://old.ukr-mobil.com/akkumulyator_blackview_a55_li446586phtt_4080_mah_original_10004411" TargetMode="External"/><Relationship Id="rId_hyperlink_2122" Type="http://schemas.openxmlformats.org/officeDocument/2006/relationships/hyperlink" Target="https://old.ukr-mobil.com/akkumulyator_blackview_a60_405988p_4080_mah_original_10004410" TargetMode="External"/><Relationship Id="rId_hyperlink_2123" Type="http://schemas.openxmlformats.org/officeDocument/2006/relationships/hyperlink" Target="https://old.ukr-mobil.com/akkumulyator_blackview_a90_li426483pujly_4280_mah_original_10004464" TargetMode="External"/><Relationship Id="rId_hyperlink_2124" Type="http://schemas.openxmlformats.org/officeDocument/2006/relationships/hyperlink" Target="https://old.ukr-mobil.com/akkumulyator_blackview_bv4900_li616077htt_5580_mah_original_10004409" TargetMode="External"/><Relationship Id="rId_hyperlink_2125" Type="http://schemas.openxmlformats.org/officeDocument/2006/relationships/hyperlink" Target="https://old.ukr-mobil.com/akkumulyator_blackview_bv5900_5580_mah_original_10004468" TargetMode="External"/><Relationship Id="rId_hyperlink_2126" Type="http://schemas.openxmlformats.org/officeDocument/2006/relationships/hyperlink" Target="https://old.ukr-mobil.com/akkumulyator_blackview_bv6800_726280p_6850_mah_original_10004486" TargetMode="External"/><Relationship Id="rId_hyperlink_2127" Type="http://schemas.openxmlformats.org/officeDocument/2006/relationships/hyperlink" Target="https://old.ukr-mobil.com/index.php?route=product&amp;product_id=10005771" TargetMode="External"/><Relationship Id="rId_hyperlink_2128" Type="http://schemas.openxmlformats.org/officeDocument/2006/relationships/hyperlink" Target="https://old.ukr-mobil.com/akkumulyator_doogee_n20_bat1919084350_4350_mah_original_10004485" TargetMode="External"/><Relationship Id="rId_hyperlink_2129" Type="http://schemas.openxmlformats.org/officeDocument/2006/relationships/hyperlink" Target="https://old.ukr-mobil.com/akkumulyator_doogee_s35_pro_bat20n1154350_4350_mah_original_10004470" TargetMode="External"/><Relationship Id="rId_hyperlink_2130" Type="http://schemas.openxmlformats.org/officeDocument/2006/relationships/hyperlink" Target="https://old.ukr-mobil.com/akkumulyator_doogee_s58_pro_bat20m125180_5180_mah_original_10004471" TargetMode="External"/><Relationship Id="rId_hyperlink_2131" Type="http://schemas.openxmlformats.org/officeDocument/2006/relationships/hyperlink" Target="https://old.ukr-mobil.com/akkumulyator_doogee_s59_pro_bat20m1710050_10050_mah_original_10004478" TargetMode="External"/><Relationship Id="rId_hyperlink_2132" Type="http://schemas.openxmlformats.org/officeDocument/2006/relationships/hyperlink" Target="https://old.ukr-mobil.com/akkumulyator_doogee_s68_pro_bat19m116300_6300_mah_original_10004484" TargetMode="External"/><Relationship Id="rId_hyperlink_2133" Type="http://schemas.openxmlformats.org/officeDocument/2006/relationships/hyperlink" Target="https://old.ukr-mobil.com/akkumulyator_doogee_s86_s86_pro_bat20zn1308500_8500_mah_original_10004469" TargetMode="External"/><Relationship Id="rId_hyperlink_2134" Type="http://schemas.openxmlformats.org/officeDocument/2006/relationships/hyperlink" Target="https://old.ukr-mobil.com/akkumulyator_doogee_s88_pro_s88_plus_bat20m1310000_10000_mah_original_10004475" TargetMode="External"/><Relationship Id="rId_hyperlink_2135" Type="http://schemas.openxmlformats.org/officeDocument/2006/relationships/hyperlink" Target="https://old.ukr-mobil.com/akkumulyator_doogee_s89_s89_pro_bat22m2012000_12000_mah_original_10004474" TargetMode="External"/><Relationship Id="rId_hyperlink_2136" Type="http://schemas.openxmlformats.org/officeDocument/2006/relationships/hyperlink" Target="https://old.ukr-mobil.com/akkumulyator_doogee_s95_pro_bat19m105150_5150_mah_original_10004483" TargetMode="External"/><Relationship Id="rId_hyperlink_2137" Type="http://schemas.openxmlformats.org/officeDocument/2006/relationships/hyperlink" Target="https://old.ukr-mobil.com/akkumulyator_doogee_s96_pro_bat20zn1296350_6350_mah_original_10004482" TargetMode="External"/><Relationship Id="rId_hyperlink_2138" Type="http://schemas.openxmlformats.org/officeDocument/2006/relationships/hyperlink" Target="https://old.ukr-mobil.com/akkumulyator_doogee_s97_pro_bat21zn1318500_8500_mah_original_10004481" TargetMode="External"/><Relationship Id="rId_hyperlink_2139" Type="http://schemas.openxmlformats.org/officeDocument/2006/relationships/hyperlink" Target="https://old.ukr-mobil.com/akkumulyator_doogee_s98_s98_pro_bat21zn1356000_6000_mah_original_10004473" TargetMode="External"/><Relationship Id="rId_hyperlink_2140" Type="http://schemas.openxmlformats.org/officeDocument/2006/relationships/hyperlink" Target="https://old.ukr-mobil.com/akkumulyator_doogee_s99_6000_mah_original_10004476" TargetMode="External"/><Relationship Id="rId_hyperlink_2141" Type="http://schemas.openxmlformats.org/officeDocument/2006/relationships/hyperlink" Target="https://old.ukr-mobil.com/akkumulyator_doogee_v10_5g_v11_5g_bat21m188500_8500_mah_original_10004480" TargetMode="External"/><Relationship Id="rId_hyperlink_2142" Type="http://schemas.openxmlformats.org/officeDocument/2006/relationships/hyperlink" Target="https://old.ukr-mobil.com/akkumulyator_doogee_v20_bat21zn1336000_6000_mah_original_10004479" TargetMode="External"/><Relationship Id="rId_hyperlink_2143" Type="http://schemas.openxmlformats.org/officeDocument/2006/relationships/hyperlink" Target="https://old.ukr-mobil.com/akkumulyator_doogee_x95_bat1919104350_4350_mah_original_10004472" TargetMode="External"/><Relationship Id="rId_hyperlink_2144" Type="http://schemas.openxmlformats.org/officeDocument/2006/relationships/hyperlink" Target="https://old.ukr-mobil.com/akkumulyator_doogee_x97_pro_x98_pro_bat2219a4200_4200_mah_original_10004477" TargetMode="External"/><Relationship Id="rId_hyperlink_2145" Type="http://schemas.openxmlformats.org/officeDocument/2006/relationships/hyperlink" Target="https://old.ukr-mobil.com/akkumulyator_google_pixel_2_xl_bl-t35_3520_mah_original_prc_10001832" TargetMode="External"/><Relationship Id="rId_hyperlink_2146" Type="http://schemas.openxmlformats.org/officeDocument/2006/relationships/hyperlink" Target="https://old.ukr-mobil.com/akkumulyator_google_pixel_3_xl_g013c-b_3450_mah_original_prc_10002538" TargetMode="External"/><Relationship Id="rId_hyperlink_2147" Type="http://schemas.openxmlformats.org/officeDocument/2006/relationships/hyperlink" Target="https://old.ukr-mobil.com/akkumulyator_google_pixel_3_g013a-b_2915_mah_10000672" TargetMode="External"/><Relationship Id="rId_hyperlink_2148" Type="http://schemas.openxmlformats.org/officeDocument/2006/relationships/hyperlink" Target="https://old.ukr-mobil.com/akkumulyator_google_pixel_3a_xl_g020a-b_3700_mah_original_prc_10001534" TargetMode="External"/><Relationship Id="rId_hyperlink_2149" Type="http://schemas.openxmlformats.org/officeDocument/2006/relationships/hyperlink" Target="https://old.ukr-mobil.com/akkumulyator_google_pixel_3a_g020e-b_3000_mah_10000673" TargetMode="External"/><Relationship Id="rId_hyperlink_2150" Type="http://schemas.openxmlformats.org/officeDocument/2006/relationships/hyperlink" Target="https://old.ukr-mobil.com/akkumulyator_google_pixel_4_xl_g020j-b_3700_mah_original_prc_10001536" TargetMode="External"/><Relationship Id="rId_hyperlink_2151" Type="http://schemas.openxmlformats.org/officeDocument/2006/relationships/hyperlink" Target="https://old.ukr-mobil.com/akkumulyator_google_pixel_4_g020i-b_2800_mah_original_prc_10001535" TargetMode="External"/><Relationship Id="rId_hyperlink_2152" Type="http://schemas.openxmlformats.org/officeDocument/2006/relationships/hyperlink" Target="https://old.ukr-mobil.com/akkumulyator_google_pixel_5_gtb1f_4080_mah_original_prc_10002537" TargetMode="External"/><Relationship Id="rId_hyperlink_2153" Type="http://schemas.openxmlformats.org/officeDocument/2006/relationships/hyperlink" Target="https://old.ukr-mobil.com/index.php?route=product&amp;product_id=10005344" TargetMode="External"/><Relationship Id="rId_hyperlink_2154" Type="http://schemas.openxmlformats.org/officeDocument/2006/relationships/hyperlink" Target="https://old.ukr-mobil.com/index.php?route=product&amp;product_id=10005342" TargetMode="External"/><Relationship Id="rId_hyperlink_2155" Type="http://schemas.openxmlformats.org/officeDocument/2006/relationships/hyperlink" Target="https://old.ukr-mobil.com/index.php?route=product&amp;product_id=10005343" TargetMode="External"/><Relationship Id="rId_hyperlink_2156" Type="http://schemas.openxmlformats.org/officeDocument/2006/relationships/hyperlink" Target="https://old.ukr-mobil.com/akkumulyator_google_pixel_b2pw4100_2770_mah_10000670" TargetMode="External"/><Relationship Id="rId_hyperlink_2157" Type="http://schemas.openxmlformats.org/officeDocument/2006/relationships/hyperlink" Target="https://old.ukr-mobil.com/akkumulyator_huawei_honor_20_honor_8x_hb386590ecw_3750_mah_10000988" TargetMode="External"/><Relationship Id="rId_hyperlink_2158" Type="http://schemas.openxmlformats.org/officeDocument/2006/relationships/hyperlink" Target="https://old.ukr-mobil.com/akkumulyator_huawei_honor_20_honor_8x_hb386590ecw_3750_mah_original_10001282" TargetMode="External"/><Relationship Id="rId_hyperlink_2159" Type="http://schemas.openxmlformats.org/officeDocument/2006/relationships/hyperlink" Target="https://old.ukr-mobil.com/akkumulyator_huawei_ascend_p7_5164" TargetMode="External"/><Relationship Id="rId_hyperlink_2160" Type="http://schemas.openxmlformats.org/officeDocument/2006/relationships/hyperlink" Target="https://old.ukr-mobil.com/akkumulyator_huawei_enjoy_7_honor_6a_honor_6c_honor_6c_pro_nova_nova_lite_2017_p9_lite_mini_y5_2017_y6_pro_2017_hb405979ecw_2920_mah_10722" TargetMode="External"/><Relationship Id="rId_hyperlink_2161" Type="http://schemas.openxmlformats.org/officeDocument/2006/relationships/hyperlink" Target="https://old.ukr-mobil.com/akkumulyator_huawei_honor_6a_honor_6c_honor_6c_pro_nova_nova_lite_2017_p9_lite_mini_y5_2017_y6_pro_2017_hb405979ecw_2920_mah_original_10001280" TargetMode="External"/><Relationship Id="rId_hyperlink_2162" Type="http://schemas.openxmlformats.org/officeDocument/2006/relationships/hyperlink" Target="https://old.ukr-mobil.com/akkumulyator_huawei_honor_7x_mate_10_lite_p_smart_plus_p30_lite_hb356687ecw_3340mah_12061" TargetMode="External"/><Relationship Id="rId_hyperlink_2163" Type="http://schemas.openxmlformats.org/officeDocument/2006/relationships/hyperlink" Target="https://old.ukr-mobil.com/akkumulyator_huawei_honor_7x_mate_10_lite_p_smart_plus_p30_lite_hb356687ecw_3340mah_original_10001250" TargetMode="External"/><Relationship Id="rId_hyperlink_2164" Type="http://schemas.openxmlformats.org/officeDocument/2006/relationships/hyperlink" Target="https://old.ukr-mobil.com/akkumulyator_huawei_p_smart_2019_honor_10_lite_hb396286ecw_3400mah_12062" TargetMode="External"/><Relationship Id="rId_hyperlink_2165" Type="http://schemas.openxmlformats.org/officeDocument/2006/relationships/hyperlink" Target="https://old.ukr-mobil.com/akkumulyator_huawei_p_smart_2019_honor_10_lite_hb396286ecw_3400mah_original_10001281" TargetMode="External"/><Relationship Id="rId_hyperlink_2166" Type="http://schemas.openxmlformats.org/officeDocument/2006/relationships/hyperlink" Target="https://old.ukr-mobil.com/index.php?route=product&amp;product_id=10005209" TargetMode="External"/><Relationship Id="rId_hyperlink_2167" Type="http://schemas.openxmlformats.org/officeDocument/2006/relationships/hyperlink" Target="https://old.ukr-mobil.com/akkumulyator_huawei_p_smart_z_honor_9x_y9_prime_2019_hb446486ecw_3900mah_original_prc_10002011" TargetMode="External"/><Relationship Id="rId_hyperlink_2168" Type="http://schemas.openxmlformats.org/officeDocument/2006/relationships/hyperlink" Target="https://old.ukr-mobil.com/akkumulyator_huawei_p10_lite_p20_lite_p_smart_honor_9_lite_hb366481ecw_2900mah_10721" TargetMode="External"/><Relationship Id="rId_hyperlink_2169" Type="http://schemas.openxmlformats.org/officeDocument/2006/relationships/hyperlink" Target="https://old.ukr-mobil.com/akkumulyator_huawei_p10_lite_p20_lite_p_smart_honor_9_lite_y6_2018_hb366481ecw_2900mah_original_10001279" TargetMode="External"/><Relationship Id="rId_hyperlink_2170" Type="http://schemas.openxmlformats.org/officeDocument/2006/relationships/hyperlink" Target="https://old.ukr-mobil.com/akkumulyator_huawei_p10_hb386280ecw_3200_mah_10723" TargetMode="External"/><Relationship Id="rId_hyperlink_2171" Type="http://schemas.openxmlformats.org/officeDocument/2006/relationships/hyperlink" Target="https://old.ukr-mobil.com/index.php?route=product&amp;product_id=10005207" TargetMode="External"/><Relationship Id="rId_hyperlink_2172" Type="http://schemas.openxmlformats.org/officeDocument/2006/relationships/hyperlink" Target="https://old.ukr-mobil.com/akkumulyator_huawei_p30_hb436380ecw_3650_mah_10000987" TargetMode="External"/><Relationship Id="rId_hyperlink_2173" Type="http://schemas.openxmlformats.org/officeDocument/2006/relationships/hyperlink" Target="https://old.ukr-mobil.com/akkumulyator_huawei_p40_lite_mate_30_hb486586ecw_4200mah_original_prc_10001998" TargetMode="External"/><Relationship Id="rId_hyperlink_2174" Type="http://schemas.openxmlformats.org/officeDocument/2006/relationships/hyperlink" Target="https://old.ukr-mobil.com/index.php?route=product&amp;product_id=10005210" TargetMode="External"/><Relationship Id="rId_hyperlink_2175" Type="http://schemas.openxmlformats.org/officeDocument/2006/relationships/hyperlink" Target="https://old.ukr-mobil.com/index.php?route=product&amp;product_id=10005208" TargetMode="External"/><Relationship Id="rId_hyperlink_2176" Type="http://schemas.openxmlformats.org/officeDocument/2006/relationships/hyperlink" Target="https://old.ukr-mobil.com/akkumulyator_huawei_y6p_2020_honor_9a_hb526489eew_5000mah_original_prc_10002012" TargetMode="External"/><Relationship Id="rId_hyperlink_2177" Type="http://schemas.openxmlformats.org/officeDocument/2006/relationships/hyperlink" Target="https://old.ukr-mobil.com/akkumulyator_huawei_y7_2017_y7_prime_2017_hb406689ecw_4000_mah_10000696" TargetMode="External"/><Relationship Id="rId_hyperlink_2178" Type="http://schemas.openxmlformats.org/officeDocument/2006/relationships/hyperlink" Target="https://old.ukr-mobil.com/akkumulyator_huawei_y7_2017_y7_prime_2017_hb406689ecw_4000_mah_original_10001283" TargetMode="External"/><Relationship Id="rId_hyperlink_2179" Type="http://schemas.openxmlformats.org/officeDocument/2006/relationships/hyperlink" Target="https://old.ukr-mobil.com/akkumulyator_lenovo_a516_a706_a760_a630e_a820e_bl209_5883" TargetMode="External"/><Relationship Id="rId_hyperlink_2180" Type="http://schemas.openxmlformats.org/officeDocument/2006/relationships/hyperlink" Target="https://old.ukr-mobil.com/akkumulyator_lenovo_s850_s850t_bl220_2150mah_10726" TargetMode="External"/><Relationship Id="rId_hyperlink_2181" Type="http://schemas.openxmlformats.org/officeDocument/2006/relationships/hyperlink" Target="https://old.ukr-mobil.com/akkumulyator_lg_optimus_g2_f320_f320l_f320s_f320k_f300_f260_bl-54sg_10942" TargetMode="External"/><Relationship Id="rId_hyperlink_2182" Type="http://schemas.openxmlformats.org/officeDocument/2006/relationships/hyperlink" Target="https://old.ukr-mobil.com/akkumulyator_meizu_c9_c9_pro_ba818_3100_mah_bez_logotipa_original_prc_10003186" TargetMode="External"/><Relationship Id="rId_hyperlink_2183" Type="http://schemas.openxmlformats.org/officeDocument/2006/relationships/hyperlink" Target="https://old.ukr-mobil.com/akkumulyator_meizu_m3_m3_mini_m3s_bt68_10743" TargetMode="External"/><Relationship Id="rId_hyperlink_2184" Type="http://schemas.openxmlformats.org/officeDocument/2006/relationships/hyperlink" Target="https://old.ukr-mobil.com/akkumulyator_meizu_m5_ba611_9808" TargetMode="External"/><Relationship Id="rId_hyperlink_2185" Type="http://schemas.openxmlformats.org/officeDocument/2006/relationships/hyperlink" Target="https://old.ukr-mobil.com/akkumulyator_meizu_m5c_bt710_3060_mah_10744" TargetMode="External"/><Relationship Id="rId_hyperlink_2186" Type="http://schemas.openxmlformats.org/officeDocument/2006/relationships/hyperlink" Target="https://old.ukr-mobil.com/akkumulyator_meizu_m8_note_note_8_ba822_3500_mah_bez_logotipa_original_prc_10003188" TargetMode="External"/><Relationship Id="rId_hyperlink_2187" Type="http://schemas.openxmlformats.org/officeDocument/2006/relationships/hyperlink" Target="https://old.ukr-mobil.com/akkumulyator_meizu_m9_note_note_9_ba923_3900_mah_bez_logotipa_original_prc_10003187" TargetMode="External"/><Relationship Id="rId_hyperlink_2188" Type="http://schemas.openxmlformats.org/officeDocument/2006/relationships/hyperlink" Target="https://old.ukr-mobil.com/index.php?route=product&amp;product_id=10005006" TargetMode="External"/><Relationship Id="rId_hyperlink_2189" Type="http://schemas.openxmlformats.org/officeDocument/2006/relationships/hyperlink" Target="https://old.ukr-mobil.com/index.php?route=product&amp;product_id=10005007" TargetMode="External"/><Relationship Id="rId_hyperlink_2190" Type="http://schemas.openxmlformats.org/officeDocument/2006/relationships/hyperlink" Target="https://old.ukr-mobil.com/index.php?route=product&amp;product_id=10005005" TargetMode="External"/><Relationship Id="rId_hyperlink_2191" Type="http://schemas.openxmlformats.org/officeDocument/2006/relationships/hyperlink" Target="https://old.ukr-mobil.com/akkumulyator_motorola_g7_play_xt1952_je40_3000_mah_original_prc_10002707" TargetMode="External"/><Relationship Id="rId_hyperlink_2192" Type="http://schemas.openxmlformats.org/officeDocument/2006/relationships/hyperlink" Target="https://old.ukr-mobil.com/akkumulyator_motorola_g7_power_xt1955_g9_play_xt2083_jk50_5000_mah_original_prc_10002699" TargetMode="External"/><Relationship Id="rId_hyperlink_2193" Type="http://schemas.openxmlformats.org/officeDocument/2006/relationships/hyperlink" Target="https://old.ukr-mobil.com/akkumulyator_motorola_g8_xt2045_g8_play_xt2015_one_macro_g_fast_kg40_4000_mah_original_prc_10002703" TargetMode="External"/><Relationship Id="rId_hyperlink_2194" Type="http://schemas.openxmlformats.org/officeDocument/2006/relationships/hyperlink" Target="https://old.ukr-mobil.com/akkumulyator_motorola_g8_plus_xt2019_kd40_4000_mah_original_prc_10002702" TargetMode="External"/><Relationship Id="rId_hyperlink_2195" Type="http://schemas.openxmlformats.org/officeDocument/2006/relationships/hyperlink" Target="https://old.ukr-mobil.com/akkumulyator_motorola_g8_power_xt2041-1_xt2041-3_g_power_kz50_5000_mah_original_prc_10002706" TargetMode="External"/><Relationship Id="rId_hyperlink_2196" Type="http://schemas.openxmlformats.org/officeDocument/2006/relationships/hyperlink" Target="https://old.ukr-mobil.com/akkumulyator_motorola_one_action_xt2013-2_one_vision_xt1970_kr40_3500_mah_original_prc_10002705" TargetMode="External"/><Relationship Id="rId_hyperlink_2197" Type="http://schemas.openxmlformats.org/officeDocument/2006/relationships/hyperlink" Target="https://old.ukr-mobil.com/akkumulyator_motorola_one_zoom_xt2010_one_pro_kp50_4000_mah_original_prc_10002704" TargetMode="External"/><Relationship Id="rId_hyperlink_2198" Type="http://schemas.openxmlformats.org/officeDocument/2006/relationships/hyperlink" Target="https://old.ukr-mobil.com/akkumulyator_motorola_xt1021_xt1022_xt1025_moto_e_el40_10753" TargetMode="External"/><Relationship Id="rId_hyperlink_2199" Type="http://schemas.openxmlformats.org/officeDocument/2006/relationships/hyperlink" Target="https://old.ukr-mobil.com/akkumulyator_motorola_xt1032_moto_g_ed30_10760" TargetMode="External"/><Relationship Id="rId_hyperlink_2200" Type="http://schemas.openxmlformats.org/officeDocument/2006/relationships/hyperlink" Target="https://old.ukr-mobil.com/akkumulyator_motorola_xt1080_eu20_10000492" TargetMode="External"/><Relationship Id="rId_hyperlink_2201" Type="http://schemas.openxmlformats.org/officeDocument/2006/relationships/hyperlink" Target="https://old.ukr-mobil.com/akkumulyator_motorola_xt1505_moto_e2_xt1511_moto_e2_xt1526_moto_e2_xt1527_moto_e2_xt1528_moto_e2_ft40_10749" TargetMode="External"/><Relationship Id="rId_hyperlink_2202" Type="http://schemas.openxmlformats.org/officeDocument/2006/relationships/hyperlink" Target="https://old.ukr-mobil.com/akkumulyator_motorola_xt1548_fc40_10000493" TargetMode="External"/><Relationship Id="rId_hyperlink_2203" Type="http://schemas.openxmlformats.org/officeDocument/2006/relationships/hyperlink" Target="https://old.ukr-mobil.com/akkumulyator_motorola_xt1562_moto_x_play_xt1563_x_play_fl40_3425mah_10761" TargetMode="External"/><Relationship Id="rId_hyperlink_2204" Type="http://schemas.openxmlformats.org/officeDocument/2006/relationships/hyperlink" Target="https://old.ukr-mobil.com/akkumulyator_motorola_xt1572_fx30_xt1575_xt1570_moto_x_style_moto_x_pure_edition_fx30_10000491" TargetMode="External"/><Relationship Id="rId_hyperlink_2205" Type="http://schemas.openxmlformats.org/officeDocument/2006/relationships/hyperlink" Target="https://old.ukr-mobil.com/akkumulyator_motorola_xt1580_moto_x_force_fb55_3550_mah_12232" TargetMode="External"/><Relationship Id="rId_hyperlink_2206" Type="http://schemas.openxmlformats.org/officeDocument/2006/relationships/hyperlink" Target="https://old.ukr-mobil.com/akkumulyator_motorola_xt1580_moto_x_force_xt1585_droid_turbo_2_fb55_3550_mah_original_10001284" TargetMode="External"/><Relationship Id="rId_hyperlink_2207" Type="http://schemas.openxmlformats.org/officeDocument/2006/relationships/hyperlink" Target="https://old.ukr-mobil.com/akkumulyator_motorola_xt1600_moto_g4_play_xt1601_moto_g4_play_xt1603_moto_g4_play_xt1607_moto_g4_play_xt1609_moto_g4_play_gk40_2800mah_10750" TargetMode="External"/><Relationship Id="rId_hyperlink_2208" Type="http://schemas.openxmlformats.org/officeDocument/2006/relationships/hyperlink" Target="https://old.ukr-mobil.com/akkumulyator_motorola_xt1640_moto_g4_plus_xt1641_moto_g4_plus_xt1642_moto_g4_plus_xt1643_moto_g4_plus_xt1644_moto_g4_plus_ga40_3000mah_10751" TargetMode="External"/><Relationship Id="rId_hyperlink_2209" Type="http://schemas.openxmlformats.org/officeDocument/2006/relationships/hyperlink" Target="https://old.ukr-mobil.com/akkumulyator_motorola_xt1640_moto_g4_plus_xt1641_moto_g4_plus_xt1642_moto_g4_plus_xt1643_moto_g4_plus_ga40_3000mah_original_prc_10001365" TargetMode="External"/><Relationship Id="rId_hyperlink_2210" Type="http://schemas.openxmlformats.org/officeDocument/2006/relationships/hyperlink" Target="https://old.ukr-mobil.com/akkumulyator_motorola_xt1650-03_moto_z_gv30_2380_mah_10747" TargetMode="External"/><Relationship Id="rId_hyperlink_2211" Type="http://schemas.openxmlformats.org/officeDocument/2006/relationships/hyperlink" Target="https://old.ukr-mobil.com/akkumulyator_motorola_xt1650_moto_z_gv30_2380_mah_original_prc_10001364" TargetMode="External"/><Relationship Id="rId_hyperlink_2212" Type="http://schemas.openxmlformats.org/officeDocument/2006/relationships/hyperlink" Target="https://old.ukr-mobil.com/akkumulyator_motorola_xt1685_moto_g5_plus_hg40_3000_mah_10748" TargetMode="External"/><Relationship Id="rId_hyperlink_2213" Type="http://schemas.openxmlformats.org/officeDocument/2006/relationships/hyperlink" Target="https://old.ukr-mobil.com/akkumulyator_motorola_xt1789_moto_z2_force_hd40_2730_mah_original_prc_10001785" TargetMode="External"/><Relationship Id="rId_hyperlink_2214" Type="http://schemas.openxmlformats.org/officeDocument/2006/relationships/hyperlink" Target="https://old.ukr-mobil.com/akkumulyator_motorola_xt1926_moto_g6_plus_jt40_3200_mah_original_prc_10002701" TargetMode="External"/><Relationship Id="rId_hyperlink_2215" Type="http://schemas.openxmlformats.org/officeDocument/2006/relationships/hyperlink" Target="https://old.ukr-mobil.com/akkumulyator_motorola_xt1929_moto_z3_play_js40_2800_mah_original_prc_10002700" TargetMode="External"/><Relationship Id="rId_hyperlink_2216" Type="http://schemas.openxmlformats.org/officeDocument/2006/relationships/hyperlink" Target="https://old.ukr-mobil.com/akkumulyator_motorola_xt1962_xt1965_moto_g7_jg30_3000_mah_original_prc_10002304" TargetMode="External"/><Relationship Id="rId_hyperlink_2217" Type="http://schemas.openxmlformats.org/officeDocument/2006/relationships/hyperlink" Target="https://old.ukr-mobil.com/akkumulyator_nokia_2_3_ta-1211_ta-1214_ta-1206_ta-1209_3_2_dual_sim_ta-1156_ta-1164_wt240_4000_mah_original_prc_10002681" TargetMode="External"/><Relationship Id="rId_hyperlink_2218" Type="http://schemas.openxmlformats.org/officeDocument/2006/relationships/hyperlink" Target="https://old.ukr-mobil.com/akkumulyator_nokia_g10_ta-1334_ta-1351_g20_ta-1336_ta-1334_wt340_5000_mah_original_prc_10002965" TargetMode="External"/><Relationship Id="rId_hyperlink_2219" Type="http://schemas.openxmlformats.org/officeDocument/2006/relationships/hyperlink" Target="https://old.ukr-mobil.com/akkumulyator_oneplus_5_oneplus_5t_blp637_3210_mah_original_prc_10001539" TargetMode="External"/><Relationship Id="rId_hyperlink_2220" Type="http://schemas.openxmlformats.org/officeDocument/2006/relationships/hyperlink" Target="https://old.ukr-mobil.com/akkumulyator_oneplus_6_blp657_3210_mah_original_prc_10001540" TargetMode="External"/><Relationship Id="rId_hyperlink_2221" Type="http://schemas.openxmlformats.org/officeDocument/2006/relationships/hyperlink" Target="https://old.ukr-mobil.com/akkumulyator_oneplus_6t_oneplus_7_blp685_3610_mah_original_prc_10001541" TargetMode="External"/><Relationship Id="rId_hyperlink_2222" Type="http://schemas.openxmlformats.org/officeDocument/2006/relationships/hyperlink" Target="https://old.ukr-mobil.com/akkumulyator_oneplus_7t_blp743_3725_mah_original_prc_10001542" TargetMode="External"/><Relationship Id="rId_hyperlink_2223" Type="http://schemas.openxmlformats.org/officeDocument/2006/relationships/hyperlink" Target="https://old.ukr-mobil.com/akkumulyator_oneplus_8_in2013_in2017_in2010_in2019_blp761_4230_mah_original_prc_10003491" TargetMode="External"/><Relationship Id="rId_hyperlink_2224" Type="http://schemas.openxmlformats.org/officeDocument/2006/relationships/hyperlink" Target="https://old.ukr-mobil.com/index.php?route=product&amp;product_id=10005235" TargetMode="External"/><Relationship Id="rId_hyperlink_2225" Type="http://schemas.openxmlformats.org/officeDocument/2006/relationships/hyperlink" Target="https://old.ukr-mobil.com/index.php?route=product&amp;product_id=10005252" TargetMode="External"/><Relationship Id="rId_hyperlink_2226" Type="http://schemas.openxmlformats.org/officeDocument/2006/relationships/hyperlink" Target="https://old.ukr-mobil.com/akkumulyator_oppo_a5_2020_a9_2020_blp727_5000_mah_original_prc_10001995" TargetMode="External"/><Relationship Id="rId_hyperlink_2227" Type="http://schemas.openxmlformats.org/officeDocument/2006/relationships/hyperlink" Target="https://old.ukr-mobil.com/akkumulyator_oppo_a52_a72_a92_blp781_5000_mah_original_prc_10001996" TargetMode="External"/><Relationship Id="rId_hyperlink_2228" Type="http://schemas.openxmlformats.org/officeDocument/2006/relationships/hyperlink" Target="https://old.ukr-mobil.com/akkumulyator_oppo_a74_4g_blp851_5000_mah_original_prc_10003492" TargetMode="External"/><Relationship Id="rId_hyperlink_2229" Type="http://schemas.openxmlformats.org/officeDocument/2006/relationships/hyperlink" Target="https://old.ukr-mobil.com/index.php?route=product&amp;product_id=10005250" TargetMode="External"/><Relationship Id="rId_hyperlink_2230" Type="http://schemas.openxmlformats.org/officeDocument/2006/relationships/hyperlink" Target="https://old.ukr-mobil.com/akkumulyator_oppo_realme_5_realme_5s_realme_c3_blp729_5000_mah_original_prc_10003493" TargetMode="External"/><Relationship Id="rId_hyperlink_2231" Type="http://schemas.openxmlformats.org/officeDocument/2006/relationships/hyperlink" Target="https://old.ukr-mobil.com/akkumulyator_oppo_realme_6_realme_6_pro_realme_6s_blp757_4300_mah_original_prc_10001997" TargetMode="External"/><Relationship Id="rId_hyperlink_2232" Type="http://schemas.openxmlformats.org/officeDocument/2006/relationships/hyperlink" Target="https://old.ukr-mobil.com/akkumulyator_oppo_realme_7i_realme_c11_realme_c17_blp803_5000_mah_original_prc_10003494" TargetMode="External"/><Relationship Id="rId_hyperlink_2233" Type="http://schemas.openxmlformats.org/officeDocument/2006/relationships/hyperlink" Target="https://old.ukr-mobil.com/index.php?route=product&amp;product_id=10005232" TargetMode="External"/><Relationship Id="rId_hyperlink_2234" Type="http://schemas.openxmlformats.org/officeDocument/2006/relationships/hyperlink" Target="https://old.ukr-mobil.com/index.php?route=product&amp;product_id=10005233" TargetMode="External"/><Relationship Id="rId_hyperlink_2235" Type="http://schemas.openxmlformats.org/officeDocument/2006/relationships/hyperlink" Target="https://old.ukr-mobil.com/index.php?route=product&amp;product_id=10005234" TargetMode="External"/><Relationship Id="rId_hyperlink_2236" Type="http://schemas.openxmlformats.org/officeDocument/2006/relationships/hyperlink" Target="https://old.ukr-mobil.com/akkumulyator_oppo_realme_c12_blp793_6000_mah_original_prc_10002966" TargetMode="External"/><Relationship Id="rId_hyperlink_2237" Type="http://schemas.openxmlformats.org/officeDocument/2006/relationships/hyperlink" Target="https://old.ukr-mobil.com/index.php?route=product&amp;product_id=10005196" TargetMode="External"/><Relationship Id="rId_hyperlink_2238" Type="http://schemas.openxmlformats.org/officeDocument/2006/relationships/hyperlink" Target="https://old.ukr-mobil.com/akkumulyator_samsung_a015_galaxy_a01_ql1695_3000mah_original_prc_10001972" TargetMode="External"/><Relationship Id="rId_hyperlink_2239" Type="http://schemas.openxmlformats.org/officeDocument/2006/relationships/hyperlink" Target="https://old.ukr-mobil.com/akkumulyator_samsung_a217_galaxy_a21s_eb-ba217aby_5000_mah_original_prc_10001973" TargetMode="External"/><Relationship Id="rId_hyperlink_2240" Type="http://schemas.openxmlformats.org/officeDocument/2006/relationships/hyperlink" Target="https://old.ukr-mobil.com/akkumulyator_samsung_a025_galaxy_a02s_hq-50s_5000_mah_original_prc_10002679" TargetMode="External"/><Relationship Id="rId_hyperlink_2241" Type="http://schemas.openxmlformats.org/officeDocument/2006/relationships/hyperlink" Target="https://old.ukr-mobil.com/akkumulyator_samsung_a105_galaxy_a10_2019_a750_galaxy_a7_2018_m105_galaxy_m10_eb-ba750abu_3300mah_10000346" TargetMode="External"/><Relationship Id="rId_hyperlink_2242" Type="http://schemas.openxmlformats.org/officeDocument/2006/relationships/hyperlink" Target="https://old.ukr-mobil.com/akkumulyator_samsung_a105_galaxy_a10_2019_a750_galaxy_a7_2018_m105_galaxy_m10_eb-ba750abu_3300mah_original_prc_10001348" TargetMode="External"/><Relationship Id="rId_hyperlink_2243" Type="http://schemas.openxmlformats.org/officeDocument/2006/relationships/hyperlink" Target="https://old.ukr-mobil.com/akkumulyator_samsung_a107_galaxy_a10s_a207_galaxy_a20s_scud-wt-n6_4000mah_10000748" TargetMode="External"/><Relationship Id="rId_hyperlink_2244" Type="http://schemas.openxmlformats.org/officeDocument/2006/relationships/hyperlink" Target="https://old.ukr-mobil.com/akkumulyator_samsung_a107_galaxy_a10s_a207_galaxy_a20s_scud-wt-n6_4000_mah_original_prc_10001361" TargetMode="External"/><Relationship Id="rId_hyperlink_2245" Type="http://schemas.openxmlformats.org/officeDocument/2006/relationships/hyperlink" Target="https://old.ukr-mobil.com/akkumulyator_samsung_a115_galaxy_a11_hq-70n_4000mah_original_prc_10001971" TargetMode="External"/><Relationship Id="rId_hyperlink_2246" Type="http://schemas.openxmlformats.org/officeDocument/2006/relationships/hyperlink" Target="https://old.ukr-mobil.com/akkumulyator_samsung_a202_galaxy_a20e_eb-ba202abu_3000mah_10000968" TargetMode="External"/><Relationship Id="rId_hyperlink_2247" Type="http://schemas.openxmlformats.org/officeDocument/2006/relationships/hyperlink" Target="https://old.ukr-mobil.com/akkumulyator_samsung_a305_galaxy_a30_a307_galaxy_a30s_a505_galaxy_a50_2019_eb-ba505abn_4000mah_10000345" TargetMode="External"/><Relationship Id="rId_hyperlink_2248" Type="http://schemas.openxmlformats.org/officeDocument/2006/relationships/hyperlink" Target="https://old.ukr-mobil.com/akkumulyator_samsung_a205_a20_a305_a30_a307_a30s_a505_galaxy_a50_eb-ba505abu_4000mah_original_prc_10001349" TargetMode="External"/><Relationship Id="rId_hyperlink_2249" Type="http://schemas.openxmlformats.org/officeDocument/2006/relationships/hyperlink" Target="https://old.ukr-mobil.com/index.php?route=product&amp;product_id=10005195" TargetMode="External"/><Relationship Id="rId_hyperlink_2250" Type="http://schemas.openxmlformats.org/officeDocument/2006/relationships/hyperlink" Target="https://old.ukr-mobil.com/index.php?route=product&amp;product_id=10005194" TargetMode="External"/><Relationship Id="rId_hyperlink_2251" Type="http://schemas.openxmlformats.org/officeDocument/2006/relationships/hyperlink" Target="https://old.ukr-mobil.com/akkumulyator_samsung_a315_galaxy_a31_eb-ba315aby_5000_mah_original_prc_10002000" TargetMode="External"/><Relationship Id="rId_hyperlink_2252" Type="http://schemas.openxmlformats.org/officeDocument/2006/relationships/hyperlink" Target="https://old.ukr-mobil.com/akkumulyator_samsung_a325_galaxy_a32_5g_a426_galaxy_a42_5g_a725_galaxy_a72_eb-ba426aby_5000mah_original_prc_10002967" TargetMode="External"/><Relationship Id="rId_hyperlink_2253" Type="http://schemas.openxmlformats.org/officeDocument/2006/relationships/hyperlink" Target="https://old.ukr-mobil.com/index.php?route=product&amp;product_id=10005200" TargetMode="External"/><Relationship Id="rId_hyperlink_2254" Type="http://schemas.openxmlformats.org/officeDocument/2006/relationships/hyperlink" Target="https://old.ukr-mobil.com/akkumulyator_samsung_a500_galaxy_a5_bms6380_2300mah_7993" TargetMode="External"/><Relationship Id="rId_hyperlink_2255" Type="http://schemas.openxmlformats.org/officeDocument/2006/relationships/hyperlink" Target="https://old.ukr-mobil.com/akkumulyator_samsung_a500_galaxy_a5_ba500abe_2300mah_original_prc_10001351" TargetMode="External"/><Relationship Id="rId_hyperlink_2256" Type="http://schemas.openxmlformats.org/officeDocument/2006/relationships/hyperlink" Target="https://old.ukr-mobil.com/akkumulyator_samsung_a515_galaxy_a51_eb-ba515aby_4000_mah_original_prc_10001974" TargetMode="External"/><Relationship Id="rId_hyperlink_2257" Type="http://schemas.openxmlformats.org/officeDocument/2006/relationships/hyperlink" Target="https://old.ukr-mobil.com/index.php?route=product&amp;product_id=10005193" TargetMode="External"/><Relationship Id="rId_hyperlink_2258" Type="http://schemas.openxmlformats.org/officeDocument/2006/relationships/hyperlink" Target="https://old.ukr-mobil.com/akkumulyator_samsung_a605_galaxy_a6_plus_j810_galaxy_j8_eb-bj805abe_3500_mah_10000976" TargetMode="External"/><Relationship Id="rId_hyperlink_2259" Type="http://schemas.openxmlformats.org/officeDocument/2006/relationships/hyperlink" Target="https://old.ukr-mobil.com/akkumulyator_samsung_a606_galaxy_a60_eb-ba606abu_3500mah_10000969" TargetMode="External"/><Relationship Id="rId_hyperlink_2260" Type="http://schemas.openxmlformats.org/officeDocument/2006/relationships/hyperlink" Target="https://old.ukr-mobil.com/akkumulyator_samsung_a700_galaxy_a7_eb-ba700abe_2600mah_7994" TargetMode="External"/><Relationship Id="rId_hyperlink_2261" Type="http://schemas.openxmlformats.org/officeDocument/2006/relationships/hyperlink" Target="https://old.ukr-mobil.com/akkumulyator_samsung_a715_galaxy_a71_eb-ba715aby_4500_mah_original_prc_10002968" TargetMode="External"/><Relationship Id="rId_hyperlink_2262" Type="http://schemas.openxmlformats.org/officeDocument/2006/relationships/hyperlink" Target="https://old.ukr-mobil.com/akkumulyator_samsung_a800_galaxy_a8_eb-ba800abe_3050_mah_10000983" TargetMode="External"/><Relationship Id="rId_hyperlink_2263" Type="http://schemas.openxmlformats.org/officeDocument/2006/relationships/hyperlink" Target="https://old.ukr-mobil.com/index.php?route=product&amp;product_id=10005201" TargetMode="External"/><Relationship Id="rId_hyperlink_2264" Type="http://schemas.openxmlformats.org/officeDocument/2006/relationships/hyperlink" Target="https://old.ukr-mobil.com/index.php?route=product&amp;product_id=10005202" TargetMode="External"/><Relationship Id="rId_hyperlink_2265" Type="http://schemas.openxmlformats.org/officeDocument/2006/relationships/hyperlink" Target="https://old.ukr-mobil.com/index.php?route=product&amp;product_id=10005203" TargetMode="External"/><Relationship Id="rId_hyperlink_2266" Type="http://schemas.openxmlformats.org/officeDocument/2006/relationships/hyperlink" Target="https://old.ukr-mobil.com/index.php?route=product&amp;product_id=10005204" TargetMode="External"/><Relationship Id="rId_hyperlink_2267" Type="http://schemas.openxmlformats.org/officeDocument/2006/relationships/hyperlink" Target="https://old.ukr-mobil.com/index.php?route=product&amp;product_id=10005205" TargetMode="External"/><Relationship Id="rId_hyperlink_2268" Type="http://schemas.openxmlformats.org/officeDocument/2006/relationships/hyperlink" Target="https://old.ukr-mobil.com/index.php?route=product&amp;product_id=10005206" TargetMode="External"/><Relationship Id="rId_hyperlink_2269" Type="http://schemas.openxmlformats.org/officeDocument/2006/relationships/hyperlink" Target="https://old.ukr-mobil.com/akkumulyator_samsung_g570_galaxy_j5_prime_eb-bg570abe_2400_mah_10000985" TargetMode="External"/><Relationship Id="rId_hyperlink_2270" Type="http://schemas.openxmlformats.org/officeDocument/2006/relationships/hyperlink" Target="https://old.ukr-mobil.com/akkumulyator_samsung_g610_galaxy_j7_prime_j415_galaxy_j4_plus_2018_eb-bg610abe_3300_mah_10000982" TargetMode="External"/><Relationship Id="rId_hyperlink_2271" Type="http://schemas.openxmlformats.org/officeDocument/2006/relationships/hyperlink" Target="https://old.ukr-mobil.com/akkumulyator_samsung_g928_galaxy_s6_edge_plus_eb-bg928abe_3000_mah_9282" TargetMode="External"/><Relationship Id="rId_hyperlink_2272" Type="http://schemas.openxmlformats.org/officeDocument/2006/relationships/hyperlink" Target="https://old.ukr-mobil.com/akkumulyator_samsung_g935_galaxy_s7_edge_eb-bg935abe_3600_mah_original_prc_10001358" TargetMode="External"/><Relationship Id="rId_hyperlink_2273" Type="http://schemas.openxmlformats.org/officeDocument/2006/relationships/hyperlink" Target="https://old.ukr-mobil.com/akkumulyator_samsung_g950_galaxy_s8_eb-bg950abe_3000_mah_original_prc_10001359" TargetMode="External"/><Relationship Id="rId_hyperlink_2274" Type="http://schemas.openxmlformats.org/officeDocument/2006/relationships/hyperlink" Target="https://old.ukr-mobil.com/akkumulyator_samsung_g955_galaxy_s8_plus_eb-bg955abe_3500_mah_original_prc_10001346" TargetMode="External"/><Relationship Id="rId_hyperlink_2275" Type="http://schemas.openxmlformats.org/officeDocument/2006/relationships/hyperlink" Target="https://old.ukr-mobil.com/akkumulyator_samsung_g960_galaxy_s9_eb-bg960abe_3500_mah_10000980" TargetMode="External"/><Relationship Id="rId_hyperlink_2276" Type="http://schemas.openxmlformats.org/officeDocument/2006/relationships/hyperlink" Target="https://old.ukr-mobil.com/akkumulyator_samsung_g965_galaxy_s9_plus_eb-bg965abe_3500_mah_10000981" TargetMode="External"/><Relationship Id="rId_hyperlink_2277" Type="http://schemas.openxmlformats.org/officeDocument/2006/relationships/hyperlink" Target="https://old.ukr-mobil.com/akkumulyator_samsung_g973_galaxy_s10_eb-bg973abu_3400_mah_10000974" TargetMode="External"/><Relationship Id="rId_hyperlink_2278" Type="http://schemas.openxmlformats.org/officeDocument/2006/relationships/hyperlink" Target="https://old.ukr-mobil.com/akkumulyator_samsung_g975_galaxy_s10_plus_eb-bg975abu_4100_mah_10000975" TargetMode="External"/><Relationship Id="rId_hyperlink_2279" Type="http://schemas.openxmlformats.org/officeDocument/2006/relationships/hyperlink" Target="https://old.ukr-mobil.com/akkumulyator_samsung_g980_galaxy_s20_eb-bg980aby_4000_mah_original_prc_10003420" TargetMode="External"/><Relationship Id="rId_hyperlink_2280" Type="http://schemas.openxmlformats.org/officeDocument/2006/relationships/hyperlink" Target="https://old.ukr-mobil.com/akkumulyator_samsung_g985_galaxy_s20_plus_eb-bg985aby_4500_mah_original_prc_10003421" TargetMode="External"/><Relationship Id="rId_hyperlink_2281" Type="http://schemas.openxmlformats.org/officeDocument/2006/relationships/hyperlink" Target="https://old.ukr-mobil.com/akkumulyator_samsung_g988_galaxy_s20_ultra_eb-bg988aby_5000_mah_original_prc_10003422" TargetMode="External"/><Relationship Id="rId_hyperlink_2282" Type="http://schemas.openxmlformats.org/officeDocument/2006/relationships/hyperlink" Target="https://old.ukr-mobil.com/akkumulyator_samsung_g991_galaxy_s21_eb-bg991aby_4000_mah_original_prc_10003423" TargetMode="External"/><Relationship Id="rId_hyperlink_2283" Type="http://schemas.openxmlformats.org/officeDocument/2006/relationships/hyperlink" Target="https://old.ukr-mobil.com/akkumulyator_samsung_g996_galaxy_s21_plus_eb-bg996aby_4800_mah_original_prc_10003424" TargetMode="External"/><Relationship Id="rId_hyperlink_2284" Type="http://schemas.openxmlformats.org/officeDocument/2006/relationships/hyperlink" Target="https://old.ukr-mobil.com/akkumulyator_samsung_g998_galaxy_s21_ultra_eb-bg998aby_5000_mah_original_prc_10003425" TargetMode="External"/><Relationship Id="rId_hyperlink_2285" Type="http://schemas.openxmlformats.org/officeDocument/2006/relationships/hyperlink" Target="https://old.ukr-mobil.com/akkumulyator_samsung_j330_galaxy_j3_2017_eb-bj330abe_2400_mah_10000984" TargetMode="External"/><Relationship Id="rId_hyperlink_2286" Type="http://schemas.openxmlformats.org/officeDocument/2006/relationships/hyperlink" Target="https://old.ukr-mobil.com/akkumulyator_samsung_j700_galaxy_j7_eb-bj700bbc_3000_mah_8274" TargetMode="External"/><Relationship Id="rId_hyperlink_2287" Type="http://schemas.openxmlformats.org/officeDocument/2006/relationships/hyperlink" Target="https://old.ukr-mobil.com/akkumulyator_samsung_j530_galaxy_j5_2017_eb-bj530abe_3000_mah_10976" TargetMode="External"/><Relationship Id="rId_hyperlink_2288" Type="http://schemas.openxmlformats.org/officeDocument/2006/relationships/hyperlink" Target="https://old.ukr-mobil.com/akkumulyator_samsung_j710_galaxy_j7_2016_eb-bj710cbc_3300_mah_8839" TargetMode="External"/><Relationship Id="rId_hyperlink_2289" Type="http://schemas.openxmlformats.org/officeDocument/2006/relationships/hyperlink" Target="https://old.ukr-mobil.com/akkumulyator_samsung_j730_galaxy_j7_2017_eb-bj730abe_3600_mah_original_prc_10001360" TargetMode="External"/><Relationship Id="rId_hyperlink_2290" Type="http://schemas.openxmlformats.org/officeDocument/2006/relationships/hyperlink" Target="https://old.ukr-mobil.com/akkumulyator_samsung_m205_galaxy_m20_m305_galaxy_m30_eb-bg580abu_5000_mah_10000986" TargetMode="External"/><Relationship Id="rId_hyperlink_2291" Type="http://schemas.openxmlformats.org/officeDocument/2006/relationships/hyperlink" Target="https://old.ukr-mobil.com/akkumulyator_samsung_n960_galaxy_note_9_eb-bn965abu_4000_mah_10000979" TargetMode="External"/><Relationship Id="rId_hyperlink_2292" Type="http://schemas.openxmlformats.org/officeDocument/2006/relationships/hyperlink" Target="https://old.ukr-mobil.com/akkumulyator_samsung_n975_galaxy_note_10_plus_eb-bn972abul_4300_mah_original_prc_10002180" TargetMode="External"/><Relationship Id="rId_hyperlink_2293" Type="http://schemas.openxmlformats.org/officeDocument/2006/relationships/hyperlink" Target="https://old.ukr-mobil.com/index.php?route=product&amp;product_id=10005197" TargetMode="External"/><Relationship Id="rId_hyperlink_2294" Type="http://schemas.openxmlformats.org/officeDocument/2006/relationships/hyperlink" Target="https://old.ukr-mobil.com/index.php?route=product&amp;product_id=10005198" TargetMode="External"/><Relationship Id="rId_hyperlink_2295" Type="http://schemas.openxmlformats.org/officeDocument/2006/relationships/hyperlink" Target="https://old.ukr-mobil.com/index.php?route=product&amp;product_id=10005199" TargetMode="External"/><Relationship Id="rId_hyperlink_2296" Type="http://schemas.openxmlformats.org/officeDocument/2006/relationships/hyperlink" Target="https://old.ukr-mobil.com/akkumulyator_sony_xperia_sp_c5302_m35h_5194" TargetMode="External"/><Relationship Id="rId_hyperlink_2297" Type="http://schemas.openxmlformats.org/officeDocument/2006/relationships/hyperlink" Target="https://old.ukr-mobil.com/akkumulyator_sony_xperia_z_c6602_l36h_5195" TargetMode="External"/><Relationship Id="rId_hyperlink_2298" Type="http://schemas.openxmlformats.org/officeDocument/2006/relationships/hyperlink" Target="https://old.ukr-mobil.com/akkumulyator_sony_xperia_z1_c6902_l39h_5193" TargetMode="External"/><Relationship Id="rId_hyperlink_2299" Type="http://schemas.openxmlformats.org/officeDocument/2006/relationships/hyperlink" Target="https://old.ukr-mobil.com/akkumulyator_tecno_pop_4_pro_bc3_pop_4_bc2_spark_6_go_ke5_spark_5_pro_kd7_camon_15_cd7_bl-49ft_5000_mah_original_prc_10002306" TargetMode="External"/><Relationship Id="rId_hyperlink_2300" Type="http://schemas.openxmlformats.org/officeDocument/2006/relationships/hyperlink" Target="https://old.ukr-mobil.com/akkumulyator_tecno_pova_2_le7n_bl-68at_7000_mah_original_prc_10003419" TargetMode="External"/><Relationship Id="rId_hyperlink_2301" Type="http://schemas.openxmlformats.org/officeDocument/2006/relationships/hyperlink" Target="https://old.ukr-mobil.com/index.php?route=product&amp;product_id=10005261" TargetMode="External"/><Relationship Id="rId_hyperlink_2302" Type="http://schemas.openxmlformats.org/officeDocument/2006/relationships/hyperlink" Target="https://old.ukr-mobil.com/akkumulyator_tecno_spark_4_kc2_kc8_camon_12_cc7_bl-39lt_4000_mah_original_prc_10002307" TargetMode="External"/><Relationship Id="rId_hyperlink_2303" Type="http://schemas.openxmlformats.org/officeDocument/2006/relationships/hyperlink" Target="https://old.ukr-mobil.com/index.php?route=product&amp;product_id=10005260" TargetMode="External"/><Relationship Id="rId_hyperlink_2304" Type="http://schemas.openxmlformats.org/officeDocument/2006/relationships/hyperlink" Target="https://old.ukr-mobil.com/index.php?route=product&amp;product_id=10005262" TargetMode="External"/><Relationship Id="rId_hyperlink_2305" Type="http://schemas.openxmlformats.org/officeDocument/2006/relationships/hyperlink" Target="https://old.ukr-mobil.com/index.php?route=product&amp;product_id=10005255" TargetMode="External"/><Relationship Id="rId_hyperlink_2306" Type="http://schemas.openxmlformats.org/officeDocument/2006/relationships/hyperlink" Target="https://old.ukr-mobil.com/index.php?route=product&amp;product_id=10005258" TargetMode="External"/><Relationship Id="rId_hyperlink_2307" Type="http://schemas.openxmlformats.org/officeDocument/2006/relationships/hyperlink" Target="https://old.ukr-mobil.com/index.php?route=product&amp;product_id=10005259" TargetMode="External"/><Relationship Id="rId_hyperlink_2308" Type="http://schemas.openxmlformats.org/officeDocument/2006/relationships/hyperlink" Target="https://old.ukr-mobil.com/index.php?route=product&amp;product_id=10005256" TargetMode="External"/><Relationship Id="rId_hyperlink_2309" Type="http://schemas.openxmlformats.org/officeDocument/2006/relationships/hyperlink" Target="https://old.ukr-mobil.com/index.php?route=product&amp;product_id=10005254" TargetMode="External"/><Relationship Id="rId_hyperlink_2310" Type="http://schemas.openxmlformats.org/officeDocument/2006/relationships/hyperlink" Target="https://old.ukr-mobil.com/index.php?route=product&amp;product_id=10005257" TargetMode="External"/><Relationship Id="rId_hyperlink_2311" Type="http://schemas.openxmlformats.org/officeDocument/2006/relationships/hyperlink" Target="https://old.ukr-mobil.com/akkumulyator_xiaomi_11t_pro_bm58_5000_mah_original_prc_10003429" TargetMode="External"/><Relationship Id="rId_hyperlink_2312" Type="http://schemas.openxmlformats.org/officeDocument/2006/relationships/hyperlink" Target="https://old.ukr-mobil.com/index.php?route=product&amp;product_id=10005217" TargetMode="External"/><Relationship Id="rId_hyperlink_2313" Type="http://schemas.openxmlformats.org/officeDocument/2006/relationships/hyperlink" Target="https://old.ukr-mobil.com/index.php?route=product&amp;product_id=10005221" TargetMode="External"/><Relationship Id="rId_hyperlink_2314" Type="http://schemas.openxmlformats.org/officeDocument/2006/relationships/hyperlink" Target="https://old.ukr-mobil.com/akkumulyator_xiaomi_12_12x_bp46_4500_mah_original_prc_10003430" TargetMode="External"/><Relationship Id="rId_hyperlink_2315" Type="http://schemas.openxmlformats.org/officeDocument/2006/relationships/hyperlink" Target="https://old.ukr-mobil.com/index.php?route=product&amp;product_id=10005219" TargetMode="External"/><Relationship Id="rId_hyperlink_2316" Type="http://schemas.openxmlformats.org/officeDocument/2006/relationships/hyperlink" Target="https://old.ukr-mobil.com/index.php?route=product&amp;product_id=10005211" TargetMode="External"/><Relationship Id="rId_hyperlink_2317" Type="http://schemas.openxmlformats.org/officeDocument/2006/relationships/hyperlink" Target="https://old.ukr-mobil.com/index.php?route=product&amp;product_id=10005212" TargetMode="External"/><Relationship Id="rId_hyperlink_2318" Type="http://schemas.openxmlformats.org/officeDocument/2006/relationships/hyperlink" Target="https://old.ukr-mobil.com/index.php?route=product&amp;product_id=10005214" TargetMode="External"/><Relationship Id="rId_hyperlink_2319" Type="http://schemas.openxmlformats.org/officeDocument/2006/relationships/hyperlink" Target="https://old.ukr-mobil.com/index.php?route=product&amp;product_id=10005213" TargetMode="External"/><Relationship Id="rId_hyperlink_2320" Type="http://schemas.openxmlformats.org/officeDocument/2006/relationships/hyperlink" Target="https://old.ukr-mobil.com/akkumulyator_xiaomi_mi_10_lite_bm4r_4100_mah_original_prc_10001975" TargetMode="External"/><Relationship Id="rId_hyperlink_2321" Type="http://schemas.openxmlformats.org/officeDocument/2006/relationships/hyperlink" Target="https://old.ukr-mobil.com/akkumulyator_xiaomi_mi_10_bm4n_4780_mah_original_prc_10003426" TargetMode="External"/><Relationship Id="rId_hyperlink_2322" Type="http://schemas.openxmlformats.org/officeDocument/2006/relationships/hyperlink" Target="https://old.ukr-mobil.com/akkumulyator_xiaomi_mi_10t_mi_10t_pro_bm53_5000_mah_original_prc_10002971" TargetMode="External"/><Relationship Id="rId_hyperlink_2323" Type="http://schemas.openxmlformats.org/officeDocument/2006/relationships/hyperlink" Target="https://old.ukr-mobil.com/akkumulyator_xiaomi_mi_11_bm4x_4600_mah_original_prc_10003427" TargetMode="External"/><Relationship Id="rId_hyperlink_2324" Type="http://schemas.openxmlformats.org/officeDocument/2006/relationships/hyperlink" Target="https://old.ukr-mobil.com/akkumulyator_xiaomi_mi_11i_poco_f3_redmi_k40_bm4y_4520_mah_original_prc_10003428" TargetMode="External"/><Relationship Id="rId_hyperlink_2325" Type="http://schemas.openxmlformats.org/officeDocument/2006/relationships/hyperlink" Target="https://old.ukr-mobil.com/akkumulyator_xiaomi_mi8_lite_bm3j_3350mah_10000603" TargetMode="External"/><Relationship Id="rId_hyperlink_2326" Type="http://schemas.openxmlformats.org/officeDocument/2006/relationships/hyperlink" Target="https://old.ukr-mobil.com/akkumulyator_xiaomi_mi_8_se_bm3d_3120_mah_10000998" TargetMode="External"/><Relationship Id="rId_hyperlink_2327" Type="http://schemas.openxmlformats.org/officeDocument/2006/relationships/hyperlink" Target="https://old.ukr-mobil.com/akkumulyator_xiaomi_mi_8_bm3e_3300_mah_10000999" TargetMode="External"/><Relationship Id="rId_hyperlink_2328" Type="http://schemas.openxmlformats.org/officeDocument/2006/relationships/hyperlink" Target="https://old.ukr-mobil.com/akkumulyator_xiaomi_mi_8_bm3e_3300_mah_original_prc_10002178" TargetMode="External"/><Relationship Id="rId_hyperlink_2329" Type="http://schemas.openxmlformats.org/officeDocument/2006/relationships/hyperlink" Target="https://old.ukr-mobil.com/akkumulyator_xiaomi_mi_9_se_bm3m_3070_mah_10000995" TargetMode="External"/><Relationship Id="rId_hyperlink_2330" Type="http://schemas.openxmlformats.org/officeDocument/2006/relationships/hyperlink" Target="https://old.ukr-mobil.com/akkumulyator_xiaomi_mi_9_bm3l_3300_mah_10000996" TargetMode="External"/><Relationship Id="rId_hyperlink_2331" Type="http://schemas.openxmlformats.org/officeDocument/2006/relationships/hyperlink" Target="https://old.ukr-mobil.com/akkumulyator_xiaomi_mi_9_bm3l_3300_mah_original_prc_10001982" TargetMode="External"/><Relationship Id="rId_hyperlink_2332" Type="http://schemas.openxmlformats.org/officeDocument/2006/relationships/hyperlink" Target="https://old.ukr-mobil.com/akkumulyator_xiaomi_mi_9t_redmi_k20_bp41_4000_mah_original_prc_10003056" TargetMode="External"/><Relationship Id="rId_hyperlink_2333" Type="http://schemas.openxmlformats.org/officeDocument/2006/relationships/hyperlink" Target="https://old.ukr-mobil.com/akkumulyator_xiaomi_mi_a1_redmi_note_5a_redmi_note_5a_prime_redmi_s2_bn31_3080mah_10758" TargetMode="External"/><Relationship Id="rId_hyperlink_2334" Type="http://schemas.openxmlformats.org/officeDocument/2006/relationships/hyperlink" Target="https://old.ukr-mobil.com/akkumulyator_xiaomi_mi_a1_redmi_note_5a_redmi_note_5a_prime_redmi_s2_bn31_3080mah_original_prc_10001337" TargetMode="External"/><Relationship Id="rId_hyperlink_2335" Type="http://schemas.openxmlformats.org/officeDocument/2006/relationships/hyperlink" Target="https://old.ukr-mobil.com/akkumulyator_xiaomi_mi_a2_lite_redmi_6_pro_bn47_3900_mah_original_prc_10001340" TargetMode="External"/><Relationship Id="rId_hyperlink_2336" Type="http://schemas.openxmlformats.org/officeDocument/2006/relationships/hyperlink" Target="https://old.ukr-mobil.com/akkumulyator_xiaomi_mi_a2_bn36_2800_mah_high_copy_10002970" TargetMode="External"/><Relationship Id="rId_hyperlink_2337" Type="http://schemas.openxmlformats.org/officeDocument/2006/relationships/hyperlink" Target="https://old.ukr-mobil.com/akkumulyator_xiaomi_mi_a2_bn36_3010_mah_10001000" TargetMode="External"/><Relationship Id="rId_hyperlink_2338" Type="http://schemas.openxmlformats.org/officeDocument/2006/relationships/hyperlink" Target="https://old.ukr-mobil.com/akkumulyator_xiaomi_mi_a3_bm4f_3940_mah_10000997" TargetMode="External"/><Relationship Id="rId_hyperlink_2339" Type="http://schemas.openxmlformats.org/officeDocument/2006/relationships/hyperlink" Target="https://old.ukr-mobil.com/akkumulyator_xiaomi_mi_max_bm49_4760_mah_8439" TargetMode="External"/><Relationship Id="rId_hyperlink_2340" Type="http://schemas.openxmlformats.org/officeDocument/2006/relationships/hyperlink" Target="https://old.ukr-mobil.com/akkumulyator_xiaomi_mi_mix_2_mi_mix_evo_bm3b_3400mah_10756" TargetMode="External"/><Relationship Id="rId_hyperlink_2341" Type="http://schemas.openxmlformats.org/officeDocument/2006/relationships/hyperlink" Target="https://old.ukr-mobil.com/akkumulyator_xiaomi_mi_mix_3_bm3k_3200_mah_10000990" TargetMode="External"/><Relationship Id="rId_hyperlink_2342" Type="http://schemas.openxmlformats.org/officeDocument/2006/relationships/hyperlink" Target="https://old.ukr-mobil.com/akkumulyator_xiaomi_mi_note_10_mi_note_10_lite_mi_note_10_pro_bm52_5260_mah_original_prc_10001976" TargetMode="External"/><Relationship Id="rId_hyperlink_2343" Type="http://schemas.openxmlformats.org/officeDocument/2006/relationships/hyperlink" Target="https://old.ukr-mobil.com/akkumulyator_xiaomi_mi_play_bn39_2900_mah_10000989" TargetMode="External"/><Relationship Id="rId_hyperlink_2344" Type="http://schemas.openxmlformats.org/officeDocument/2006/relationships/hyperlink" Target="https://old.ukr-mobil.com/akkumulyator_xiaomi_mi3_bm31_3050_mah_8441" TargetMode="External"/><Relationship Id="rId_hyperlink_2345" Type="http://schemas.openxmlformats.org/officeDocument/2006/relationships/hyperlink" Target="https://old.ukr-mobil.com/akkumulyator_xiaomi_poco_x3_pro_poco_x3_gt_poco_x3_nfc_bn57_5160_mah_original_prc_10003431" TargetMode="External"/><Relationship Id="rId_hyperlink_2346" Type="http://schemas.openxmlformats.org/officeDocument/2006/relationships/hyperlink" Target="https://old.ukr-mobil.com/akkumulyator_xiaomi_pocophone_f1_bm4e_3200_mah_high_copy_10002975" TargetMode="External"/><Relationship Id="rId_hyperlink_2347" Type="http://schemas.openxmlformats.org/officeDocument/2006/relationships/hyperlink" Target="https://old.ukr-mobil.com/akkumulyator_xiaomi_pocophone_f1_bm4e_3900_mah_10001015" TargetMode="External"/><Relationship Id="rId_hyperlink_2348" Type="http://schemas.openxmlformats.org/officeDocument/2006/relationships/hyperlink" Target="https://old.ukr-mobil.com/akkumulyator_xiaomi_redmi_10c_bn5g_5000_mah_original_prc_10004499" TargetMode="External"/><Relationship Id="rId_hyperlink_2349" Type="http://schemas.openxmlformats.org/officeDocument/2006/relationships/hyperlink" Target="https://old.ukr-mobil.com/index.php?route=product&amp;product_id=10005218" TargetMode="External"/><Relationship Id="rId_hyperlink_2350" Type="http://schemas.openxmlformats.org/officeDocument/2006/relationships/hyperlink" Target="https://old.ukr-mobil.com/akkumulyator_xiaomi_redmi_5_plus_bn44_4000mah_10754" TargetMode="External"/><Relationship Id="rId_hyperlink_2351" Type="http://schemas.openxmlformats.org/officeDocument/2006/relationships/hyperlink" Target="https://old.ukr-mobil.com/akkumulyator_xiaomi_redmi_6_redmi_6a_bn37_2900_mah_original_10001334" TargetMode="External"/><Relationship Id="rId_hyperlink_2352" Type="http://schemas.openxmlformats.org/officeDocument/2006/relationships/hyperlink" Target="https://old.ukr-mobil.com/akkumulyator_xiaomi_redmi_7a_bn49_4000_mah_original_prc_10002179" TargetMode="External"/><Relationship Id="rId_hyperlink_2353" Type="http://schemas.openxmlformats.org/officeDocument/2006/relationships/hyperlink" Target="https://old.ukr-mobil.com/akkumulyator_xiaomi_redmi_8_redmi_8a_bn51_4900_mah_10000528" TargetMode="External"/><Relationship Id="rId_hyperlink_2354" Type="http://schemas.openxmlformats.org/officeDocument/2006/relationships/hyperlink" Target="https://old.ukr-mobil.com/akkumulyator_xiaomi_redmi_8_redmi_8a_bn51_4900_mah_original_prc_10001342" TargetMode="External"/><Relationship Id="rId_hyperlink_2355" Type="http://schemas.openxmlformats.org/officeDocument/2006/relationships/hyperlink" Target="https://old.ukr-mobil.com/akkumulyator_xiaomi_redmi_9a_redmi_9c_poco_m2_pro_bn56_5000_mah_original_prc_10001980" TargetMode="External"/><Relationship Id="rId_hyperlink_2356" Type="http://schemas.openxmlformats.org/officeDocument/2006/relationships/hyperlink" Target="https://old.ukr-mobil.com/akkumulyator_xiaomi_redmi_note_10_redmi_note_10s_bn59_4600_mah_original_prc_10002961" TargetMode="External"/><Relationship Id="rId_hyperlink_2357" Type="http://schemas.openxmlformats.org/officeDocument/2006/relationships/hyperlink" Target="https://old.ukr-mobil.com/index.php?route=product&amp;product_id=10005215" TargetMode="External"/><Relationship Id="rId_hyperlink_2358" Type="http://schemas.openxmlformats.org/officeDocument/2006/relationships/hyperlink" Target="https://old.ukr-mobil.com/index.php?route=product&amp;product_id=10005216" TargetMode="External"/><Relationship Id="rId_hyperlink_2359" Type="http://schemas.openxmlformats.org/officeDocument/2006/relationships/hyperlink" Target="https://old.ukr-mobil.com/index.php?route=product&amp;product_id=10005220" TargetMode="External"/><Relationship Id="rId_hyperlink_2360" Type="http://schemas.openxmlformats.org/officeDocument/2006/relationships/hyperlink" Target="https://old.ukr-mobil.com/index.php?route=product&amp;product_id=10005222" TargetMode="External"/><Relationship Id="rId_hyperlink_2361" Type="http://schemas.openxmlformats.org/officeDocument/2006/relationships/hyperlink" Target="https://old.ukr-mobil.com/akkumulyator_xiaomi_redmi_note_5_bn45_4000mah_10755" TargetMode="External"/><Relationship Id="rId_hyperlink_2362" Type="http://schemas.openxmlformats.org/officeDocument/2006/relationships/hyperlink" Target="https://old.ukr-mobil.com/akkumulyator_xiaomi_redmi_note_6_pro_bn48_4000_mah_12075" TargetMode="External"/><Relationship Id="rId_hyperlink_2363" Type="http://schemas.openxmlformats.org/officeDocument/2006/relationships/hyperlink" Target="https://old.ukr-mobil.com/akkumulyator_xiaomi_redmi_note_6_pro_bn48_4000_mah_original_prc_10001339" TargetMode="External"/><Relationship Id="rId_hyperlink_2364" Type="http://schemas.openxmlformats.org/officeDocument/2006/relationships/hyperlink" Target="https://old.ukr-mobil.com/akkumulyator_xiaomi_redmi_note_7_bn4a_4000_mah_12072" TargetMode="External"/><Relationship Id="rId_hyperlink_2365" Type="http://schemas.openxmlformats.org/officeDocument/2006/relationships/hyperlink" Target="https://old.ukr-mobil.com/akkumulyator_xiaomi_redmi_note_9s_bn55_4920_mah_original_prc_10001979" TargetMode="External"/><Relationship Id="rId_hyperlink_2366" Type="http://schemas.openxmlformats.org/officeDocument/2006/relationships/hyperlink" Target="https://old.ukr-mobil.com/akkumulyator_zte_blade_20_smart_v1050_v2050_li3949t44p8h906450_4000_mah_original_prc_10002709" TargetMode="External"/><Relationship Id="rId_hyperlink_2367" Type="http://schemas.openxmlformats.org/officeDocument/2006/relationships/hyperlink" Target="https://old.ukr-mobil.com/akkumulyator_zte_blade_a5_2020_li3931t44p8h806139_3200_mah_original_prc_10002710" TargetMode="External"/><Relationship Id="rId_hyperlink_2368" Type="http://schemas.openxmlformats.org/officeDocument/2006/relationships/hyperlink" Target="https://old.ukr-mobil.com/akkumulyator_zte_blade_a7_2020_blade_a7s_2020_li3839t43p8h826348_4000_mah_original_prc_10002964" TargetMode="External"/><Relationship Id="rId_hyperlink_2369" Type="http://schemas.openxmlformats.org/officeDocument/2006/relationships/hyperlink" Target="https://old.ukr-mobil.com/buzer_iphone_5_3912" TargetMode="External"/><Relationship Id="rId_hyperlink_2370" Type="http://schemas.openxmlformats.org/officeDocument/2006/relationships/hyperlink" Target="https://old.ukr-mobil.com/dinamik_iphone_11_pro_max_original_10000745" TargetMode="External"/><Relationship Id="rId_hyperlink_2371" Type="http://schemas.openxmlformats.org/officeDocument/2006/relationships/hyperlink" Target="https://old.ukr-mobil.com/dinamik_iphone_11_pro_original_10000742" TargetMode="External"/><Relationship Id="rId_hyperlink_2372" Type="http://schemas.openxmlformats.org/officeDocument/2006/relationships/hyperlink" Target="https://old.ukr-mobil.com/dinamik_iphone_11_original_10000739" TargetMode="External"/><Relationship Id="rId_hyperlink_2373" Type="http://schemas.openxmlformats.org/officeDocument/2006/relationships/hyperlink" Target="https://old.ukr-mobil.com/dinamik_apple_iphone_12_pro_max_original_10002275" TargetMode="External"/><Relationship Id="rId_hyperlink_2374" Type="http://schemas.openxmlformats.org/officeDocument/2006/relationships/hyperlink" Target="https://old.ukr-mobil.com/dinamik_apple_iphone_12_iphone_12_pro_original_10002274" TargetMode="External"/><Relationship Id="rId_hyperlink_2375" Type="http://schemas.openxmlformats.org/officeDocument/2006/relationships/hyperlink" Target="https://old.ukr-mobil.com/dinamik_iphone_5_original_4091" TargetMode="External"/><Relationship Id="rId_hyperlink_2376" Type="http://schemas.openxmlformats.org/officeDocument/2006/relationships/hyperlink" Target="https://old.ukr-mobil.com/dinamik_iphone_5s_original_7283" TargetMode="External"/><Relationship Id="rId_hyperlink_2377" Type="http://schemas.openxmlformats.org/officeDocument/2006/relationships/hyperlink" Target="https://old.ukr-mobil.com/dinamik_iphone_6_plus_original_11591" TargetMode="External"/><Relationship Id="rId_hyperlink_2378" Type="http://schemas.openxmlformats.org/officeDocument/2006/relationships/hyperlink" Target="https://old.ukr-mobil.com/dinamik_iphone_6_original_7284" TargetMode="External"/><Relationship Id="rId_hyperlink_2379" Type="http://schemas.openxmlformats.org/officeDocument/2006/relationships/hyperlink" Target="https://old.ukr-mobil.com/dinamik_iphone_6s_plus_original_11592" TargetMode="External"/><Relationship Id="rId_hyperlink_2380" Type="http://schemas.openxmlformats.org/officeDocument/2006/relationships/hyperlink" Target="https://old.ukr-mobil.com/dinamik_iphone_6s_original_11589" TargetMode="External"/><Relationship Id="rId_hyperlink_2381" Type="http://schemas.openxmlformats.org/officeDocument/2006/relationships/hyperlink" Target="https://old.ukr-mobil.com/dinamik_iphone_8_plus_original_10062" TargetMode="External"/><Relationship Id="rId_hyperlink_2382" Type="http://schemas.openxmlformats.org/officeDocument/2006/relationships/hyperlink" Target="https://old.ukr-mobil.com/dinamik_iphone_8_original_11590" TargetMode="External"/><Relationship Id="rId_hyperlink_2383" Type="http://schemas.openxmlformats.org/officeDocument/2006/relationships/hyperlink" Target="https://old.ukr-mobil.com/dinamik_apple_iphone_x_original_10002273" TargetMode="External"/><Relationship Id="rId_hyperlink_2384" Type="http://schemas.openxmlformats.org/officeDocument/2006/relationships/hyperlink" Target="https://old.ukr-mobil.com/dinamik_apple_iphone_xs_max_original_10001642" TargetMode="External"/><Relationship Id="rId_hyperlink_2385" Type="http://schemas.openxmlformats.org/officeDocument/2006/relationships/hyperlink" Target="https://old.ukr-mobil.com/dinamik_apple_iphone_xs_original_10001643" TargetMode="External"/><Relationship Id="rId_hyperlink_2386" Type="http://schemas.openxmlformats.org/officeDocument/2006/relationships/hyperlink" Target="https://old.ukr-mobil.com/dinamik_lenovo_a5000_a6000_a7000_11375" TargetMode="External"/><Relationship Id="rId_hyperlink_2387" Type="http://schemas.openxmlformats.org/officeDocument/2006/relationships/hyperlink" Target="https://old.ukr-mobil.com/buzer_nokia_720_820_lumia_original_5273" TargetMode="External"/><Relationship Id="rId_hyperlink_2388" Type="http://schemas.openxmlformats.org/officeDocument/2006/relationships/hyperlink" Target="https://old.ukr-mobil.com/dinamik_nokia_225_620_925_1520_lumia_sony_st26_original_4427" TargetMode="External"/><Relationship Id="rId_hyperlink_2389" Type="http://schemas.openxmlformats.org/officeDocument/2006/relationships/hyperlink" Target="https://old.ukr-mobil.com/dinamik_nokia_3100_2600_3230_3250_6260_6610_7610_original_171" TargetMode="External"/><Relationship Id="rId_hyperlink_2390" Type="http://schemas.openxmlformats.org/officeDocument/2006/relationships/hyperlink" Target="https://old.ukr-mobil.com/displej_samsung_a736_galaxy_a73_5g_gh82-28686b_s_tachskrinom_ramkoj_service_pack_original_white_10002594" TargetMode="External"/><Relationship Id="rId_hyperlink_2391" Type="http://schemas.openxmlformats.org/officeDocument/2006/relationships/hyperlink" Target="https://old.ukr-mobil.com/displej_apple_iphone_11_pro_max_s_tachskrinom_oled_10001839" TargetMode="External"/><Relationship Id="rId_hyperlink_2392" Type="http://schemas.openxmlformats.org/officeDocument/2006/relationships/hyperlink" Target="https://old.ukr-mobil.com/displej_apple_iphone_11_pro_max_s_tachskrinom_original_vosstanovlenyj_10001838" TargetMode="External"/><Relationship Id="rId_hyperlink_2393" Type="http://schemas.openxmlformats.org/officeDocument/2006/relationships/hyperlink" Target="https://old.ukr-mobil.com/displej_iphone_11_pro_max_s_tachskrinom_original_12348" TargetMode="External"/><Relationship Id="rId_hyperlink_2394" Type="http://schemas.openxmlformats.org/officeDocument/2006/relationships/hyperlink" Target="https://old.ukr-mobil.com/displej_apple_iphone_11_pro_s_tachskrinom_oled_10002323" TargetMode="External"/><Relationship Id="rId_hyperlink_2395" Type="http://schemas.openxmlformats.org/officeDocument/2006/relationships/hyperlink" Target="https://old.ukr-mobil.com/displej_iphone_11_pro_s_tachskrinom_oled_gx_10001090" TargetMode="External"/><Relationship Id="rId_hyperlink_2396" Type="http://schemas.openxmlformats.org/officeDocument/2006/relationships/hyperlink" Target="https://old.ukr-mobil.com/displej_iphone_11_pro_s_tachskrinom_original_12347" TargetMode="External"/><Relationship Id="rId_hyperlink_2397" Type="http://schemas.openxmlformats.org/officeDocument/2006/relationships/hyperlink" Target="https://old.ukr-mobil.com/displej_apple_iphone_11_pro_s_tachskrinom_original_vosstanovlenyj_10001960" TargetMode="External"/><Relationship Id="rId_hyperlink_2398" Type="http://schemas.openxmlformats.org/officeDocument/2006/relationships/hyperlink" Target="https://old.ukr-mobil.com/index.php?route=product&amp;product_id=10004729" TargetMode="External"/><Relationship Id="rId_hyperlink_2399" Type="http://schemas.openxmlformats.org/officeDocument/2006/relationships/hyperlink" Target="https://old.ukr-mobil.com/displej_iphone_11_s_tachskrinom_high_copy_10000598" TargetMode="External"/><Relationship Id="rId_hyperlink_2400" Type="http://schemas.openxmlformats.org/officeDocument/2006/relationships/hyperlink" Target="https://old.ukr-mobil.com/displej_apple_iphone_11_s_tachskrinom_original_vosstanovlenyj_10001302" TargetMode="External"/><Relationship Id="rId_hyperlink_2401" Type="http://schemas.openxmlformats.org/officeDocument/2006/relationships/hyperlink" Target="https://old.ukr-mobil.com/displej_iphone_11_s_tachskrinom_original_prc_12346" TargetMode="External"/><Relationship Id="rId_hyperlink_2402" Type="http://schemas.openxmlformats.org/officeDocument/2006/relationships/hyperlink" Target="https://old.ukr-mobil.com/displej_apple_iphone_12_mini_s_tachskrinom_original_10001278" TargetMode="External"/><Relationship Id="rId_hyperlink_2403" Type="http://schemas.openxmlformats.org/officeDocument/2006/relationships/hyperlink" Target="https://old.ukr-mobil.com/displej_apple_iphone_12_pro_max_s_tachskrinom_gx_oled_10003592" TargetMode="External"/><Relationship Id="rId_hyperlink_2404" Type="http://schemas.openxmlformats.org/officeDocument/2006/relationships/hyperlink" Target="https://old.ukr-mobil.com/displej_apple_iphone_12_pro_max_s_tachskrinom_oled_10002327" TargetMode="External"/><Relationship Id="rId_hyperlink_2405" Type="http://schemas.openxmlformats.org/officeDocument/2006/relationships/hyperlink" Target="https://old.ukr-mobil.com/displej_apple_iphone_12_pro_max_s_tachskrinom_original_10001276" TargetMode="External"/><Relationship Id="rId_hyperlink_2406" Type="http://schemas.openxmlformats.org/officeDocument/2006/relationships/hyperlink" Target="https://old.ukr-mobil.com/displej_apple_iphone_12_iphone_12_pro_s_tachskrinom_gx_oled_10003593" TargetMode="External"/><Relationship Id="rId_hyperlink_2407" Type="http://schemas.openxmlformats.org/officeDocument/2006/relationships/hyperlink" Target="https://old.ukr-mobil.com/displej_apple_iphone_12_iphone_12_pro_s_tachskrinom_oled_10002328" TargetMode="External"/><Relationship Id="rId_hyperlink_2408" Type="http://schemas.openxmlformats.org/officeDocument/2006/relationships/hyperlink" Target="https://old.ukr-mobil.com/displej_apple_iphone_12_iphone_12_pro_s_tachskrinom_original_10001277" TargetMode="External"/><Relationship Id="rId_hyperlink_2409" Type="http://schemas.openxmlformats.org/officeDocument/2006/relationships/hyperlink" Target="https://old.ukr-mobil.com/index.php?route=product&amp;product_id=10004973" TargetMode="External"/><Relationship Id="rId_hyperlink_2410" Type="http://schemas.openxmlformats.org/officeDocument/2006/relationships/hyperlink" Target="https://old.ukr-mobil.com/displej_apple_iphone_13_pro_max_s_tachskrinom_original_10002120" TargetMode="External"/><Relationship Id="rId_hyperlink_2411" Type="http://schemas.openxmlformats.org/officeDocument/2006/relationships/hyperlink" Target="https://old.ukr-mobil.com/index.php?route=product&amp;product_id=10004972" TargetMode="External"/><Relationship Id="rId_hyperlink_2412" Type="http://schemas.openxmlformats.org/officeDocument/2006/relationships/hyperlink" Target="https://old.ukr-mobil.com/displej_apple_iphone_13_pro_s_tachskrinom_original_10003148" TargetMode="External"/><Relationship Id="rId_hyperlink_2413" Type="http://schemas.openxmlformats.org/officeDocument/2006/relationships/hyperlink" Target="https://old.ukr-mobil.com/displej_apple_iphone_13_s_tachskrinom_oled_10003590" TargetMode="External"/><Relationship Id="rId_hyperlink_2414" Type="http://schemas.openxmlformats.org/officeDocument/2006/relationships/hyperlink" Target="https://old.ukr-mobil.com/displej_apple_iphone_13_iphone_13_pro_s_tachskrinom_original_10002119" TargetMode="External"/><Relationship Id="rId_hyperlink_2415" Type="http://schemas.openxmlformats.org/officeDocument/2006/relationships/hyperlink" Target="https://old.ukr-mobil.com/displej_apple_iphone_13_s_tachskrinom_original_prc_10003598" TargetMode="External"/><Relationship Id="rId_hyperlink_2416" Type="http://schemas.openxmlformats.org/officeDocument/2006/relationships/hyperlink" Target="https://old.ukr-mobil.com/displej_apple_iphone_14_plus_s_tachskrinom_original_vosstanovlenyj_10003596" TargetMode="External"/><Relationship Id="rId_hyperlink_2417" Type="http://schemas.openxmlformats.org/officeDocument/2006/relationships/hyperlink" Target="https://old.ukr-mobil.com/displej_apple_iphone_14_pro_max_s_tachskrinom_original_prc_10003600" TargetMode="External"/><Relationship Id="rId_hyperlink_2418" Type="http://schemas.openxmlformats.org/officeDocument/2006/relationships/hyperlink" Target="https://old.ukr-mobil.com/displej_apple_iphone_14_pro_s_tachskrinom_original_vosstanovlenyj_10003597" TargetMode="External"/><Relationship Id="rId_hyperlink_2419" Type="http://schemas.openxmlformats.org/officeDocument/2006/relationships/hyperlink" Target="https://old.ukr-mobil.com/displej_apple_iphone_14_s_tachskrinom_original_vosstanovlenyj_10003595" TargetMode="External"/><Relationship Id="rId_hyperlink_2420" Type="http://schemas.openxmlformats.org/officeDocument/2006/relationships/hyperlink" Target="https://old.ukr-mobil.com/displej_apple_iphone_14_s_tachskrinom_original_prc_10003599" TargetMode="External"/><Relationship Id="rId_hyperlink_2421" Type="http://schemas.openxmlformats.org/officeDocument/2006/relationships/hyperlink" Target="https://old.ukr-mobil.com/displej_iphone_4g_s_tachskrinom_white_original_3546" TargetMode="External"/><Relationship Id="rId_hyperlink_2422" Type="http://schemas.openxmlformats.org/officeDocument/2006/relationships/hyperlink" Target="https://old.ukr-mobil.com/displej_iphone_4g_s_tachskrinom_black_4184" TargetMode="External"/><Relationship Id="rId_hyperlink_2423" Type="http://schemas.openxmlformats.org/officeDocument/2006/relationships/hyperlink" Target="https://old.ukr-mobil.com/displej_iphone_4g_s_tachskrinom_white_4185" TargetMode="External"/><Relationship Id="rId_hyperlink_2424" Type="http://schemas.openxmlformats.org/officeDocument/2006/relationships/hyperlink" Target="https://old.ukr-mobil.com/displej_iphone_4s_s_tachskrinom_black_4186" TargetMode="External"/><Relationship Id="rId_hyperlink_2425" Type="http://schemas.openxmlformats.org/officeDocument/2006/relationships/hyperlink" Target="https://old.ukr-mobil.com/displej_iphone_4s_s_tachskrinom_white_4187" TargetMode="External"/><Relationship Id="rId_hyperlink_2426" Type="http://schemas.openxmlformats.org/officeDocument/2006/relationships/hyperlink" Target="https://old.ukr-mobil.com/displej_iphone_5_s_tachskrinom_high_copy_black_3509" TargetMode="External"/><Relationship Id="rId_hyperlink_2427" Type="http://schemas.openxmlformats.org/officeDocument/2006/relationships/hyperlink" Target="https://old.ukr-mobil.com/displej_iphone_5_s_tachskrinom_high_copy_white_3510" TargetMode="External"/><Relationship Id="rId_hyperlink_2428" Type="http://schemas.openxmlformats.org/officeDocument/2006/relationships/hyperlink" Target="https://old.ukr-mobil.com/displej_iphone_5c_s_tachskrinom_high_copy_black_4321" TargetMode="External"/><Relationship Id="rId_hyperlink_2429" Type="http://schemas.openxmlformats.org/officeDocument/2006/relationships/hyperlink" Target="https://old.ukr-mobil.com/displej_iphone_5s_iphone_5se_s_tachskrinom_high_copy_black_4325" TargetMode="External"/><Relationship Id="rId_hyperlink_2430" Type="http://schemas.openxmlformats.org/officeDocument/2006/relationships/hyperlink" Target="https://old.ukr-mobil.com/displej_iphone_6_plus_s_tachskrinom_high_copy_black_5412" TargetMode="External"/><Relationship Id="rId_hyperlink_2431" Type="http://schemas.openxmlformats.org/officeDocument/2006/relationships/hyperlink" Target="https://old.ukr-mobil.com/displej_iphone_6_plus_s_tachskrinom_high_copy_white_5411" TargetMode="External"/><Relationship Id="rId_hyperlink_2432" Type="http://schemas.openxmlformats.org/officeDocument/2006/relationships/hyperlink" Target="https://old.ukr-mobil.com/displej_iphone_6_plus_s_tachskrinom_original_vosstanovlenyj_black_10000502" TargetMode="External"/><Relationship Id="rId_hyperlink_2433" Type="http://schemas.openxmlformats.org/officeDocument/2006/relationships/hyperlink" Target="https://old.ukr-mobil.com/displej_iphone_6_plus_s_tachskrinom_original_vosstanovlenyj_white_10000503" TargetMode="External"/><Relationship Id="rId_hyperlink_2434" Type="http://schemas.openxmlformats.org/officeDocument/2006/relationships/hyperlink" Target="https://old.ukr-mobil.com/displej_iphone_6_plus_s_tachskrinom_original_prc_black_7923" TargetMode="External"/><Relationship Id="rId_hyperlink_2435" Type="http://schemas.openxmlformats.org/officeDocument/2006/relationships/hyperlink" Target="https://old.ukr-mobil.com/displej_iphone_6_plus_s_tachskrinom_original_prc_white_8211" TargetMode="External"/><Relationship Id="rId_hyperlink_2436" Type="http://schemas.openxmlformats.org/officeDocument/2006/relationships/hyperlink" Target="https://old.ukr-mobil.com/displej_iphone_6_s_tachskrinom_high_copy_black_5063" TargetMode="External"/><Relationship Id="rId_hyperlink_2437" Type="http://schemas.openxmlformats.org/officeDocument/2006/relationships/hyperlink" Target="https://old.ukr-mobil.com/displej_iphone_6_s_tachskrinom_high_copy_white_5052" TargetMode="External"/><Relationship Id="rId_hyperlink_2438" Type="http://schemas.openxmlformats.org/officeDocument/2006/relationships/hyperlink" Target="https://old.ukr-mobil.com/displej_iphone_6_s_tachskrinom_original_vosstanovlenyj_black_10000512" TargetMode="External"/><Relationship Id="rId_hyperlink_2439" Type="http://schemas.openxmlformats.org/officeDocument/2006/relationships/hyperlink" Target="https://old.ukr-mobil.com/displej_iphone_6_s_tachskrinom_original_vosstanovlenyj_white_10000513" TargetMode="External"/><Relationship Id="rId_hyperlink_2440" Type="http://schemas.openxmlformats.org/officeDocument/2006/relationships/hyperlink" Target="https://old.ukr-mobil.com/displej_iphone_6_s_tachskrinom_original_prc_black_7699" TargetMode="External"/><Relationship Id="rId_hyperlink_2441" Type="http://schemas.openxmlformats.org/officeDocument/2006/relationships/hyperlink" Target="https://old.ukr-mobil.com/displej_iphone_6_s_tachskrinom_original_prc_white_7700" TargetMode="External"/><Relationship Id="rId_hyperlink_2442" Type="http://schemas.openxmlformats.org/officeDocument/2006/relationships/hyperlink" Target="https://old.ukr-mobil.com/displej_iphone_6s_plus_s_tachskrinom_high_copy_black_9026" TargetMode="External"/><Relationship Id="rId_hyperlink_2443" Type="http://schemas.openxmlformats.org/officeDocument/2006/relationships/hyperlink" Target="https://old.ukr-mobil.com/displej_iphone_6s_plus_s_tachskrinom_high_copy_white_9027" TargetMode="External"/><Relationship Id="rId_hyperlink_2444" Type="http://schemas.openxmlformats.org/officeDocument/2006/relationships/hyperlink" Target="https://old.ukr-mobil.com/displej_iphone_6s_plus_s_tachskrinom_original_vosstanovlenyj_black_10000506" TargetMode="External"/><Relationship Id="rId_hyperlink_2445" Type="http://schemas.openxmlformats.org/officeDocument/2006/relationships/hyperlink" Target="https://old.ukr-mobil.com/displej_iphone_6s_plus_s_tachskrinom_original_vosstanovlenyj_white_10000507" TargetMode="External"/><Relationship Id="rId_hyperlink_2446" Type="http://schemas.openxmlformats.org/officeDocument/2006/relationships/hyperlink" Target="https://old.ukr-mobil.com/displej_iphone_6s_plus_s_tachskrinom_original_prc_black_5941" TargetMode="External"/><Relationship Id="rId_hyperlink_2447" Type="http://schemas.openxmlformats.org/officeDocument/2006/relationships/hyperlink" Target="https://old.ukr-mobil.com/displej_iphone_6s_plus_s_tachskrinom_original_prc_white_5942" TargetMode="External"/><Relationship Id="rId_hyperlink_2448" Type="http://schemas.openxmlformats.org/officeDocument/2006/relationships/hyperlink" Target="https://old.ukr-mobil.com/displej_iphone_6s_s_tachskrinom_high_copy_black_5711" TargetMode="External"/><Relationship Id="rId_hyperlink_2449" Type="http://schemas.openxmlformats.org/officeDocument/2006/relationships/hyperlink" Target="https://old.ukr-mobil.com/displej_iphone_6s_s_tachskrinom_high_copy_white_5710" TargetMode="External"/><Relationship Id="rId_hyperlink_2450" Type="http://schemas.openxmlformats.org/officeDocument/2006/relationships/hyperlink" Target="https://old.ukr-mobil.com/displej_iphone_6s_s_tachskrinom_original_vosstanovlenyj_black_10000504" TargetMode="External"/><Relationship Id="rId_hyperlink_2451" Type="http://schemas.openxmlformats.org/officeDocument/2006/relationships/hyperlink" Target="https://old.ukr-mobil.com/displej_iphone_6s_s_tachskrinom_original_vosstanovlenyj_white_10000505" TargetMode="External"/><Relationship Id="rId_hyperlink_2452" Type="http://schemas.openxmlformats.org/officeDocument/2006/relationships/hyperlink" Target="https://old.ukr-mobil.com/displej_iphone_6s_s_tachskrinom_original_prc_black_7528" TargetMode="External"/><Relationship Id="rId_hyperlink_2453" Type="http://schemas.openxmlformats.org/officeDocument/2006/relationships/hyperlink" Target="https://old.ukr-mobil.com/displej_iphone_6s_s_tachskrinom_original_prc_white_7529" TargetMode="External"/><Relationship Id="rId_hyperlink_2454" Type="http://schemas.openxmlformats.org/officeDocument/2006/relationships/hyperlink" Target="https://old.ukr-mobil.com/displej_apple_iphone_7_plus_s_tachskrinom_high_copy_lg_black_10001945" TargetMode="External"/><Relationship Id="rId_hyperlink_2455" Type="http://schemas.openxmlformats.org/officeDocument/2006/relationships/hyperlink" Target="https://old.ukr-mobil.com/displej_apple_iphone_7_plus_s_tachskrinom_high_quality_lg_dtp_c3f_white_10003305" TargetMode="External"/><Relationship Id="rId_hyperlink_2456" Type="http://schemas.openxmlformats.org/officeDocument/2006/relationships/hyperlink" Target="https://old.ukr-mobil.com/displej_apple_iphone_7_plus_s_tachskrinom_high_quality_lg_dtp_c3f_white_10003306" TargetMode="External"/><Relationship Id="rId_hyperlink_2457" Type="http://schemas.openxmlformats.org/officeDocument/2006/relationships/hyperlink" Target="https://old.ukr-mobil.com/displej_iphone_7_plus_s_tachskrinom_high_copy_black_6925" TargetMode="External"/><Relationship Id="rId_hyperlink_2458" Type="http://schemas.openxmlformats.org/officeDocument/2006/relationships/hyperlink" Target="https://old.ukr-mobil.com/displej_iphone_7_plus_s_tachskrinom_high_copy_white_7907" TargetMode="External"/><Relationship Id="rId_hyperlink_2459" Type="http://schemas.openxmlformats.org/officeDocument/2006/relationships/hyperlink" Target="https://old.ukr-mobil.com/displej_apple_iphone_7_plus_s_tachskrinom_original_vosstanovlenyj_lg_dtp_c3f_black_10001993" TargetMode="External"/><Relationship Id="rId_hyperlink_2460" Type="http://schemas.openxmlformats.org/officeDocument/2006/relationships/hyperlink" Target="https://old.ukr-mobil.com/displej_apple_iphone_7_plus_s_tachskrinom_original_vosstanovlenyj_lg_dtp_c3f_white_10002001" TargetMode="External"/><Relationship Id="rId_hyperlink_2461" Type="http://schemas.openxmlformats.org/officeDocument/2006/relationships/hyperlink" Target="https://old.ukr-mobil.com/displej_iphone_7_plus_s_tachskrinom_original_vosstanovlenyj_black_10000510" TargetMode="External"/><Relationship Id="rId_hyperlink_2462" Type="http://schemas.openxmlformats.org/officeDocument/2006/relationships/hyperlink" Target="https://old.ukr-mobil.com/displej_iphone_7_plus_s_tachskrinom_original_vosstanovlenyj_white_10000511" TargetMode="External"/><Relationship Id="rId_hyperlink_2463" Type="http://schemas.openxmlformats.org/officeDocument/2006/relationships/hyperlink" Target="https://old.ukr-mobil.com/displej_apple_iphone_7_plus_s_tachskrinom_original_prc_lg_dtp_c3f_black_10002046" TargetMode="External"/><Relationship Id="rId_hyperlink_2464" Type="http://schemas.openxmlformats.org/officeDocument/2006/relationships/hyperlink" Target="https://old.ukr-mobil.com/displej_apple_iphone_7_plus_s_tachskrinom_original_prc_lg_dtp_c3f_white_10002047" TargetMode="External"/><Relationship Id="rId_hyperlink_2465" Type="http://schemas.openxmlformats.org/officeDocument/2006/relationships/hyperlink" Target="https://old.ukr-mobil.com/displej_iphone_7_plus_s_tachskrinom_original_prc_black_9157" TargetMode="External"/><Relationship Id="rId_hyperlink_2466" Type="http://schemas.openxmlformats.org/officeDocument/2006/relationships/hyperlink" Target="https://old.ukr-mobil.com/displej_iphone_7_plus_s_tachskrinom_original_prc_white_6926" TargetMode="External"/><Relationship Id="rId_hyperlink_2467" Type="http://schemas.openxmlformats.org/officeDocument/2006/relationships/hyperlink" Target="https://old.ukr-mobil.com/displej_iphone_7_s_tachskrinom_high_copy_black_7933" TargetMode="External"/><Relationship Id="rId_hyperlink_2468" Type="http://schemas.openxmlformats.org/officeDocument/2006/relationships/hyperlink" Target="https://old.ukr-mobil.com/displej_iphone_7_s_tachskrinom_high_copy_white_6924" TargetMode="External"/><Relationship Id="rId_hyperlink_2469" Type="http://schemas.openxmlformats.org/officeDocument/2006/relationships/hyperlink" Target="https://old.ukr-mobil.com/displej_iphone_7_s_tachskrinom_original_vosstanovlenyj_black_10000508" TargetMode="External"/><Relationship Id="rId_hyperlink_2470" Type="http://schemas.openxmlformats.org/officeDocument/2006/relationships/hyperlink" Target="https://old.ukr-mobil.com/displej_iphone_7_s_tachskrinom_original_vosstanovlenyj_white_10000509" TargetMode="External"/><Relationship Id="rId_hyperlink_2471" Type="http://schemas.openxmlformats.org/officeDocument/2006/relationships/hyperlink" Target="https://old.ukr-mobil.com/displej_iphone_7_s_tachskrinom_original_prc_black_6923" TargetMode="External"/><Relationship Id="rId_hyperlink_2472" Type="http://schemas.openxmlformats.org/officeDocument/2006/relationships/hyperlink" Target="https://old.ukr-mobil.com/displej_iphone_7_s_tachskrinom_original_prc_white_7875" TargetMode="External"/><Relationship Id="rId_hyperlink_2473" Type="http://schemas.openxmlformats.org/officeDocument/2006/relationships/hyperlink" Target="https://old.ukr-mobil.com/displej_iphone_8_plus_s_tachskrinom_high_copy_black_9529" TargetMode="External"/><Relationship Id="rId_hyperlink_2474" Type="http://schemas.openxmlformats.org/officeDocument/2006/relationships/hyperlink" Target="https://old.ukr-mobil.com/displej_iphone_8_plus_s_tachskrinom_high_copy_white_9530" TargetMode="External"/><Relationship Id="rId_hyperlink_2475" Type="http://schemas.openxmlformats.org/officeDocument/2006/relationships/hyperlink" Target="https://old.ukr-mobil.com/displej_iphone_8_plus_s_tachskrinom_original_vosstanovlenyj_black_10000516" TargetMode="External"/><Relationship Id="rId_hyperlink_2476" Type="http://schemas.openxmlformats.org/officeDocument/2006/relationships/hyperlink" Target="https://old.ukr-mobil.com/displej_iphone_8_plus_s_tachskrinom_original_vosstanovlenyj_white_10000517" TargetMode="External"/><Relationship Id="rId_hyperlink_2477" Type="http://schemas.openxmlformats.org/officeDocument/2006/relationships/hyperlink" Target="https://old.ukr-mobil.com/displej_iphone_8_plus_s_tachskrinom_original_prc_black_9622" TargetMode="External"/><Relationship Id="rId_hyperlink_2478" Type="http://schemas.openxmlformats.org/officeDocument/2006/relationships/hyperlink" Target="https://old.ukr-mobil.com/displej_iphone_8_plus_s_tachskrinom_original_prc_white_9623" TargetMode="External"/><Relationship Id="rId_hyperlink_2479" Type="http://schemas.openxmlformats.org/officeDocument/2006/relationships/hyperlink" Target="https://old.ukr-mobil.com/displej_iphone_8_s_tachskrinom_high_copy_black_9527" TargetMode="External"/><Relationship Id="rId_hyperlink_2480" Type="http://schemas.openxmlformats.org/officeDocument/2006/relationships/hyperlink" Target="https://old.ukr-mobil.com/displej_iphone_8_s_tachskrinom_high_copy_white_9528" TargetMode="External"/><Relationship Id="rId_hyperlink_2481" Type="http://schemas.openxmlformats.org/officeDocument/2006/relationships/hyperlink" Target="https://old.ukr-mobil.com/displej_iphone_8_s_tachskrinom_original_vosstanovlenyj_black_10000514" TargetMode="External"/><Relationship Id="rId_hyperlink_2482" Type="http://schemas.openxmlformats.org/officeDocument/2006/relationships/hyperlink" Target="https://old.ukr-mobil.com/displej_iphone_8_s_tachskrinom_original_vosstanovlenyj_white_10000515" TargetMode="External"/><Relationship Id="rId_hyperlink_2483" Type="http://schemas.openxmlformats.org/officeDocument/2006/relationships/hyperlink" Target="https://old.ukr-mobil.com/displej_iphone_8_s_tachskrinom_original_prc_black_9443" TargetMode="External"/><Relationship Id="rId_hyperlink_2484" Type="http://schemas.openxmlformats.org/officeDocument/2006/relationships/hyperlink" Target="https://old.ukr-mobil.com/displej_iphone_8_s_tachskrinom_original_prc_white_9444" TargetMode="External"/><Relationship Id="rId_hyperlink_2485" Type="http://schemas.openxmlformats.org/officeDocument/2006/relationships/hyperlink" Target="https://old.ukr-mobil.com/displej_apple_iphone_x_s_tachskrinom_gx_hard_oled_10003591" TargetMode="External"/><Relationship Id="rId_hyperlink_2486" Type="http://schemas.openxmlformats.org/officeDocument/2006/relationships/hyperlink" Target="https://old.ukr-mobil.com/displej_iphone_x_s_tachskrinom_high_copy_oled_hex_10000683" TargetMode="External"/><Relationship Id="rId_hyperlink_2487" Type="http://schemas.openxmlformats.org/officeDocument/2006/relationships/hyperlink" Target="https://old.ukr-mobil.com/displej_iphone_x_s_tachskrinom_high_copy_oled_gx_10300" TargetMode="External"/><Relationship Id="rId_hyperlink_2488" Type="http://schemas.openxmlformats.org/officeDocument/2006/relationships/hyperlink" Target="https://old.ukr-mobil.com/displej_iphone_x_s_tachskrinom_high_copy_incell_11629" TargetMode="External"/><Relationship Id="rId_hyperlink_2489" Type="http://schemas.openxmlformats.org/officeDocument/2006/relationships/hyperlink" Target="https://old.ukr-mobil.com/displej_apple_iphone_x_s_tachskrinom_original_vosstanovlenyj_10001408" TargetMode="External"/><Relationship Id="rId_hyperlink_2490" Type="http://schemas.openxmlformats.org/officeDocument/2006/relationships/hyperlink" Target="https://old.ukr-mobil.com/displej_iphone_x_s_tachskrinom_original_prc_9612" TargetMode="External"/><Relationship Id="rId_hyperlink_2491" Type="http://schemas.openxmlformats.org/officeDocument/2006/relationships/hyperlink" Target="https://old.ukr-mobil.com/displej_iphone_xr_s_tachskrinom_high_copy_black_10000366" TargetMode="External"/><Relationship Id="rId_hyperlink_2492" Type="http://schemas.openxmlformats.org/officeDocument/2006/relationships/hyperlink" Target="https://old.ukr-mobil.com/displej_apple_iphone_xr_s_tachskrinom_original_vosstanovlenyj_10001853" TargetMode="External"/><Relationship Id="rId_hyperlink_2493" Type="http://schemas.openxmlformats.org/officeDocument/2006/relationships/hyperlink" Target="https://old.ukr-mobil.com/displej_iphone_xr_s_tachskrinom_original_prc_black_11407" TargetMode="External"/><Relationship Id="rId_hyperlink_2494" Type="http://schemas.openxmlformats.org/officeDocument/2006/relationships/hyperlink" Target="https://old.ukr-mobil.com/displej_iphone_xs_max_s_tachskrinom_high_copy_oled_gx_10000726" TargetMode="External"/><Relationship Id="rId_hyperlink_2495" Type="http://schemas.openxmlformats.org/officeDocument/2006/relationships/hyperlink" Target="https://old.ukr-mobil.com/displej_apple_iphone_xs_max_s_tachskrinom_incell_10003594" TargetMode="External"/><Relationship Id="rId_hyperlink_2496" Type="http://schemas.openxmlformats.org/officeDocument/2006/relationships/hyperlink" Target="https://old.ukr-mobil.com/displej_apple_iphone_xs_max_s_tachskrinom_original_vosstanovlenyj_10001301" TargetMode="External"/><Relationship Id="rId_hyperlink_2497" Type="http://schemas.openxmlformats.org/officeDocument/2006/relationships/hyperlink" Target="https://old.ukr-mobil.com/displej_iphone_xs_max_s_tachskrinom_original_prc_11109" TargetMode="External"/><Relationship Id="rId_hyperlink_2498" Type="http://schemas.openxmlformats.org/officeDocument/2006/relationships/hyperlink" Target="https://old.ukr-mobil.com/displej_iphone_xs_s_tachskrinom_high_copy_oled_gx_11406" TargetMode="External"/><Relationship Id="rId_hyperlink_2499" Type="http://schemas.openxmlformats.org/officeDocument/2006/relationships/hyperlink" Target="https://old.ukr-mobil.com/displej_iphone_xs_s_tachskrinom_high_copy_incell_10000599" TargetMode="External"/><Relationship Id="rId_hyperlink_2500" Type="http://schemas.openxmlformats.org/officeDocument/2006/relationships/hyperlink" Target="https://old.ukr-mobil.com/displej_apple_iphone_xs_s_tachskrinom_oled_tianma_10001844" TargetMode="External"/><Relationship Id="rId_hyperlink_2501" Type="http://schemas.openxmlformats.org/officeDocument/2006/relationships/hyperlink" Target="https://old.ukr-mobil.com/displej_apple_iphone_xs_s_tachskrinom_original_vosstanovlenyj_10001409" TargetMode="External"/><Relationship Id="rId_hyperlink_2502" Type="http://schemas.openxmlformats.org/officeDocument/2006/relationships/hyperlink" Target="https://old.ukr-mobil.com/displej_iphone_xs_s_tachskrinom_original_prc_11131" TargetMode="External"/><Relationship Id="rId_hyperlink_2503" Type="http://schemas.openxmlformats.org/officeDocument/2006/relationships/hyperlink" Target="https://old.ukr-mobil.com/displej_asus_rog_phone_2_zs660kl_s_tachskrinom_original_prc_black_10000694" TargetMode="External"/><Relationship Id="rId_hyperlink_2504" Type="http://schemas.openxmlformats.org/officeDocument/2006/relationships/hyperlink" Target="https://old.ukr-mobil.com/displej_asus_rog_phone_5_zs673ks_s_tachskrinom_original_black_10002158" TargetMode="External"/><Relationship Id="rId_hyperlink_2505" Type="http://schemas.openxmlformats.org/officeDocument/2006/relationships/hyperlink" Target="https://old.ukr-mobil.com/displej_asus_rog_phone_5s_zs676ks_rog_phone_5s_pro_s_tachskrinom_original_black_10003562" TargetMode="External"/><Relationship Id="rId_hyperlink_2506" Type="http://schemas.openxmlformats.org/officeDocument/2006/relationships/hyperlink" Target="https://old.ukr-mobil.com/displej_asus_rog_phone_6_s_tachskrinom_original_10003684" TargetMode="External"/><Relationship Id="rId_hyperlink_2507" Type="http://schemas.openxmlformats.org/officeDocument/2006/relationships/hyperlink" Target="https://old.ukr-mobil.com/displej_asus_zenfone_2_laser_ze550kl_z00ld_s_tachskrinom_black_6218" TargetMode="External"/><Relationship Id="rId_hyperlink_2508" Type="http://schemas.openxmlformats.org/officeDocument/2006/relationships/hyperlink" Target="https://old.ukr-mobil.com/displej_asus_zenfone_4_max_pro_zc554kl_x00id_s_tachskrinom_high_copy_black_10489" TargetMode="External"/><Relationship Id="rId_hyperlink_2509" Type="http://schemas.openxmlformats.org/officeDocument/2006/relationships/hyperlink" Target="https://old.ukr-mobil.com/displej_asus_zenfone_4_5_a450_s_tachskrinom_6122" TargetMode="External"/><Relationship Id="rId_hyperlink_2510" Type="http://schemas.openxmlformats.org/officeDocument/2006/relationships/hyperlink" Target="https://old.ukr-mobil.com/displej_asus_zenfone_5_ze620kl_zs620kl_s_tachskrinom_black_11392" TargetMode="External"/><Relationship Id="rId_hyperlink_2511" Type="http://schemas.openxmlformats.org/officeDocument/2006/relationships/hyperlink" Target="https://old.ukr-mobil.com/displej_asus_zenfone_6_s_tachskrinom_black_5470" TargetMode="External"/><Relationship Id="rId_hyperlink_2512" Type="http://schemas.openxmlformats.org/officeDocument/2006/relationships/hyperlink" Target="https://old.ukr-mobil.com/index.php?route=product&amp;product_id=10005579" TargetMode="External"/><Relationship Id="rId_hyperlink_2513" Type="http://schemas.openxmlformats.org/officeDocument/2006/relationships/hyperlink" Target="https://old.ukr-mobil.com/displej_asus_zenfone_7_zs670ks_zenfone_7_pro_zs671ks_zenfone_8_flip_s_tachskrinom_original_prc_black_10002159" TargetMode="External"/><Relationship Id="rId_hyperlink_2514" Type="http://schemas.openxmlformats.org/officeDocument/2006/relationships/hyperlink" Target="https://old.ukr-mobil.com/displej_asus_zenfone_8_flip_zs672ks_s_tachskrinom_original_black_10003555" TargetMode="External"/><Relationship Id="rId_hyperlink_2515" Type="http://schemas.openxmlformats.org/officeDocument/2006/relationships/hyperlink" Target="https://old.ukr-mobil.com/displej_asus_zenfone_8_zs590ks_s_tachskrinom_original_black_10003561" TargetMode="External"/><Relationship Id="rId_hyperlink_2516" Type="http://schemas.openxmlformats.org/officeDocument/2006/relationships/hyperlink" Target="https://old.ukr-mobil.com/displej_asus_zenfone_live_l1_za550kl_g552kl_s_tachskrinom_high_copy_black_11956" TargetMode="External"/><Relationship Id="rId_hyperlink_2517" Type="http://schemas.openxmlformats.org/officeDocument/2006/relationships/hyperlink" Target="https://old.ukr-mobil.com/displej_asus_zenfone_lite_zb501kl_x00fd_s_tachskrinom_high_copy_black_10280" TargetMode="External"/><Relationship Id="rId_hyperlink_2518" Type="http://schemas.openxmlformats.org/officeDocument/2006/relationships/hyperlink" Target="https://old.ukr-mobil.com/displej_asus_zenfone_max_m2_zb633kl_s_tachskrinom_original_prc_black_11709" TargetMode="External"/><Relationship Id="rId_hyperlink_2519" Type="http://schemas.openxmlformats.org/officeDocument/2006/relationships/hyperlink" Target="https://old.ukr-mobil.com/displej_asus_zenfone_max_plus_m1_zb570tl_s_tachskrinom_original_prc_black_9952" TargetMode="External"/><Relationship Id="rId_hyperlink_2520" Type="http://schemas.openxmlformats.org/officeDocument/2006/relationships/hyperlink" Target="https://old.ukr-mobil.com/displej_asus_zenfone_max_plus_m1_zb570tl_s_tachskrinom_s_ramkoj_original_prc_black_10002167" TargetMode="External"/><Relationship Id="rId_hyperlink_2521" Type="http://schemas.openxmlformats.org/officeDocument/2006/relationships/hyperlink" Target="https://old.ukr-mobil.com/displej_asus_zenfone_max_pro_m2_zb631kl_s_tachskrinom_black_11391" TargetMode="External"/><Relationship Id="rId_hyperlink_2522" Type="http://schemas.openxmlformats.org/officeDocument/2006/relationships/hyperlink" Target="https://old.ukr-mobil.com/displej_asus_zenfone_max_pro_zb601kl_zenfone_max_pro_m1_zb602kl_x00td_s_tachskrinom_original_prc_black_10256" TargetMode="External"/><Relationship Id="rId_hyperlink_2523" Type="http://schemas.openxmlformats.org/officeDocument/2006/relationships/hyperlink" Target="https://old.ukr-mobil.com/displej_blackview_a100_s_tachskrinom_original_black_10003484" TargetMode="External"/><Relationship Id="rId_hyperlink_2524" Type="http://schemas.openxmlformats.org/officeDocument/2006/relationships/hyperlink" Target="https://old.ukr-mobil.com/displej_blackview_a55_a55_pro_s_tachskrinom_original_black_10003488" TargetMode="External"/><Relationship Id="rId_hyperlink_2525" Type="http://schemas.openxmlformats.org/officeDocument/2006/relationships/hyperlink" Target="https://old.ukr-mobil.com/displej_blackview_a60_a60_pro_s_tachskrinom_original_black_10003487" TargetMode="External"/><Relationship Id="rId_hyperlink_2526" Type="http://schemas.openxmlformats.org/officeDocument/2006/relationships/hyperlink" Target="https://old.ukr-mobil.com/displej_blackview_a70_s_tachskrinom_original_black_10003490" TargetMode="External"/><Relationship Id="rId_hyperlink_2527" Type="http://schemas.openxmlformats.org/officeDocument/2006/relationships/hyperlink" Target="https://old.ukr-mobil.com/displej_blackview_a80_s_tachskrinom_original_black_10003526" TargetMode="External"/><Relationship Id="rId_hyperlink_2528" Type="http://schemas.openxmlformats.org/officeDocument/2006/relationships/hyperlink" Target="https://old.ukr-mobil.com/displej_blackview_a85_s_tachskrinom_original_black_10003500" TargetMode="External"/><Relationship Id="rId_hyperlink_2529" Type="http://schemas.openxmlformats.org/officeDocument/2006/relationships/hyperlink" Target="https://old.ukr-mobil.com/displej_blackview_a90_s_tachskrinom_original_black_10003676" TargetMode="External"/><Relationship Id="rId_hyperlink_2530" Type="http://schemas.openxmlformats.org/officeDocument/2006/relationships/hyperlink" Target="https://old.ukr-mobil.com/displej_blackview_a95_s_tachskrinom_original_black_10003489" TargetMode="External"/><Relationship Id="rId_hyperlink_2531" Type="http://schemas.openxmlformats.org/officeDocument/2006/relationships/hyperlink" Target="https://old.ukr-mobil.com/displej_blackview_bv5000_s_tachskrinom_black_10187" TargetMode="External"/><Relationship Id="rId_hyperlink_2532" Type="http://schemas.openxmlformats.org/officeDocument/2006/relationships/hyperlink" Target="https://old.ukr-mobil.com/displej_blackview_bv5500_bv5500_pro_s_tachskrinom_original_prc_black_10000765" TargetMode="External"/><Relationship Id="rId_hyperlink_2533" Type="http://schemas.openxmlformats.org/officeDocument/2006/relationships/hyperlink" Target="https://old.ukr-mobil.com/displej_blackview_bv5800_s_tachskrinom_original_black_10003528" TargetMode="External"/><Relationship Id="rId_hyperlink_2534" Type="http://schemas.openxmlformats.org/officeDocument/2006/relationships/hyperlink" Target="https://old.ukr-mobil.com/displej_blackview_bv6100_s_tachskrinom_original_prc_black_10000769" TargetMode="External"/><Relationship Id="rId_hyperlink_2535" Type="http://schemas.openxmlformats.org/officeDocument/2006/relationships/hyperlink" Target="https://old.ukr-mobil.com/displej_blackview_bv6300_bv6300_pro_s_tachskrinom_original_black_10003531" TargetMode="External"/><Relationship Id="rId_hyperlink_2536" Type="http://schemas.openxmlformats.org/officeDocument/2006/relationships/hyperlink" Target="https://old.ukr-mobil.com/displej_blackview_bv6800_bv6800_pro_s_tachskrinom_original_black_10003529" TargetMode="External"/><Relationship Id="rId_hyperlink_2537" Type="http://schemas.openxmlformats.org/officeDocument/2006/relationships/hyperlink" Target="https://old.ukr-mobil.com/displej_blackview_bv7000_bv7000_pro_s_tachskrinom_s_ramkoyu_original_black_10003530" TargetMode="External"/><Relationship Id="rId_hyperlink_2538" Type="http://schemas.openxmlformats.org/officeDocument/2006/relationships/hyperlink" Target="https://old.ukr-mobil.com/displej_blackview_bv7100_s_tachskrinom_original_prc_black_10003499" TargetMode="External"/><Relationship Id="rId_hyperlink_2539" Type="http://schemas.openxmlformats.org/officeDocument/2006/relationships/hyperlink" Target="https://old.ukr-mobil.com/displej_blackview_bv8000_s_tachskrinom_black_10145" TargetMode="External"/><Relationship Id="rId_hyperlink_2540" Type="http://schemas.openxmlformats.org/officeDocument/2006/relationships/hyperlink" Target="https://old.ukr-mobil.com/displej_blackview_bv8800_bl8800_bl8800_pro_s_tachskrinom_original_black_10003502" TargetMode="External"/><Relationship Id="rId_hyperlink_2541" Type="http://schemas.openxmlformats.org/officeDocument/2006/relationships/hyperlink" Target="https://old.ukr-mobil.com/displej_blackview_bv9100_s_tachskrinom_original_black_10003501" TargetMode="External"/><Relationship Id="rId_hyperlink_2542" Type="http://schemas.openxmlformats.org/officeDocument/2006/relationships/hyperlink" Target="https://old.ukr-mobil.com/displej_blackview_bv9200_s_tachskrinom_original_black_10003527" TargetMode="External"/><Relationship Id="rId_hyperlink_2543" Type="http://schemas.openxmlformats.org/officeDocument/2006/relationships/hyperlink" Target="https://old.ukr-mobil.com/index.php?route=product&amp;product_id=10006137" TargetMode="External"/><Relationship Id="rId_hyperlink_2544" Type="http://schemas.openxmlformats.org/officeDocument/2006/relationships/hyperlink" Target="https://old.ukr-mobil.com/displej_blackview_bv9800_bv9800_pro_s_tachskrinom_original_black_10003485" TargetMode="External"/><Relationship Id="rId_hyperlink_2545" Type="http://schemas.openxmlformats.org/officeDocument/2006/relationships/hyperlink" Target="https://old.ukr-mobil.com/displej_blackview_p2_s_tachskrinom_gray_10331" TargetMode="External"/><Relationship Id="rId_hyperlink_2546" Type="http://schemas.openxmlformats.org/officeDocument/2006/relationships/hyperlink" Target="https://old.ukr-mobil.com/displej_cubot_king_kong_5_pro_s_tachskrinom_original_prc_black_10004448" TargetMode="External"/><Relationship Id="rId_hyperlink_2547" Type="http://schemas.openxmlformats.org/officeDocument/2006/relationships/hyperlink" Target="https://old.ukr-mobil.com/displej_cubot_king_kong_7_s_tachskrinom_original_prc_black_10004449" TargetMode="External"/><Relationship Id="rId_hyperlink_2548" Type="http://schemas.openxmlformats.org/officeDocument/2006/relationships/hyperlink" Target="https://old.ukr-mobil.com/displej_cubot_max_2_s_tachskrinom_original_prc_black_10000767" TargetMode="External"/><Relationship Id="rId_hyperlink_2549" Type="http://schemas.openxmlformats.org/officeDocument/2006/relationships/hyperlink" Target="https://old.ukr-mobil.com/displej_doogee_n20_y9_plus_s_tachskrinom_original_black_10003541" TargetMode="External"/><Relationship Id="rId_hyperlink_2550" Type="http://schemas.openxmlformats.org/officeDocument/2006/relationships/hyperlink" Target="https://old.ukr-mobil.com/displej_doogee_s58_pro_s_tachskrinom_original_black_10003533" TargetMode="External"/><Relationship Id="rId_hyperlink_2551" Type="http://schemas.openxmlformats.org/officeDocument/2006/relationships/hyperlink" Target="https://old.ukr-mobil.com/displej_doogee_s95_pro_s_tachskrinom_original_black_10003544" TargetMode="External"/><Relationship Id="rId_hyperlink_2552" Type="http://schemas.openxmlformats.org/officeDocument/2006/relationships/hyperlink" Target="https://old.ukr-mobil.com/displej_doogee_s96_s96_pro_s96_gt_s_tachskrinom_original_black_10003539" TargetMode="External"/><Relationship Id="rId_hyperlink_2553" Type="http://schemas.openxmlformats.org/officeDocument/2006/relationships/hyperlink" Target="https://old.ukr-mobil.com/displej_doogee_s97_s97_pro_s_tachskrinom_original_black_10003540" TargetMode="External"/><Relationship Id="rId_hyperlink_2554" Type="http://schemas.openxmlformats.org/officeDocument/2006/relationships/hyperlink" Target="https://old.ukr-mobil.com/displej_doogee_s98_s98_pro_s_tachskrinom_original_black_10003536" TargetMode="External"/><Relationship Id="rId_hyperlink_2555" Type="http://schemas.openxmlformats.org/officeDocument/2006/relationships/hyperlink" Target="https://old.ukr-mobil.com/displej_doogee_x95_s_tachskrinom_original_prc_black_10000768" TargetMode="External"/><Relationship Id="rId_hyperlink_2556" Type="http://schemas.openxmlformats.org/officeDocument/2006/relationships/hyperlink" Target="https://old.ukr-mobil.com/displej_doogee_x96_x96_pro_s_tachskrinom_original_black_10003534" TargetMode="External"/><Relationship Id="rId_hyperlink_2557" Type="http://schemas.openxmlformats.org/officeDocument/2006/relationships/hyperlink" Target="https://old.ukr-mobil.com/displej_google_pixel_3a_s_tachskrinom_high_copy_black_10000692" TargetMode="External"/><Relationship Id="rId_hyperlink_2558" Type="http://schemas.openxmlformats.org/officeDocument/2006/relationships/hyperlink" Target="https://old.ukr-mobil.com/displej_google_pixel_4_xl_s_tachskrinom_original_black_10000536" TargetMode="External"/><Relationship Id="rId_hyperlink_2559" Type="http://schemas.openxmlformats.org/officeDocument/2006/relationships/hyperlink" Target="https://old.ukr-mobil.com/displej_google_pixel_4a_5g_s_tachskrinom_original_black_10002483" TargetMode="External"/><Relationship Id="rId_hyperlink_2560" Type="http://schemas.openxmlformats.org/officeDocument/2006/relationships/hyperlink" Target="https://old.ukr-mobil.com/displej_google_pixel_5a_s_tachskrinom_original_black_10002447" TargetMode="External"/><Relationship Id="rId_hyperlink_2561" Type="http://schemas.openxmlformats.org/officeDocument/2006/relationships/hyperlink" Target="https://old.ukr-mobil.com/displej_google_pixel_6_pro_s_tachskrinom_s_ramkoyu_oled_black_10003567" TargetMode="External"/><Relationship Id="rId_hyperlink_2562" Type="http://schemas.openxmlformats.org/officeDocument/2006/relationships/hyperlink" Target="https://old.ukr-mobil.com/displej_google_pixel_6_s_tachskrinom_original_black_10002925" TargetMode="External"/><Relationship Id="rId_hyperlink_2563" Type="http://schemas.openxmlformats.org/officeDocument/2006/relationships/hyperlink" Target="https://old.ukr-mobil.com/displej_google_pixel_6a_s_tachskrinom_original_black_10003155" TargetMode="External"/><Relationship Id="rId_hyperlink_2564" Type="http://schemas.openxmlformats.org/officeDocument/2006/relationships/hyperlink" Target="https://old.ukr-mobil.com/displej_google_pixel_7_pro_s_tachskrinom_s_ramkoyu_original_samsung_10004534" TargetMode="External"/><Relationship Id="rId_hyperlink_2565" Type="http://schemas.openxmlformats.org/officeDocument/2006/relationships/hyperlink" Target="https://old.ukr-mobil.com/displej_google_pixel_7_pro_s_tachskrinom_s_ramkoyu_oled_10004535" TargetMode="External"/><Relationship Id="rId_hyperlink_2566" Type="http://schemas.openxmlformats.org/officeDocument/2006/relationships/hyperlink" Target="https://old.ukr-mobil.com/displej_google_pixel_7_s_tachskrinom_original_black_10003156" TargetMode="External"/><Relationship Id="rId_hyperlink_2567" Type="http://schemas.openxmlformats.org/officeDocument/2006/relationships/hyperlink" Target="https://old.ukr-mobil.com/displej_huawei_honor_10_lite_hry-lx1_honor_10i_hry-lx1t_s_tachskrinom_high_copy_black_10001388" TargetMode="External"/><Relationship Id="rId_hyperlink_2568" Type="http://schemas.openxmlformats.org/officeDocument/2006/relationships/hyperlink" Target="https://old.ukr-mobil.com/displej_huawei_honor_10_lite_hry-lx1_honor_10i_hry-lx1t_s_tachskrinom_original_prc_black_11749" TargetMode="External"/><Relationship Id="rId_hyperlink_2569" Type="http://schemas.openxmlformats.org/officeDocument/2006/relationships/hyperlink" Target="https://old.ukr-mobil.com/displej_huawei_honor_10_lite_hry-lx1_honor_10i_hry-lx1t_s_tachskrinom_s_ramkoj_high_copy_black_10001527" TargetMode="External"/><Relationship Id="rId_hyperlink_2570" Type="http://schemas.openxmlformats.org/officeDocument/2006/relationships/hyperlink" Target="https://old.ukr-mobil.com/displej_huawei_honor_20_yal-l21_honor_20_pro_nova_5t_s_tachskrinom_high_copy_black_10002944" TargetMode="External"/><Relationship Id="rId_hyperlink_2571" Type="http://schemas.openxmlformats.org/officeDocument/2006/relationships/hyperlink" Target="https://old.ukr-mobil.com/displej_huawei_honor_7a_pro_aum-l29_s_tachskrinom_black_10936" TargetMode="External"/><Relationship Id="rId_hyperlink_2572" Type="http://schemas.openxmlformats.org/officeDocument/2006/relationships/hyperlink" Target="https://old.ukr-mobil.com/displej_huawei_honor_7x_bnd-l21_s_tachskrinom_black_9791" TargetMode="External"/><Relationship Id="rId_hyperlink_2573" Type="http://schemas.openxmlformats.org/officeDocument/2006/relationships/hyperlink" Target="https://old.ukr-mobil.com/displej_huawei_honor_7x_bnd-l21_s_tachskrinom_blue_9792" TargetMode="External"/><Relationship Id="rId_hyperlink_2574" Type="http://schemas.openxmlformats.org/officeDocument/2006/relationships/hyperlink" Target="https://old.ukr-mobil.com/displej_huawei_honor_7x_bnd-l21_s_tachskrinom_gold_10374" TargetMode="External"/><Relationship Id="rId_hyperlink_2575" Type="http://schemas.openxmlformats.org/officeDocument/2006/relationships/hyperlink" Target="https://old.ukr-mobil.com/displej_huawei_honor_7x_bnd-l21_s_tachskrinom_white_9793" TargetMode="External"/><Relationship Id="rId_hyperlink_2576" Type="http://schemas.openxmlformats.org/officeDocument/2006/relationships/hyperlink" Target="https://old.ukr-mobil.com/displej_huawei_honor_8x_s_tachskrinom_original_prc_black_11201" TargetMode="External"/><Relationship Id="rId_hyperlink_2577" Type="http://schemas.openxmlformats.org/officeDocument/2006/relationships/hyperlink" Target="https://old.ukr-mobil.com/displej_huawei_honor_9_lite_s_tachskrinom_high_copy_black_10044" TargetMode="External"/><Relationship Id="rId_hyperlink_2578" Type="http://schemas.openxmlformats.org/officeDocument/2006/relationships/hyperlink" Target="https://old.ukr-mobil.com/displej_huawei_honor_9_lite_s_tachskrinom_high_copy_gold_10050" TargetMode="External"/><Relationship Id="rId_hyperlink_2579" Type="http://schemas.openxmlformats.org/officeDocument/2006/relationships/hyperlink" Target="https://old.ukr-mobil.com/displej_huawei_honor_9_lite_s_tachskrinom_high_copy_white_10049" TargetMode="External"/><Relationship Id="rId_hyperlink_2580" Type="http://schemas.openxmlformats.org/officeDocument/2006/relationships/hyperlink" Target="https://old.ukr-mobil.com/displej_huawei_mate_10_lite_rne-l01_rne-l21_s_tachskrinom_high_copy_black_9788" TargetMode="External"/><Relationship Id="rId_hyperlink_2581" Type="http://schemas.openxmlformats.org/officeDocument/2006/relationships/hyperlink" Target="https://old.ukr-mobil.com/index.php?route=product&amp;product_id=10006052" TargetMode="External"/><Relationship Id="rId_hyperlink_2582" Type="http://schemas.openxmlformats.org/officeDocument/2006/relationships/hyperlink" Target="https://old.ukr-mobil.com/displej_huawei_mate_20_lite_s_tachskrinom_original_prc_black_11851" TargetMode="External"/><Relationship Id="rId_hyperlink_2583" Type="http://schemas.openxmlformats.org/officeDocument/2006/relationships/hyperlink" Target="https://old.ukr-mobil.com/displej_huawei_mate_20_pro_s_tachskrinom_black_10000401" TargetMode="External"/><Relationship Id="rId_hyperlink_2584" Type="http://schemas.openxmlformats.org/officeDocument/2006/relationships/hyperlink" Target="https://old.ukr-mobil.com/displej_huawei_mate_30_lite_nova_5t_pro_s_tachskrinom_black_10000404" TargetMode="External"/><Relationship Id="rId_hyperlink_2585" Type="http://schemas.openxmlformats.org/officeDocument/2006/relationships/hyperlink" Target="https://old.ukr-mobil.com/displej_huawei_nova_2_plus_2017_s_tachskrinom_black_10424" TargetMode="External"/><Relationship Id="rId_hyperlink_2586" Type="http://schemas.openxmlformats.org/officeDocument/2006/relationships/hyperlink" Target="https://old.ukr-mobil.com/displej_huawei_nova_2s_s_tachskrinom_black_10426" TargetMode="External"/><Relationship Id="rId_hyperlink_2587" Type="http://schemas.openxmlformats.org/officeDocument/2006/relationships/hyperlink" Target="https://old.ukr-mobil.com/displej_huawei_nova_8i_nen-lx1_nen-l22_honor_50_lite_honor_x20_ntn-l22_s_tachskrinom_original_prc_10002314" TargetMode="External"/><Relationship Id="rId_hyperlink_2588" Type="http://schemas.openxmlformats.org/officeDocument/2006/relationships/hyperlink" Target="https://old.ukr-mobil.com/displej_huawei_nova_9_honor_50_s_tachskrinom_original_10002325" TargetMode="External"/><Relationship Id="rId_hyperlink_2589" Type="http://schemas.openxmlformats.org/officeDocument/2006/relationships/hyperlink" Target="https://old.ukr-mobil.com/displej_huawei_nova_y70_nova_y70_plus_s_tachskrinom_original_prc_black_10004281" TargetMode="External"/><Relationship Id="rId_hyperlink_2590" Type="http://schemas.openxmlformats.org/officeDocument/2006/relationships/hyperlink" Target="https://old.ukr-mobil.com/displej_huawei_p_smart_fig-lx1_fig-l21_enjoy_7s_s_tachskrinom_high_copy_gold_10199" TargetMode="External"/><Relationship Id="rId_hyperlink_2591" Type="http://schemas.openxmlformats.org/officeDocument/2006/relationships/hyperlink" Target="https://old.ukr-mobil.com/displej_huawei_p_smart_2019_s_tachskrinom_original_prc_black_11286" TargetMode="External"/><Relationship Id="rId_hyperlink_2592" Type="http://schemas.openxmlformats.org/officeDocument/2006/relationships/hyperlink" Target="https://old.ukr-mobil.com/displej_huawei_p_smart_2019_pot-lx3_pot-lx1_pot-al00_s_tachskrinom_s_ramkoj_high_copy_black_10001528" TargetMode="External"/><Relationship Id="rId_hyperlink_2593" Type="http://schemas.openxmlformats.org/officeDocument/2006/relationships/hyperlink" Target="https://old.ukr-mobil.com/displej_huawei_p_smart_2021_y7a_honor_10x_lite_s_tachskrinom_original_prc_black_10001486" TargetMode="External"/><Relationship Id="rId_hyperlink_2594" Type="http://schemas.openxmlformats.org/officeDocument/2006/relationships/hyperlink" Target="https://old.ukr-mobil.com/displej_huawei_p_smart_s_2020_y8p_aqm-lx1_honor_play_4t_pro_enjoy_10s_s_tachskrinom_original_black_10001834" TargetMode="External"/><Relationship Id="rId_hyperlink_2595" Type="http://schemas.openxmlformats.org/officeDocument/2006/relationships/hyperlink" Target="https://old.ukr-mobil.com/displej_huawei_y8p_s_tachskrinom_original_prc_black_10001026" TargetMode="External"/><Relationship Id="rId_hyperlink_2596" Type="http://schemas.openxmlformats.org/officeDocument/2006/relationships/hyperlink" Target="https://old.ukr-mobil.com/displej_huawei_p_smart_z_y9_prime_2019_y9s_honor_9x_s_tachskrinom_original_prc_black_12228" TargetMode="External"/><Relationship Id="rId_hyperlink_2597" Type="http://schemas.openxmlformats.org/officeDocument/2006/relationships/hyperlink" Target="https://old.ukr-mobil.com/displej_huawei_p_smart_z_y9_prime_2019_y9s_honor_9x_s_tachskrinom_s_ramkoj_original_prc_black_10001103" TargetMode="External"/><Relationship Id="rId_hyperlink_2598" Type="http://schemas.openxmlformats.org/officeDocument/2006/relationships/hyperlink" Target="https://old.ukr-mobil.com/displej_huawei_p20_lite_nova_3e_ane-lx1_s_tachskrinom_original_prc_black_10261" TargetMode="External"/><Relationship Id="rId_hyperlink_2599" Type="http://schemas.openxmlformats.org/officeDocument/2006/relationships/hyperlink" Target="https://old.ukr-mobil.com/displej_huawei_p20_lite_nova_3e_ane-lx1_s_tachskrinom_original_prc_white_11328" TargetMode="External"/><Relationship Id="rId_hyperlink_2600" Type="http://schemas.openxmlformats.org/officeDocument/2006/relationships/hyperlink" Target="https://old.ukr-mobil.com/index.php?route=product&amp;product_id=10006055" TargetMode="External"/><Relationship Id="rId_hyperlink_2601" Type="http://schemas.openxmlformats.org/officeDocument/2006/relationships/hyperlink" Target="https://old.ukr-mobil.com/displej_huawei_p30_s_tachskrinom_oled_black_10001083" TargetMode="External"/><Relationship Id="rId_hyperlink_2602" Type="http://schemas.openxmlformats.org/officeDocument/2006/relationships/hyperlink" Target="https://old.ukr-mobil.com/displej_huawei_nova_4e_p30_lite_s_tachskrinom_original_prc_black_11958" TargetMode="External"/><Relationship Id="rId_hyperlink_2603" Type="http://schemas.openxmlformats.org/officeDocument/2006/relationships/hyperlink" Target="https://old.ukr-mobil.com/displej_huawei_p30_pro_vog-l09_vog-l29_s_tachskrinom_oled_black_10002329" TargetMode="External"/><Relationship Id="rId_hyperlink_2604" Type="http://schemas.openxmlformats.org/officeDocument/2006/relationships/hyperlink" Target="https://old.ukr-mobil.com/displej_huawei_p40_lite_jny-lx1_nova_5i_glk-lx1_nova_7i_jny-lx2_nova_6_se_s_tachskrinom_high_copy_black_10002945" TargetMode="External"/><Relationship Id="rId_hyperlink_2605" Type="http://schemas.openxmlformats.org/officeDocument/2006/relationships/hyperlink" Target="https://old.ukr-mobil.com/displej_huawei_p40_lite_nova_6_se_s_tachskrinom_original_black_10000648" TargetMode="External"/><Relationship Id="rId_hyperlink_2606" Type="http://schemas.openxmlformats.org/officeDocument/2006/relationships/hyperlink" Target="https://old.ukr-mobil.com/displej_huawei_p40_lite_e_y7p_2020_s_tachskrinom_original_prc_black_10000756" TargetMode="External"/><Relationship Id="rId_hyperlink_2607" Type="http://schemas.openxmlformats.org/officeDocument/2006/relationships/hyperlink" Target="https://old.ukr-mobil.com/displej_huawei_y5_2018_y5_prime_2018_y5p_2020_honor_7a_honor_7s_honor_7_play_s_tachskrinom_high_copy_black_10250" TargetMode="External"/><Relationship Id="rId_hyperlink_2608" Type="http://schemas.openxmlformats.org/officeDocument/2006/relationships/hyperlink" Target="https://old.ukr-mobil.com/displej_huawei_y5_2018_y5_prime_2018_y5p_2020_honor_7a_honor_7s_honor_7_play_s_tachskrinom_high_copy_gold_10371" TargetMode="External"/><Relationship Id="rId_hyperlink_2609" Type="http://schemas.openxmlformats.org/officeDocument/2006/relationships/hyperlink" Target="https://old.ukr-mobil.com/displej_huawei_y5_2018_y5_prime_2018_y5p_2020_honor_7a_honor_7s_honor_7_play_s_tachskrinom_high_copy_white_10372" TargetMode="External"/><Relationship Id="rId_hyperlink_2610" Type="http://schemas.openxmlformats.org/officeDocument/2006/relationships/hyperlink" Target="https://old.ukr-mobil.com/displej_huawei_y5_2019_y5_prime_2019_honor_8s_amn-lx1_lx2_lx3_lx9_kse-lx9_ksa-lx9_s_tachskrinom_original_prc_black_11797" TargetMode="External"/><Relationship Id="rId_hyperlink_2611" Type="http://schemas.openxmlformats.org/officeDocument/2006/relationships/hyperlink" Target="https://old.ukr-mobil.com/displej_huawei_y5p_2020_dra-lx9_honor_9s_dua-lx9_s_tachskrinom_original_prc_black_10001228" TargetMode="External"/><Relationship Id="rId_hyperlink_2612" Type="http://schemas.openxmlformats.org/officeDocument/2006/relationships/hyperlink" Target="https://old.ukr-mobil.com/displej_huawei_y6_2018_atu-l21_y6_prime_2018_honor_7a_pro_honor_7c_s_tachskrinom_original_prc_black_10328" TargetMode="External"/><Relationship Id="rId_hyperlink_2613" Type="http://schemas.openxmlformats.org/officeDocument/2006/relationships/hyperlink" Target="https://old.ukr-mobil.com/displej_huawei_y6_2018_atu-l21_y6_prime_2018_honor_7a_pro_honor_7c_s_tachskrinom_original_prc_gold_10940" TargetMode="External"/><Relationship Id="rId_hyperlink_2614" Type="http://schemas.openxmlformats.org/officeDocument/2006/relationships/hyperlink" Target="https://old.ukr-mobil.com/displej_huawei_y6_2019_y6_prime_2019_y6s_s_tachskrinom_original_prc_black_11798" TargetMode="External"/><Relationship Id="rId_hyperlink_2615" Type="http://schemas.openxmlformats.org/officeDocument/2006/relationships/hyperlink" Target="https://old.ukr-mobil.com/displej_huawei_y6_pro_tit-u02_honor_4c_pro_honor_play_5x_enjoy_5_s_tachskrinom_high_copy_white_7611" TargetMode="External"/><Relationship Id="rId_hyperlink_2616" Type="http://schemas.openxmlformats.org/officeDocument/2006/relationships/hyperlink" Target="https://old.ukr-mobil.com/displej_huawei_y6p_2020_honor_9a_s_tachskrinom_original_prc_black_10001012" TargetMode="External"/><Relationship Id="rId_hyperlink_2617" Type="http://schemas.openxmlformats.org/officeDocument/2006/relationships/hyperlink" Target="https://old.ukr-mobil.com/displej_huawei_y7_2017_trt-lx1_trt-l21_y7_prime_2017_nova_lite_plus_enjoy_7_plus_s_tachskrinom_high_copy_white_9604" TargetMode="External"/><Relationship Id="rId_hyperlink_2618" Type="http://schemas.openxmlformats.org/officeDocument/2006/relationships/hyperlink" Target="https://old.ukr-mobil.com/displej_huawei_y7_prime_2018_ldn-lx1_honor_7c_pro_lnd-l29_nova_2_lite_enjoy_8_s_tachskrinom_high_copy_black_10366" TargetMode="External"/><Relationship Id="rId_hyperlink_2619" Type="http://schemas.openxmlformats.org/officeDocument/2006/relationships/hyperlink" Target="https://old.ukr-mobil.com/displej_huawei_y7_prime_2018_ldn-lx1_honor_7c_pro_lnd-l29_nova_2_lite_enjoy_8_s_tachskrinom_high_copy_white_10367" TargetMode="External"/><Relationship Id="rId_hyperlink_2620" Type="http://schemas.openxmlformats.org/officeDocument/2006/relationships/hyperlink" Target="https://old.ukr-mobil.com/displej_huawei_y7_2019_y7_prime_2019_y7_pro_2019_s_tachskrinom_original_prc_black_11960" TargetMode="External"/><Relationship Id="rId_hyperlink_2621" Type="http://schemas.openxmlformats.org/officeDocument/2006/relationships/hyperlink" Target="https://old.ukr-mobil.com/displej_huawei_y9_2018_fla-lx1_fla-lx3_enjoy_8_plus_s_tachskrinom_black_10418" TargetMode="External"/><Relationship Id="rId_hyperlink_2622" Type="http://schemas.openxmlformats.org/officeDocument/2006/relationships/hyperlink" Target="https://old.ukr-mobil.com/displej_huawei_y9_2018_fla-lx1_fla-lx3_enjoy_8_plus_s_tachskrinom_gold_10420" TargetMode="External"/><Relationship Id="rId_hyperlink_2623" Type="http://schemas.openxmlformats.org/officeDocument/2006/relationships/hyperlink" Target="https://old.ukr-mobil.com/displej_huawei_y9_2018_fla-lx1_fla-lx3_enjoy_8_plus_s_tachskrinom_white_10421" TargetMode="External"/><Relationship Id="rId_hyperlink_2624" Type="http://schemas.openxmlformats.org/officeDocument/2006/relationships/hyperlink" Target="https://old.ukr-mobil.com/displej_huawei_y9_2019_jkm-l23_jkm-lx3_enjoy_9_plus_s_tachskrinom_black_10000538" TargetMode="External"/><Relationship Id="rId_hyperlink_2625" Type="http://schemas.openxmlformats.org/officeDocument/2006/relationships/hyperlink" Target="https://old.ukr-mobil.com/index.php?route=product&amp;product_id=10004695" TargetMode="External"/><Relationship Id="rId_hyperlink_2626" Type="http://schemas.openxmlformats.org/officeDocument/2006/relationships/hyperlink" Target="https://old.ukr-mobil.com/index.php?route=product&amp;product_id=10004696" TargetMode="External"/><Relationship Id="rId_hyperlink_2627" Type="http://schemas.openxmlformats.org/officeDocument/2006/relationships/hyperlink" Target="https://old.ukr-mobil.com/index.php?route=product&amp;product_id=10004689" TargetMode="External"/><Relationship Id="rId_hyperlink_2628" Type="http://schemas.openxmlformats.org/officeDocument/2006/relationships/hyperlink" Target="https://old.ukr-mobil.com/index.php?route=product&amp;product_id=10004691" TargetMode="External"/><Relationship Id="rId_hyperlink_2629" Type="http://schemas.openxmlformats.org/officeDocument/2006/relationships/hyperlink" Target="https://old.ukr-mobil.com/index.php?route=product&amp;product_id=10004694" TargetMode="External"/><Relationship Id="rId_hyperlink_2630" Type="http://schemas.openxmlformats.org/officeDocument/2006/relationships/hyperlink" Target="https://old.ukr-mobil.com/index.php?route=product&amp;product_id=10004692" TargetMode="External"/><Relationship Id="rId_hyperlink_2631" Type="http://schemas.openxmlformats.org/officeDocument/2006/relationships/hyperlink" Target="https://old.ukr-mobil.com/index.php?route=product&amp;product_id=10004687" TargetMode="External"/><Relationship Id="rId_hyperlink_2632" Type="http://schemas.openxmlformats.org/officeDocument/2006/relationships/hyperlink" Target="https://old.ukr-mobil.com/index.php?route=product&amp;product_id=10004688" TargetMode="External"/><Relationship Id="rId_hyperlink_2633" Type="http://schemas.openxmlformats.org/officeDocument/2006/relationships/hyperlink" Target="https://old.ukr-mobil.com/index.php?route=product&amp;product_id=10004697" TargetMode="External"/><Relationship Id="rId_hyperlink_2634" Type="http://schemas.openxmlformats.org/officeDocument/2006/relationships/hyperlink" Target="https://old.ukr-mobil.com/index.php?route=product&amp;product_id=10004699" TargetMode="External"/><Relationship Id="rId_hyperlink_2635" Type="http://schemas.openxmlformats.org/officeDocument/2006/relationships/hyperlink" Target="https://old.ukr-mobil.com/index.php?route=product&amp;product_id=10004690" TargetMode="External"/><Relationship Id="rId_hyperlink_2636" Type="http://schemas.openxmlformats.org/officeDocument/2006/relationships/hyperlink" Target="https://old.ukr-mobil.com/index.php?route=product&amp;product_id=10004693" TargetMode="External"/><Relationship Id="rId_hyperlink_2637" Type="http://schemas.openxmlformats.org/officeDocument/2006/relationships/hyperlink" Target="https://old.ukr-mobil.com/index.php?route=product&amp;product_id=10004698" TargetMode="External"/><Relationship Id="rId_hyperlink_2638" Type="http://schemas.openxmlformats.org/officeDocument/2006/relationships/hyperlink" Target="https://old.ukr-mobil.com/index.php?route=product&amp;product_id=10004700" TargetMode="External"/><Relationship Id="rId_hyperlink_2639" Type="http://schemas.openxmlformats.org/officeDocument/2006/relationships/hyperlink" Target="https://old.ukr-mobil.com/index.php?route=product&amp;product_id=10004737" TargetMode="External"/><Relationship Id="rId_hyperlink_2640" Type="http://schemas.openxmlformats.org/officeDocument/2006/relationships/hyperlink" Target="https://old.ukr-mobil.com/displej_lg_g8_thinq_g820_s_tachskrinom_original_prc_black_10001500" TargetMode="External"/><Relationship Id="rId_hyperlink_2641" Type="http://schemas.openxmlformats.org/officeDocument/2006/relationships/hyperlink" Target="https://old.ukr-mobil.com/displej_lg_g8x_thinq_g850_s_tachskrinom_original_prc_black_10001407" TargetMode="External"/><Relationship Id="rId_hyperlink_2642" Type="http://schemas.openxmlformats.org/officeDocument/2006/relationships/hyperlink" Target="https://old.ukr-mobil.com/index.php?route=product&amp;product_id=10004736" TargetMode="External"/><Relationship Id="rId_hyperlink_2643" Type="http://schemas.openxmlformats.org/officeDocument/2006/relationships/hyperlink" Target="https://old.ukr-mobil.com/displej_lg_h502f_magna_y90_s_tachskrinom_black_5893" TargetMode="External"/><Relationship Id="rId_hyperlink_2644" Type="http://schemas.openxmlformats.org/officeDocument/2006/relationships/hyperlink" Target="https://old.ukr-mobil.com/displej_lg_k20_2019_s_tachskrinom_original_prc_black_10000592" TargetMode="External"/><Relationship Id="rId_hyperlink_2645" Type="http://schemas.openxmlformats.org/officeDocument/2006/relationships/hyperlink" Target="https://old.ukr-mobil.com/displej_lg_k30_2019_s_tachskrinom_original_prc_black_10000593" TargetMode="External"/><Relationship Id="rId_hyperlink_2646" Type="http://schemas.openxmlformats.org/officeDocument/2006/relationships/hyperlink" Target="https://old.ukr-mobil.com/displej_lg_q610_q7_plus_s_tachskrinom_original_prc_black_11404" TargetMode="External"/><Relationship Id="rId_hyperlink_2647" Type="http://schemas.openxmlformats.org/officeDocument/2006/relationships/hyperlink" Target="https://old.ukr-mobil.com/displej_lg_q710_q_stylus_s_tachskrinom_black_11403" TargetMode="External"/><Relationship Id="rId_hyperlink_2648" Type="http://schemas.openxmlformats.org/officeDocument/2006/relationships/hyperlink" Target="https://old.ukr-mobil.com/displej_lg_v30_h930ds_s_tachskrinom_original_black_9997" TargetMode="External"/><Relationship Id="rId_hyperlink_2649" Type="http://schemas.openxmlformats.org/officeDocument/2006/relationships/hyperlink" Target="https://old.ukr-mobil.com/displej_lg_v50_thinq_v500n_s_tachskrinom_original_prc_black_10001501" TargetMode="External"/><Relationship Id="rId_hyperlink_2650" Type="http://schemas.openxmlformats.org/officeDocument/2006/relationships/hyperlink" Target="https://old.ukr-mobil.com/displej_lg_v60_thinq_v600am_s_tachskrinom_original_black_10002074" TargetMode="External"/><Relationship Id="rId_hyperlink_2651" Type="http://schemas.openxmlformats.org/officeDocument/2006/relationships/hyperlink" Target="https://old.ukr-mobil.com/displej_meizu_m3_meizu_m3_mini_s_tachskrinom_black_7203" TargetMode="External"/><Relationship Id="rId_hyperlink_2652" Type="http://schemas.openxmlformats.org/officeDocument/2006/relationships/hyperlink" Target="https://old.ukr-mobil.com/displej_meizu_m3_meizu_m3_mini_s_tachskrinom_white_7204" TargetMode="External"/><Relationship Id="rId_hyperlink_2653" Type="http://schemas.openxmlformats.org/officeDocument/2006/relationships/hyperlink" Target="https://old.ukr-mobil.com/displej_meizu_m6s_s_tachskrinom_black_10180" TargetMode="External"/><Relationship Id="rId_hyperlink_2654" Type="http://schemas.openxmlformats.org/officeDocument/2006/relationships/hyperlink" Target="https://old.ukr-mobil.com/displej_meizu_m8_note_note_8_s_tachskrinom_high_copy_black_11884" TargetMode="External"/><Relationship Id="rId_hyperlink_2655" Type="http://schemas.openxmlformats.org/officeDocument/2006/relationships/hyperlink" Target="https://old.ukr-mobil.com/displej_meizu_m8_m8_lite_v8_v8_pro_s_tachskrinom_high_copy_black_11886" TargetMode="External"/><Relationship Id="rId_hyperlink_2656" Type="http://schemas.openxmlformats.org/officeDocument/2006/relationships/hyperlink" Target="https://old.ukr-mobil.com/displej_meizu_pro_7_s_tachskrinom_original_prc_black_10343" TargetMode="External"/><Relationship Id="rId_hyperlink_2657" Type="http://schemas.openxmlformats.org/officeDocument/2006/relationships/hyperlink" Target="https://old.ukr-mobil.com/displej_motorola_droid_mini_xt1030_s_tachskrinom_5303" TargetMode="External"/><Relationship Id="rId_hyperlink_2658" Type="http://schemas.openxmlformats.org/officeDocument/2006/relationships/hyperlink" Target="https://old.ukr-mobil.com/index.php?route=product&amp;product_id=10004682" TargetMode="External"/><Relationship Id="rId_hyperlink_2659" Type="http://schemas.openxmlformats.org/officeDocument/2006/relationships/hyperlink" Target="https://old.ukr-mobil.com/displej_motorola_xt2155-1_xt2155-3_xt2155_moto_e20_s_tachskrinom_original_prc_black_10002428" TargetMode="External"/><Relationship Id="rId_hyperlink_2660" Type="http://schemas.openxmlformats.org/officeDocument/2006/relationships/hyperlink" Target="https://old.ukr-mobil.com/displej_motorola_e20_xt2155_s_tachskrinom_s_ramkoyu_original_prc_black_10004537" TargetMode="External"/><Relationship Id="rId_hyperlink_2661" Type="http://schemas.openxmlformats.org/officeDocument/2006/relationships/hyperlink" Target="https://old.ukr-mobil.com/displej_motorola_e30_xt2159_e40_xt2158-6_s_tachskrinom_original_prc_black_10003261" TargetMode="External"/><Relationship Id="rId_hyperlink_2662" Type="http://schemas.openxmlformats.org/officeDocument/2006/relationships/hyperlink" Target="https://old.ukr-mobil.com/displej_motorola_xt2053_moto_e6s_s_tachskrinom_original_prc_black_10001928" TargetMode="External"/><Relationship Id="rId_hyperlink_2663" Type="http://schemas.openxmlformats.org/officeDocument/2006/relationships/hyperlink" Target="https://old.ukr-mobil.com/displej_motorola_xt2095_moto_e7_moto_e7_power_moto_e7i_power_s_tachskrinom_original_prc_black_10001930" TargetMode="External"/><Relationship Id="rId_hyperlink_2664" Type="http://schemas.openxmlformats.org/officeDocument/2006/relationships/hyperlink" Target="https://old.ukr-mobil.com/displej_motorola_e7_xt2095_s_tachskrinom_s_ramkoj_original_prc_black_10002564" TargetMode="External"/><Relationship Id="rId_hyperlink_2665" Type="http://schemas.openxmlformats.org/officeDocument/2006/relationships/hyperlink" Target="https://old.ukr-mobil.com/displej_motorola_xt2081_moto_e7_plus_xt2083_moto_g9_play_s_tachskrinom_original_prc_black_10001931" TargetMode="External"/><Relationship Id="rId_hyperlink_2666" Type="http://schemas.openxmlformats.org/officeDocument/2006/relationships/hyperlink" Target="https://old.ukr-mobil.com/displej_motorola_e7_plus_xt2081_g9_play_xt2083_s_tachskrinom_s_ramkoyu_original_prc_black_10004514" TargetMode="External"/><Relationship Id="rId_hyperlink_2667" Type="http://schemas.openxmlformats.org/officeDocument/2006/relationships/hyperlink" Target="https://old.ukr-mobil.com/displej_motorola_e7_power_xt2097_e7i_power_s_tachskrinom_s_ramkoj_original_prc_black_10002563" TargetMode="External"/><Relationship Id="rId_hyperlink_2668" Type="http://schemas.openxmlformats.org/officeDocument/2006/relationships/hyperlink" Target="https://old.ukr-mobil.com/displej_motorola_edge_20_lite_xt2139-1_s_tachskrinom_original_prc_black_10003260" TargetMode="External"/><Relationship Id="rId_hyperlink_2669" Type="http://schemas.openxmlformats.org/officeDocument/2006/relationships/hyperlink" Target="https://old.ukr-mobil.com/displej_motorola_edge_20_edge_20_pro_s_tachskrinom_original_prc_black_10002437" TargetMode="External"/><Relationship Id="rId_hyperlink_2670" Type="http://schemas.openxmlformats.org/officeDocument/2006/relationships/hyperlink" Target="https://old.ukr-mobil.com/index.php?route=product&amp;product_id=10004681" TargetMode="External"/><Relationship Id="rId_hyperlink_2671" Type="http://schemas.openxmlformats.org/officeDocument/2006/relationships/hyperlink" Target="https://old.ukr-mobil.com/index.php?route=product&amp;product_id=10004674" TargetMode="External"/><Relationship Id="rId_hyperlink_2672" Type="http://schemas.openxmlformats.org/officeDocument/2006/relationships/hyperlink" Target="https://old.ukr-mobil.com/displej_motorola_xt2127_moto_g10_moto_g10_power_moto_g30_lenovo_k13_pro_s_tachskrinom_original_prc_black_10001927" TargetMode="External"/><Relationship Id="rId_hyperlink_2673" Type="http://schemas.openxmlformats.org/officeDocument/2006/relationships/hyperlink" Target="https://old.ukr-mobil.com/displej_motorola_g10_xt2127_g10_power_g30_lenovo_k13_pro_s_tachskrinom_s_ramkoyu_original_prc_black_10004512" TargetMode="External"/><Relationship Id="rId_hyperlink_2674" Type="http://schemas.openxmlformats.org/officeDocument/2006/relationships/hyperlink" Target="https://old.ukr-mobil.com/displej_motorola_g13_xt2331_g23_xt2333_s_tachskrinom_original_prc_black_10004314" TargetMode="External"/><Relationship Id="rId_hyperlink_2675" Type="http://schemas.openxmlformats.org/officeDocument/2006/relationships/hyperlink" Target="https://old.ukr-mobil.com/displej_motorola_g22_xt2231_s_tachskrinom_original_prc_black_10002951" TargetMode="External"/><Relationship Id="rId_hyperlink_2676" Type="http://schemas.openxmlformats.org/officeDocument/2006/relationships/hyperlink" Target="https://old.ukr-mobil.com/displej_motorola_g22_xt2231_s_tachskrinom_s_ramkoj_original_prc_black_10004316" TargetMode="External"/><Relationship Id="rId_hyperlink_2677" Type="http://schemas.openxmlformats.org/officeDocument/2006/relationships/hyperlink" Target="https://old.ukr-mobil.com/displej_motorola_g31_xt2173-3_g41_xt2167-2_g71_s_tachskrinom_oled_black_10002448" TargetMode="External"/><Relationship Id="rId_hyperlink_2678" Type="http://schemas.openxmlformats.org/officeDocument/2006/relationships/hyperlink" Target="https://old.ukr-mobil.com/index.php?route=product&amp;product_id=10004679" TargetMode="External"/><Relationship Id="rId_hyperlink_2679" Type="http://schemas.openxmlformats.org/officeDocument/2006/relationships/hyperlink" Target="https://old.ukr-mobil.com/displej_motorola_g60_xt2135-2_xt2135_g40_fusion_s_tachskrinom_high_quality_black_10003891" TargetMode="External"/><Relationship Id="rId_hyperlink_2680" Type="http://schemas.openxmlformats.org/officeDocument/2006/relationships/hyperlink" Target="https://old.ukr-mobil.com/displej_motorola_g60_xt2135-2_xt2135_g40_fusion_s_tachskrinom_original_prc_black_10002430" TargetMode="External"/><Relationship Id="rId_hyperlink_2681" Type="http://schemas.openxmlformats.org/officeDocument/2006/relationships/hyperlink" Target="https://old.ukr-mobil.com/index.php?route=product&amp;product_id=10004678" TargetMode="External"/><Relationship Id="rId_hyperlink_2682" Type="http://schemas.openxmlformats.org/officeDocument/2006/relationships/hyperlink" Target="https://old.ukr-mobil.com/displej_motorola_xt2045_moto_g8_s_tachskrinom_original_prc_black_10001047" TargetMode="External"/><Relationship Id="rId_hyperlink_2683" Type="http://schemas.openxmlformats.org/officeDocument/2006/relationships/hyperlink" Target="https://old.ukr-mobil.com/displej_motorola_xt2015_moto_g8_play_s_tachskrinom_original_prc_black_10001048" TargetMode="External"/><Relationship Id="rId_hyperlink_2684" Type="http://schemas.openxmlformats.org/officeDocument/2006/relationships/hyperlink" Target="https://old.ukr-mobil.com/displej_motorola_xt2019_moto_g8_plus_s_tachskrinom_original_prc_black_10000552" TargetMode="External"/><Relationship Id="rId_hyperlink_2685" Type="http://schemas.openxmlformats.org/officeDocument/2006/relationships/hyperlink" Target="https://old.ukr-mobil.com/displej_motorola_g8_power_xt2041-1_xt2041-3_s_tachskrinom_original_prc_black_10002555" TargetMode="External"/><Relationship Id="rId_hyperlink_2686" Type="http://schemas.openxmlformats.org/officeDocument/2006/relationships/hyperlink" Target="https://old.ukr-mobil.com/index.php?route=product&amp;product_id=10004675" TargetMode="External"/><Relationship Id="rId_hyperlink_2687" Type="http://schemas.openxmlformats.org/officeDocument/2006/relationships/hyperlink" Target="https://old.ukr-mobil.com/displej_motorola_g9_power_xt2091-3_xt2091-4_s_tachskrinom_original_prc_black_10002556" TargetMode="External"/><Relationship Id="rId_hyperlink_2688" Type="http://schemas.openxmlformats.org/officeDocument/2006/relationships/hyperlink" Target="https://old.ukr-mobil.com/displej_motorola_g9_power_xt2091-3_xt2091-4_s_tachskrinom_s_ramkoyu_original_prc_black_10004513" TargetMode="External"/><Relationship Id="rId_hyperlink_2689" Type="http://schemas.openxmlformats.org/officeDocument/2006/relationships/hyperlink" Target="https://old.ukr-mobil.com/displej_motorola_moto_e4_xt1760_xt1762_xt1766_s_tachskrinom_white_11091" TargetMode="External"/><Relationship Id="rId_hyperlink_2690" Type="http://schemas.openxmlformats.org/officeDocument/2006/relationships/hyperlink" Target="https://old.ukr-mobil.com/displej_motorola_moto_g200_s_tachskrinom_original_prc_black_10002436" TargetMode="External"/><Relationship Id="rId_hyperlink_2691" Type="http://schemas.openxmlformats.org/officeDocument/2006/relationships/hyperlink" Target="https://old.ukr-mobil.com/displej_motorola_moto_x_xt1052_xt1058_xt1060_s_ramkoj_i_tachskrinom_white_6889" TargetMode="External"/><Relationship Id="rId_hyperlink_2692" Type="http://schemas.openxmlformats.org/officeDocument/2006/relationships/hyperlink" Target="https://old.ukr-mobil.com/displej_motorola_moto_x_xt1052_xt1058_xt1060_s_ramkoj_i_tachskrinom_black_5515" TargetMode="External"/><Relationship Id="rId_hyperlink_2693" Type="http://schemas.openxmlformats.org/officeDocument/2006/relationships/hyperlink" Target="https://old.ukr-mobil.com/displej_motorola_xt2013-2_moto_one_action_s_tachskrinom_original_prc_black_10000551" TargetMode="External"/><Relationship Id="rId_hyperlink_2694" Type="http://schemas.openxmlformats.org/officeDocument/2006/relationships/hyperlink" Target="https://old.ukr-mobil.com/index.php?route=product&amp;product_id=10006060" TargetMode="External"/><Relationship Id="rId_hyperlink_2695" Type="http://schemas.openxmlformats.org/officeDocument/2006/relationships/hyperlink" Target="https://old.ukr-mobil.com/displej_motorola_xt2010_moto_one_zoom_s_tachskrinom_original_prc_black_10001552" TargetMode="External"/><Relationship Id="rId_hyperlink_2696" Type="http://schemas.openxmlformats.org/officeDocument/2006/relationships/hyperlink" Target="https://old.ukr-mobil.com/displej_motorola_xt1021_moto_e_xt1022_moto_e_xt1025_moto_e_s_tachskrinom_black_10785" TargetMode="External"/><Relationship Id="rId_hyperlink_2697" Type="http://schemas.openxmlformats.org/officeDocument/2006/relationships/hyperlink" Target="https://old.ukr-mobil.com/displej_motorola_xt1062_moto_g2_xt1063_moto_g2_xt1064_moto_g2_xt1068_moto_g2_s_ramkoj_i_tachskrinom_black_7912" TargetMode="External"/><Relationship Id="rId_hyperlink_2698" Type="http://schemas.openxmlformats.org/officeDocument/2006/relationships/hyperlink" Target="https://old.ukr-mobil.com/displej_motorola_xt1100_nexus_6_google_s_tachskrinom_black_8240" TargetMode="External"/><Relationship Id="rId_hyperlink_2699" Type="http://schemas.openxmlformats.org/officeDocument/2006/relationships/hyperlink" Target="https://old.ukr-mobil.com/displej_motorola_xt1254_droid_turbo_s_tachskrinom_ramkoj_black_10201" TargetMode="External"/><Relationship Id="rId_hyperlink_2700" Type="http://schemas.openxmlformats.org/officeDocument/2006/relationships/hyperlink" Target="https://old.ukr-mobil.com/displej_motorola_xt1505_moto_e2_xt1511_moto_e2_xt1526_moto_e2_xt1527_moto_e2_xt1528_moto_e2_s_tachskrinom_black_5673" TargetMode="External"/><Relationship Id="rId_hyperlink_2701" Type="http://schemas.openxmlformats.org/officeDocument/2006/relationships/hyperlink" Target="https://old.ukr-mobil.com/displej_motorola_xt1505_moto_e2_xt1511_moto_e2_xt1526_moto_e2_xt1527_moto_e2_xt1528_moto_e2_s_tachskrinom_white_5674" TargetMode="External"/><Relationship Id="rId_hyperlink_2702" Type="http://schemas.openxmlformats.org/officeDocument/2006/relationships/hyperlink" Target="https://old.ukr-mobil.com/displej_motorola_xt1600_xt1601_xt1602_xt1603_xt1607_xt1609_moto_g4_play_s_tachskrinom_original_black_6887" TargetMode="External"/><Relationship Id="rId_hyperlink_2703" Type="http://schemas.openxmlformats.org/officeDocument/2006/relationships/hyperlink" Target="https://old.ukr-mobil.com/displej_motorola_xt1620_xt1621_xt1622_xt1624_xt1625_xt1626_moto_g4_s_tachskrinom_original_black_10203" TargetMode="External"/><Relationship Id="rId_hyperlink_2704" Type="http://schemas.openxmlformats.org/officeDocument/2006/relationships/hyperlink" Target="https://old.ukr-mobil.com/displej_motorola_xt1635-02_moto_z_play_s_tachskrinom_black_9946" TargetMode="External"/><Relationship Id="rId_hyperlink_2705" Type="http://schemas.openxmlformats.org/officeDocument/2006/relationships/hyperlink" Target="https://old.ukr-mobil.com/displej_motorola_xt1641_moto_g4_plus_xt1642_moto_g4_plus_xt1644_moto_g4_plus_s_tachskrinom_black_9339" TargetMode="External"/><Relationship Id="rId_hyperlink_2706" Type="http://schemas.openxmlformats.org/officeDocument/2006/relationships/hyperlink" Target="https://old.ukr-mobil.com/displej_motorola_xt1641_moto_g4_plus_xt1642_moto_g4_plus_xt1644_moto_g4_plus_s_tachskrinom_white_10184" TargetMode="External"/><Relationship Id="rId_hyperlink_2707" Type="http://schemas.openxmlformats.org/officeDocument/2006/relationships/hyperlink" Target="https://old.ukr-mobil.com/displej_motorola_xt1650_moto_z_s_tachskrinom_black_11962" TargetMode="External"/><Relationship Id="rId_hyperlink_2708" Type="http://schemas.openxmlformats.org/officeDocument/2006/relationships/hyperlink" Target="https://old.ukr-mobil.com/displej_motorola_xt1670_xt1672_xt1675_xt1676_moto_g5_s_tachskrinom_high_copy_black_9340" TargetMode="External"/><Relationship Id="rId_hyperlink_2709" Type="http://schemas.openxmlformats.org/officeDocument/2006/relationships/hyperlink" Target="https://old.ukr-mobil.com/displej_motorola_xt1684_xt1685_xt1687_moto_g5_plus_s_tachskrinom_original_prc_black_9341" TargetMode="External"/><Relationship Id="rId_hyperlink_2710" Type="http://schemas.openxmlformats.org/officeDocument/2006/relationships/hyperlink" Target="https://old.ukr-mobil.com/displej_motorola_xt1700_moto_e3_s_tachskrinom_black_11717" TargetMode="External"/><Relationship Id="rId_hyperlink_2711" Type="http://schemas.openxmlformats.org/officeDocument/2006/relationships/hyperlink" Target="https://old.ukr-mobil.com/displej_motorola_xt1710_moto_z2_play_s_tachskrinom_black_10786" TargetMode="External"/><Relationship Id="rId_hyperlink_2712" Type="http://schemas.openxmlformats.org/officeDocument/2006/relationships/hyperlink" Target="https://old.ukr-mobil.com/displej_motorola_xt1723_moto_c_plus_s_tachskrinom_black_10784" TargetMode="External"/><Relationship Id="rId_hyperlink_2713" Type="http://schemas.openxmlformats.org/officeDocument/2006/relationships/hyperlink" Target="https://old.ukr-mobil.com/displej_motorola_xt1750_moto_c_s_tachskrinom_black_10783" TargetMode="External"/><Relationship Id="rId_hyperlink_2714" Type="http://schemas.openxmlformats.org/officeDocument/2006/relationships/hyperlink" Target="https://old.ukr-mobil.com/displej_motorola_xt1770_xt1771_xt1775_moto_e4_plus_s_tachskrinom_black_11290" TargetMode="External"/><Relationship Id="rId_hyperlink_2715" Type="http://schemas.openxmlformats.org/officeDocument/2006/relationships/hyperlink" Target="https://old.ukr-mobil.com/displej_motorola_xt1789_moto_z2_force_s_tachskrinom_black_12313" TargetMode="External"/><Relationship Id="rId_hyperlink_2716" Type="http://schemas.openxmlformats.org/officeDocument/2006/relationships/hyperlink" Target="https://old.ukr-mobil.com/displej_motorola_xt1792_xt1793_xt1794_moto_g5s_s_tachskrinom_original_prc_black_10787" TargetMode="External"/><Relationship Id="rId_hyperlink_2717" Type="http://schemas.openxmlformats.org/officeDocument/2006/relationships/hyperlink" Target="https://old.ukr-mobil.com/displej_motorola_xt1900_moto_x4_s_tachskrinom_black_11714" TargetMode="External"/><Relationship Id="rId_hyperlink_2718" Type="http://schemas.openxmlformats.org/officeDocument/2006/relationships/hyperlink" Target="https://old.ukr-mobil.com/displej_motorola_xt1900_moto_x4_s_tachskrinom_blue_11715" TargetMode="External"/><Relationship Id="rId_hyperlink_2719" Type="http://schemas.openxmlformats.org/officeDocument/2006/relationships/hyperlink" Target="https://old.ukr-mobil.com/displej_motorola_xt1922_moto_g6_play_s_tachskrinom_black_11718" TargetMode="External"/><Relationship Id="rId_hyperlink_2720" Type="http://schemas.openxmlformats.org/officeDocument/2006/relationships/hyperlink" Target="https://old.ukr-mobil.com/displej_motorola_xt1924_moto_e5_plus_s_tachskrinom_high_copy_black_11861" TargetMode="External"/><Relationship Id="rId_hyperlink_2721" Type="http://schemas.openxmlformats.org/officeDocument/2006/relationships/hyperlink" Target="https://old.ukr-mobil.com/displej_motorola_xt1925_moto_g6_s_tachskrinom_original_prc_black_11719" TargetMode="External"/><Relationship Id="rId_hyperlink_2722" Type="http://schemas.openxmlformats.org/officeDocument/2006/relationships/hyperlink" Target="https://old.ukr-mobil.com/displej_motorola_xt1941-4_moto_one_s_tachskrinom_original_prc_black_11866" TargetMode="External"/><Relationship Id="rId_hyperlink_2723" Type="http://schemas.openxmlformats.org/officeDocument/2006/relationships/hyperlink" Target="https://old.ukr-mobil.com/displej_motorola_xt1944_moto_e5_s_tachskrinom_black_11716" TargetMode="External"/><Relationship Id="rId_hyperlink_2724" Type="http://schemas.openxmlformats.org/officeDocument/2006/relationships/hyperlink" Target="https://old.ukr-mobil.com/displej_motorola_xt1962_moto_g7_xt1965_moto_g7_plus_s_tachskrinom_black_11862" TargetMode="External"/><Relationship Id="rId_hyperlink_2725" Type="http://schemas.openxmlformats.org/officeDocument/2006/relationships/hyperlink" Target="https://old.ukr-mobil.com/displej_motorola_xt1980-4_moto_z4_s_tachskrinom_original_prc_black_10001553" TargetMode="External"/><Relationship Id="rId_hyperlink_2726" Type="http://schemas.openxmlformats.org/officeDocument/2006/relationships/hyperlink" Target="https://old.ukr-mobil.com/displej_motorola_xt2027_one_hyper_s_tachskrinom_original_prc_black_10002219" TargetMode="External"/><Relationship Id="rId_hyperlink_2727" Type="http://schemas.openxmlformats.org/officeDocument/2006/relationships/hyperlink" Target="https://old.ukr-mobil.com/displej_motorola_xt2043_moto_g_pro_xt2043-4_moto_g_stylus_s_tachskrinom_original_prc_black_10001939" TargetMode="External"/><Relationship Id="rId_hyperlink_2728" Type="http://schemas.openxmlformats.org/officeDocument/2006/relationships/hyperlink" Target="https://old.ukr-mobil.com/displej_motorola_xt2055_moto_g8_power_lite_s_tachskrinom_original_prc_black_10001046" TargetMode="External"/><Relationship Id="rId_hyperlink_2729" Type="http://schemas.openxmlformats.org/officeDocument/2006/relationships/hyperlink" Target="https://old.ukr-mobil.com/displej_motorola_xt2067_one_fusion_plus_s_tachskrinom_original_prc_black_10002218" TargetMode="External"/><Relationship Id="rId_hyperlink_2730" Type="http://schemas.openxmlformats.org/officeDocument/2006/relationships/hyperlink" Target="https://old.ukr-mobil.com/displej_motorola_xt2087_moto_g9_plus_s_tachskrinom_original_prc_black_10001929" TargetMode="External"/><Relationship Id="rId_hyperlink_2731" Type="http://schemas.openxmlformats.org/officeDocument/2006/relationships/hyperlink" Target="https://old.ukr-mobil.com/displej_motorola_xt2125-4_xt2125_moto_g100_s_tachskrinom_original_prc_black_10002429" TargetMode="External"/><Relationship Id="rId_hyperlink_2732" Type="http://schemas.openxmlformats.org/officeDocument/2006/relationships/hyperlink" Target="https://old.ukr-mobil.com/displej_motorola_xt2128_moto_g20_s_tachskrinom_original_prc_black_10001938" TargetMode="External"/><Relationship Id="rId_hyperlink_2733" Type="http://schemas.openxmlformats.org/officeDocument/2006/relationships/hyperlink" Target="https://old.ukr-mobil.com/displej_nokia_1_dual_sim_s_tachskrinom_black_11024" TargetMode="External"/><Relationship Id="rId_hyperlink_2734" Type="http://schemas.openxmlformats.org/officeDocument/2006/relationships/hyperlink" Target="https://old.ukr-mobil.com/displej_nokia_1_3_s_tachskrinom_original_prc_black_10001024" TargetMode="External"/><Relationship Id="rId_hyperlink_2735" Type="http://schemas.openxmlformats.org/officeDocument/2006/relationships/hyperlink" Target="https://old.ukr-mobil.com/displej_nokia_1_4_ta-1322_ta-1323_ta-1329_s_tachskrinom_original_prc_black_10001932" TargetMode="External"/><Relationship Id="rId_hyperlink_2736" Type="http://schemas.openxmlformats.org/officeDocument/2006/relationships/hyperlink" Target="https://old.ukr-mobil.com/displej_nokia_2_1_s_tachskrinom_black_11028" TargetMode="External"/><Relationship Id="rId_hyperlink_2737" Type="http://schemas.openxmlformats.org/officeDocument/2006/relationships/hyperlink" Target="https://old.ukr-mobil.com/displej_nokia_2_3_s_tachskrinom_original_prc_black_10001025" TargetMode="External"/><Relationship Id="rId_hyperlink_2738" Type="http://schemas.openxmlformats.org/officeDocument/2006/relationships/hyperlink" Target="https://old.ukr-mobil.com/displej_nokia_2_4_ta-1277_ta-1275_ta-1274_ta-1270_s_tachskrinom_original_prc_black_10001933" TargetMode="External"/><Relationship Id="rId_hyperlink_2739" Type="http://schemas.openxmlformats.org/officeDocument/2006/relationships/hyperlink" Target="https://old.ukr-mobil.com/displej_nokia_3_1_plus_s_tachskrinom_original_prc_black_10000736" TargetMode="External"/><Relationship Id="rId_hyperlink_2740" Type="http://schemas.openxmlformats.org/officeDocument/2006/relationships/hyperlink" Target="https://old.ukr-mobil.com/displej_nokia_3_2_dual_sim_s_tachskrinom_high_copy_black_10000415" TargetMode="External"/><Relationship Id="rId_hyperlink_2741" Type="http://schemas.openxmlformats.org/officeDocument/2006/relationships/hyperlink" Target="https://old.ukr-mobil.com/displej_nokia_3_2_dual_sim_s_tachskrinom_original_prc_black_10000732" TargetMode="External"/><Relationship Id="rId_hyperlink_2742" Type="http://schemas.openxmlformats.org/officeDocument/2006/relationships/hyperlink" Target="https://old.ukr-mobil.com/displej_nokia_3_4_s_tachskrinom_original_black_10001275" TargetMode="External"/><Relationship Id="rId_hyperlink_2743" Type="http://schemas.openxmlformats.org/officeDocument/2006/relationships/hyperlink" Target="https://old.ukr-mobil.com/displej_nokia_4_2_dual_sim_s_tachskrinom_high_copy_black_10000414" TargetMode="External"/><Relationship Id="rId_hyperlink_2744" Type="http://schemas.openxmlformats.org/officeDocument/2006/relationships/hyperlink" Target="https://old.ukr-mobil.com/displej_nokia_5_1_s_tachskrinom_black_11206" TargetMode="External"/><Relationship Id="rId_hyperlink_2745" Type="http://schemas.openxmlformats.org/officeDocument/2006/relationships/hyperlink" Target="https://old.ukr-mobil.com/displej_nokia_6_1_plus_x6_s_tachskrinom_black_11026" TargetMode="External"/><Relationship Id="rId_hyperlink_2746" Type="http://schemas.openxmlformats.org/officeDocument/2006/relationships/hyperlink" Target="https://old.ukr-mobil.com/displej_nokia_6_1_s_tachskrinom_black_11207" TargetMode="External"/><Relationship Id="rId_hyperlink_2747" Type="http://schemas.openxmlformats.org/officeDocument/2006/relationships/hyperlink" Target="https://old.ukr-mobil.com/displej_nokia_6_2_s_tachskrinom_original_black_10001023" TargetMode="External"/><Relationship Id="rId_hyperlink_2748" Type="http://schemas.openxmlformats.org/officeDocument/2006/relationships/hyperlink" Target="https://old.ukr-mobil.com/displej_nokia_7_dual_sim_s_tachskrinom_black_9988" TargetMode="External"/><Relationship Id="rId_hyperlink_2749" Type="http://schemas.openxmlformats.org/officeDocument/2006/relationships/hyperlink" Target="https://old.ukr-mobil.com/displej_nokia_7_1_s_tachskrinom_original_prc_black_11394" TargetMode="External"/><Relationship Id="rId_hyperlink_2750" Type="http://schemas.openxmlformats.org/officeDocument/2006/relationships/hyperlink" Target="https://old.ukr-mobil.com/displej_nokia_700_lumia_c_tachskrinom_white_3324" TargetMode="External"/><Relationship Id="rId_hyperlink_2751" Type="http://schemas.openxmlformats.org/officeDocument/2006/relationships/hyperlink" Target="https://old.ukr-mobil.com/displej_nokia_8_s_tachskrinom_black_11027" TargetMode="External"/><Relationship Id="rId_hyperlink_2752" Type="http://schemas.openxmlformats.org/officeDocument/2006/relationships/hyperlink" Target="https://old.ukr-mobil.com/displej_nokia_8_1_dual_sim_s_tachskrinom_black_11859" TargetMode="External"/><Relationship Id="rId_hyperlink_2753" Type="http://schemas.openxmlformats.org/officeDocument/2006/relationships/hyperlink" Target="https://old.ukr-mobil.com/displej_nokia_c1_plus_s_tachskrinom_high_quality_black_10003299" TargetMode="External"/><Relationship Id="rId_hyperlink_2754" Type="http://schemas.openxmlformats.org/officeDocument/2006/relationships/hyperlink" Target="https://old.ukr-mobil.com/displej_nokia_c10_ta-1342_c20_ta-1348_ta-1356_c20_dual_sim_ta-1339_ta-1352_c21_ta-1356_ta-1352_s_tachskrinom_high_quality_black_10003298" TargetMode="External"/><Relationship Id="rId_hyperlink_2755" Type="http://schemas.openxmlformats.org/officeDocument/2006/relationships/hyperlink" Target="https://old.ukr-mobil.com/displej_nokia_c21_plus_ta-1424_s_tachskrinom_high_quality_black_10003300" TargetMode="External"/><Relationship Id="rId_hyperlink_2756" Type="http://schemas.openxmlformats.org/officeDocument/2006/relationships/hyperlink" Target="https://old.ukr-mobil.com/displej_nokia_c3-00_e5-00_x2-01_asha_200_asha_201_asha_302_1731" TargetMode="External"/><Relationship Id="rId_hyperlink_2757" Type="http://schemas.openxmlformats.org/officeDocument/2006/relationships/hyperlink" Target="https://old.ukr-mobil.com/displej_nokia_c30_ta-1357_ta-1377_ta-1369_ta-1360_ta-1359_s_tachskrinom_high_copy_black_10002946" TargetMode="External"/><Relationship Id="rId_hyperlink_2758" Type="http://schemas.openxmlformats.org/officeDocument/2006/relationships/hyperlink" Target="https://old.ukr-mobil.com/displej_nokia_g10_g20_ta-1334_ta-1351_ta-1346_ta-1338_s_tachskrinom_original_prc_black_10002097" TargetMode="External"/><Relationship Id="rId_hyperlink_2759" Type="http://schemas.openxmlformats.org/officeDocument/2006/relationships/hyperlink" Target="https://old.ukr-mobil.com/displej_nokia_g10_ta-1334_ta-1351_g20_ta-1336_ta-1334_s_tachskrinom_s_ramkoj_original_prc_black_10002535" TargetMode="External"/><Relationship Id="rId_hyperlink_2760" Type="http://schemas.openxmlformats.org/officeDocument/2006/relationships/hyperlink" Target="https://old.ukr-mobil.com/displej_nokia_g11_g21_ta-1401_ta-1405_ta-1404_ta-1412_ta-1418_s_tachskrinom_high_quality_black_10003301" TargetMode="External"/><Relationship Id="rId_hyperlink_2761" Type="http://schemas.openxmlformats.org/officeDocument/2006/relationships/hyperlink" Target="https://old.ukr-mobil.com/displej_nokia_g50_ta-1358_ta-1390_ta-1370_ta-1367_ta-1361_s_tachskrinom_high_quality_black_10003297" TargetMode="External"/><Relationship Id="rId_hyperlink_2762" Type="http://schemas.openxmlformats.org/officeDocument/2006/relationships/hyperlink" Target="https://old.ukr-mobil.com/displej_nokia_x2-02_x2-05_3118" TargetMode="External"/><Relationship Id="rId_hyperlink_2763" Type="http://schemas.openxmlformats.org/officeDocument/2006/relationships/hyperlink" Target="https://old.ukr-mobil.com/displej_nokia_x2_dual_sim_c_tachskrinom_ramkoj_original_5255" TargetMode="External"/><Relationship Id="rId_hyperlink_2764" Type="http://schemas.openxmlformats.org/officeDocument/2006/relationships/hyperlink" Target="https://old.ukr-mobil.com/displej_oneplus_10_pro_ne2210_ne2211_ne2213_ne2215_s_tachskrinom_original_black_10003146" TargetMode="External"/><Relationship Id="rId_hyperlink_2765" Type="http://schemas.openxmlformats.org/officeDocument/2006/relationships/hyperlink" Target="https://old.ukr-mobil.com/displej_oneplus_3_a3003_oneplus_3t_a3010_s_tachskrinom_oled_black_9630" TargetMode="External"/><Relationship Id="rId_hyperlink_2766" Type="http://schemas.openxmlformats.org/officeDocument/2006/relationships/hyperlink" Target="https://old.ukr-mobil.com/displej_oneplus_6_s_tachskrinom_oled_black_10001315" TargetMode="External"/><Relationship Id="rId_hyperlink_2767" Type="http://schemas.openxmlformats.org/officeDocument/2006/relationships/hyperlink" Target="https://old.ukr-mobil.com/displej_oneplus_6_a6003_s_tachskrinom_original_prc_black_10394" TargetMode="External"/><Relationship Id="rId_hyperlink_2768" Type="http://schemas.openxmlformats.org/officeDocument/2006/relationships/hyperlink" Target="https://old.ukr-mobil.com/displej_oneplus_6t_s_tachskrinom_oled_black_10001314" TargetMode="External"/><Relationship Id="rId_hyperlink_2769" Type="http://schemas.openxmlformats.org/officeDocument/2006/relationships/hyperlink" Target="https://old.ukr-mobil.com/displej_oneplus_7t_s_tachskrinom_oled_black_10001148" TargetMode="External"/><Relationship Id="rId_hyperlink_2770" Type="http://schemas.openxmlformats.org/officeDocument/2006/relationships/hyperlink" Target="https://old.ukr-mobil.com/displej_oneplus_7t_s_tachskrinom_oled_black_10001627" TargetMode="External"/><Relationship Id="rId_hyperlink_2771" Type="http://schemas.openxmlformats.org/officeDocument/2006/relationships/hyperlink" Target="https://old.ukr-mobil.com/displej_oneplus_7t_s_tachskrinom_original_black_10001313" TargetMode="External"/><Relationship Id="rId_hyperlink_2772" Type="http://schemas.openxmlformats.org/officeDocument/2006/relationships/hyperlink" Target="https://old.ukr-mobil.com/displej_oneplus_8_pro_s_tachskrinom_original_black_10001317" TargetMode="External"/><Relationship Id="rId_hyperlink_2773" Type="http://schemas.openxmlformats.org/officeDocument/2006/relationships/hyperlink" Target="https://old.ukr-mobil.com/displej_oneplus_8_s_tachskrinom_original_black_10001147" TargetMode="External"/><Relationship Id="rId_hyperlink_2774" Type="http://schemas.openxmlformats.org/officeDocument/2006/relationships/hyperlink" Target="https://old.ukr-mobil.com/displej_oneplus_8_s_tachskrinom_s_ramkoj_original_blue_10004466" TargetMode="External"/><Relationship Id="rId_hyperlink_2775" Type="http://schemas.openxmlformats.org/officeDocument/2006/relationships/hyperlink" Target="https://old.ukr-mobil.com/displej_oneplus_8_s_tachskrinom_s_ramkoj_original_silver_10003179" TargetMode="External"/><Relationship Id="rId_hyperlink_2776" Type="http://schemas.openxmlformats.org/officeDocument/2006/relationships/hyperlink" Target="https://old.ukr-mobil.com/displej_oneplus_8_s_tachskrinom_s_ramkoj_original_black_10003158" TargetMode="External"/><Relationship Id="rId_hyperlink_2777" Type="http://schemas.openxmlformats.org/officeDocument/2006/relationships/hyperlink" Target="https://old.ukr-mobil.com/displej_oneplus_8t_s_tachskrinom_original_black_10001318" TargetMode="External"/><Relationship Id="rId_hyperlink_2778" Type="http://schemas.openxmlformats.org/officeDocument/2006/relationships/hyperlink" Target="https://old.ukr-mobil.com/displej_oneplus_9_le2110_le2111_le2113_le2115_le2117_s_tachskrinom_original_black_10003159" TargetMode="External"/><Relationship Id="rId_hyperlink_2779" Type="http://schemas.openxmlformats.org/officeDocument/2006/relationships/hyperlink" Target="https://old.ukr-mobil.com/displej_oneplus_9_le2110_le2111_le2113_le2115_le2117_s_tachskrinom_s_ramkoj_original_arctic_sky_10003162" TargetMode="External"/><Relationship Id="rId_hyperlink_2780" Type="http://schemas.openxmlformats.org/officeDocument/2006/relationships/hyperlink" Target="https://old.ukr-mobil.com/displej_oneplus_9_le2110_le2111_le2113_le2115_le2117_s_tachskrinom_s_ramkoj_original_black_10003161" TargetMode="External"/><Relationship Id="rId_hyperlink_2781" Type="http://schemas.openxmlformats.org/officeDocument/2006/relationships/hyperlink" Target="https://old.ukr-mobil.com/displej_oneplus_9_le2110_le2111_le2113_le2115_le2117_s_tachskrinom_s_ramkoj_original_winter_mist_10003160" TargetMode="External"/><Relationship Id="rId_hyperlink_2782" Type="http://schemas.openxmlformats.org/officeDocument/2006/relationships/hyperlink" Target="https://old.ukr-mobil.com/displej_oneplus_9_pro_le2121_le2125_le2123_le2120_le2127_oppo_find_x3_x3_pro_s_tachskrinom_original_black_10003163" TargetMode="External"/><Relationship Id="rId_hyperlink_2783" Type="http://schemas.openxmlformats.org/officeDocument/2006/relationships/hyperlink" Target="https://old.ukr-mobil.com/displej_oneplus_9_pro_le2121_le2125_le2123_le2120_le2127_s_tachskrinom_s_ramkoj_original_black_10004465" TargetMode="External"/><Relationship Id="rId_hyperlink_2784" Type="http://schemas.openxmlformats.org/officeDocument/2006/relationships/hyperlink" Target="https://old.ukr-mobil.com/displej_oneplus_9_pro_s_tachskrinom_s_ramkoj_original_black_10002014" TargetMode="External"/><Relationship Id="rId_hyperlink_2785" Type="http://schemas.openxmlformats.org/officeDocument/2006/relationships/hyperlink" Target="https://old.ukr-mobil.com/displej_oneplus_9r_s_tachskrinom_original_black_10002015" TargetMode="External"/><Relationship Id="rId_hyperlink_2786" Type="http://schemas.openxmlformats.org/officeDocument/2006/relationships/hyperlink" Target="https://old.ukr-mobil.com/displej_oneplus_nord_2_dn2103_dn2101_nord_ce_eb2101_eb2103_oppo_reno_5_reno_6_reno_7_k9_realme_q3_s_tachskrinom_oled_black_10003169" TargetMode="External"/><Relationship Id="rId_hyperlink_2787" Type="http://schemas.openxmlformats.org/officeDocument/2006/relationships/hyperlink" Target="https://old.ukr-mobil.com/displej_oneplus_nord_2_dn2103_dn2101_nord_ce_eb2101_eb2103_s_tachskrinom_original_black_10002118" TargetMode="External"/><Relationship Id="rId_hyperlink_2788" Type="http://schemas.openxmlformats.org/officeDocument/2006/relationships/hyperlink" Target="https://old.ukr-mobil.com/displej_oneplus_nord_2_dn2103_dn2101_nord_ce_eb2101_eb2103_oppo_reno_5_reno_6_reno_7_k9_realme_q3_s_tachskrinom_s_ramkoj_original_black_10003171" TargetMode="External"/><Relationship Id="rId_hyperlink_2789" Type="http://schemas.openxmlformats.org/officeDocument/2006/relationships/hyperlink" Target="https://old.ukr-mobil.com/displej_oneplus_nord_s_tachskrinom_original_black_10001146" TargetMode="External"/><Relationship Id="rId_hyperlink_2790" Type="http://schemas.openxmlformats.org/officeDocument/2006/relationships/hyperlink" Target="https://old.ukr-mobil.com/displej_oneplus_one_a0001_s_tachskrinom_black_7416" TargetMode="External"/><Relationship Id="rId_hyperlink_2791" Type="http://schemas.openxmlformats.org/officeDocument/2006/relationships/hyperlink" Target="https://old.ukr-mobil.com/displej_oppo_a15_2020_a15s_s_tachskrinom_original_prc_black_10001845" TargetMode="External"/><Relationship Id="rId_hyperlink_2792" Type="http://schemas.openxmlformats.org/officeDocument/2006/relationships/hyperlink" Target="https://old.ukr-mobil.com/index.php?route=product&amp;product_id=10004572" TargetMode="External"/><Relationship Id="rId_hyperlink_2793" Type="http://schemas.openxmlformats.org/officeDocument/2006/relationships/hyperlink" Target="https://old.ukr-mobil.com/displej_oppo_a17_a57e_a77_4g_oneplus_nord_n20_se_s_tachskrinom_original_prc_black_10004554" TargetMode="External"/><Relationship Id="rId_hyperlink_2794" Type="http://schemas.openxmlformats.org/officeDocument/2006/relationships/hyperlink" Target="https://old.ukr-mobil.com/index.php?route=product&amp;product_id=10004667" TargetMode="External"/><Relationship Id="rId_hyperlink_2795" Type="http://schemas.openxmlformats.org/officeDocument/2006/relationships/hyperlink" Target="https://old.ukr-mobil.com/displej_oppo_a32_a53_s_tachskrinom_original_black_10001152" TargetMode="External"/><Relationship Id="rId_hyperlink_2796" Type="http://schemas.openxmlformats.org/officeDocument/2006/relationships/hyperlink" Target="https://old.ukr-mobil.com/displej_oppo_a32_2020_a33_2020_oppo_a53_oppo_a53s_realme_7i_realme_c17_oneplus_nord_n100_s_tachskrinom_s_ramkoj_original_prc_black_10003174" TargetMode="External"/><Relationship Id="rId_hyperlink_2797" Type="http://schemas.openxmlformats.org/officeDocument/2006/relationships/hyperlink" Target="https://old.ukr-mobil.com/displej_oppo_a36_a76_s_tachskrinom_original_prc_black_10004555" TargetMode="External"/><Relationship Id="rId_hyperlink_2798" Type="http://schemas.openxmlformats.org/officeDocument/2006/relationships/hyperlink" Target="https://old.ukr-mobil.com/displej_oppo_a3s_a5_s_tachskrinom_original_prc_black_10000540" TargetMode="External"/><Relationship Id="rId_hyperlink_2799" Type="http://schemas.openxmlformats.org/officeDocument/2006/relationships/hyperlink" Target="https://old.ukr-mobil.com/displej_oppo_a52_a72_a92_s_tachskrinom_high_quality_black_10003707" TargetMode="External"/><Relationship Id="rId_hyperlink_2800" Type="http://schemas.openxmlformats.org/officeDocument/2006/relationships/hyperlink" Target="https://old.ukr-mobil.com/displej_oppo_a54_4g_s_tachskrinom_original_prc_black_10001846" TargetMode="External"/><Relationship Id="rId_hyperlink_2801" Type="http://schemas.openxmlformats.org/officeDocument/2006/relationships/hyperlink" Target="https://old.ukr-mobil.com/index.php?route=product&amp;product_id=10004665" TargetMode="External"/><Relationship Id="rId_hyperlink_2802" Type="http://schemas.openxmlformats.org/officeDocument/2006/relationships/hyperlink" Target="https://old.ukr-mobil.com/displej_oppo_a54_5g_a72_4g_a74_5g_a93_5g_oneplus_nord_n200_5g_s_tachskrinom_original_prc_black_10003165" TargetMode="External"/><Relationship Id="rId_hyperlink_2803" Type="http://schemas.openxmlformats.org/officeDocument/2006/relationships/hyperlink" Target="https://old.ukr-mobil.com/displej_oppo_a54_5g_a72_4g_a74_5g_a93_5g_oneplus_nord_n200_5g_s_tachskrinom_s_ramkoj_original_prc_black_10003172" TargetMode="External"/><Relationship Id="rId_hyperlink_2804" Type="http://schemas.openxmlformats.org/officeDocument/2006/relationships/hyperlink" Target="https://old.ukr-mobil.com/index.php?route=product&amp;product_id=10004670" TargetMode="External"/><Relationship Id="rId_hyperlink_2805" Type="http://schemas.openxmlformats.org/officeDocument/2006/relationships/hyperlink" Target="https://old.ukr-mobil.com/index.php?route=product&amp;product_id=10005927" TargetMode="External"/><Relationship Id="rId_hyperlink_2806" Type="http://schemas.openxmlformats.org/officeDocument/2006/relationships/hyperlink" Target="https://old.ukr-mobil.com/index.php?route=product&amp;product_id=10004666" TargetMode="External"/><Relationship Id="rId_hyperlink_2807" Type="http://schemas.openxmlformats.org/officeDocument/2006/relationships/hyperlink" Target="https://old.ukr-mobil.com/index.php?route=product&amp;product_id=10004669" TargetMode="External"/><Relationship Id="rId_hyperlink_2808" Type="http://schemas.openxmlformats.org/officeDocument/2006/relationships/hyperlink" Target="https://old.ukr-mobil.com/displej_oppo_reno_5_lite_s_tachskrinom_incell_10002070" TargetMode="External"/><Relationship Id="rId_hyperlink_2809" Type="http://schemas.openxmlformats.org/officeDocument/2006/relationships/hyperlink" Target="https://old.ukr-mobil.com/displej_oppo_a74_4g_a94_reno_5_lite_realme_7_pro_realme_8_realme_8_pro_realme_v_s_tachskrinom_rev_1_1_05_original_10002322" TargetMode="External"/><Relationship Id="rId_hyperlink_2810" Type="http://schemas.openxmlformats.org/officeDocument/2006/relationships/hyperlink" Target="https://old.ukr-mobil.com/displej_oppo_a74_4g_a95_4g_a96_5g_reno_8_lite_5g_realme_8_oneplus_nord_n20_5g_s_tachskrinom_rev_1_1_05_oled_10003288" TargetMode="External"/><Relationship Id="rId_hyperlink_2811" Type="http://schemas.openxmlformats.org/officeDocument/2006/relationships/hyperlink" Target="https://old.ukr-mobil.com/displej_oppo_a74_4g_a94_4g_a94_5g_reno_5_lite_realme_7_pro_realme_8_realme_8_pro_realme_v_s_tachskrinom_rev_0_4_04_oled_10003009" TargetMode="External"/><Relationship Id="rId_hyperlink_2812" Type="http://schemas.openxmlformats.org/officeDocument/2006/relationships/hyperlink" Target="https://old.ukr-mobil.com/index.php?route=product&amp;product_id=10004668" TargetMode="External"/><Relationship Id="rId_hyperlink_2813" Type="http://schemas.openxmlformats.org/officeDocument/2006/relationships/hyperlink" Target="https://old.ukr-mobil.com/displej_oppo_realme_6_pro_s_tachskrinom_original_prc_black_10001835" TargetMode="External"/><Relationship Id="rId_hyperlink_2814" Type="http://schemas.openxmlformats.org/officeDocument/2006/relationships/hyperlink" Target="https://old.ukr-mobil.com/displej_oppo_realme_6_s_tachskrinom_original_prc_black_10001543" TargetMode="External"/><Relationship Id="rId_hyperlink_2815" Type="http://schemas.openxmlformats.org/officeDocument/2006/relationships/hyperlink" Target="https://old.ukr-mobil.com/displej_oppo_realme_c2_s_tachskrinom_original_prc_black_10002533" TargetMode="External"/><Relationship Id="rId_hyperlink_2816" Type="http://schemas.openxmlformats.org/officeDocument/2006/relationships/hyperlink" Target="https://old.ukr-mobil.com/displej_oppo_realme_c30_realme_c31_s_tachskrinom_original_prc_black_10003145" TargetMode="External"/><Relationship Id="rId_hyperlink_2817" Type="http://schemas.openxmlformats.org/officeDocument/2006/relationships/hyperlink" Target="https://old.ukr-mobil.com/displej_oppo_realme_x2_realme_xt_s_tachskrinom_oled_black_10003606" TargetMode="External"/><Relationship Id="rId_hyperlink_2818" Type="http://schemas.openxmlformats.org/officeDocument/2006/relationships/hyperlink" Target="https://old.ukr-mobil.com/displej_realme_8_5g_s_tachskrinom_original_prc_black_10002342" TargetMode="External"/><Relationship Id="rId_hyperlink_2819" Type="http://schemas.openxmlformats.org/officeDocument/2006/relationships/hyperlink" Target="https://old.ukr-mobil.com/displej_realme_8i_s_tachskrinom_original_prc_black_10002385" TargetMode="External"/><Relationship Id="rId_hyperlink_2820" Type="http://schemas.openxmlformats.org/officeDocument/2006/relationships/hyperlink" Target="https://old.ukr-mobil.com/displej_realme_c11_2021_realme_c20_realme_c20a_realme_c21_s_tachskrinom_high_quality_black_10003286" TargetMode="External"/><Relationship Id="rId_hyperlink_2821" Type="http://schemas.openxmlformats.org/officeDocument/2006/relationships/hyperlink" Target="https://old.ukr-mobil.com/displej_realme_c11_2021_realme_c20_realme_c21_s_tachskrinom_original_prc_black_10002539" TargetMode="External"/><Relationship Id="rId_hyperlink_2822" Type="http://schemas.openxmlformats.org/officeDocument/2006/relationships/hyperlink" Target="https://old.ukr-mobil.com/displej_realme_c21y_realme_c25y_s_tachskrinom_high_quality_black_10003568" TargetMode="External"/><Relationship Id="rId_hyperlink_2823" Type="http://schemas.openxmlformats.org/officeDocument/2006/relationships/hyperlink" Target="https://old.ukr-mobil.com/displej_oppo_realme_c11_realme_c12_realme_c15_s_tachskrinom_original_prc_black_10001836" TargetMode="External"/><Relationship Id="rId_hyperlink_2824" Type="http://schemas.openxmlformats.org/officeDocument/2006/relationships/hyperlink" Target="https://old.ukr-mobil.com/displej_realme_c35_s_tachskrinom_high_quality_black_10003719" TargetMode="External"/><Relationship Id="rId_hyperlink_2825" Type="http://schemas.openxmlformats.org/officeDocument/2006/relationships/hyperlink" Target="https://old.ukr-mobil.com/displej_realme_c35_s_tachskrinom_original_black_10003720" TargetMode="External"/><Relationship Id="rId_hyperlink_2826" Type="http://schemas.openxmlformats.org/officeDocument/2006/relationships/hyperlink" Target="https://old.ukr-mobil.com/displej_samsung_a013_galaxy_a01_core_m013_galaxy_m01_core_s_tachskrinom_original_black_10001052" TargetMode="External"/><Relationship Id="rId_hyperlink_2827" Type="http://schemas.openxmlformats.org/officeDocument/2006/relationships/hyperlink" Target="https://old.ukr-mobil.com/displej_samsung_a015_galaxy_a01_s_tachskrinom_uzkij_konnektor_original_prc_black_10002171" TargetMode="External"/><Relationship Id="rId_hyperlink_2828" Type="http://schemas.openxmlformats.org/officeDocument/2006/relationships/hyperlink" Target="https://old.ukr-mobil.com/displej_samsung_a015_galaxy_a01_s_tachskrinom_original_prc_black_10000566" TargetMode="External"/><Relationship Id="rId_hyperlink_2829" Type="http://schemas.openxmlformats.org/officeDocument/2006/relationships/hyperlink" Target="https://old.ukr-mobil.com/displej_samsung_a022_galaxy_a02_rev_a022f_v01_s_tachskrinom_s_ramkoj_original_prc_10002479" TargetMode="External"/><Relationship Id="rId_hyperlink_2830" Type="http://schemas.openxmlformats.org/officeDocument/2006/relationships/hyperlink" Target="https://old.ukr-mobil.com/displej_samsung_a022_galaxy_a02_a125_galaxy_a12_a326_galaxy_a32_5g_m127_galaxy_m12_m022_galaxy_m02_rev_a022f_v01_s_tachskrinom_original_prc_10002389" TargetMode="External"/><Relationship Id="rId_hyperlink_2831" Type="http://schemas.openxmlformats.org/officeDocument/2006/relationships/hyperlink" Target="https://old.ukr-mobil.com/displej_samsung_a125_galaxy_a12_s_tachskrinom_original_prc_black_10001369" TargetMode="External"/><Relationship Id="rId_hyperlink_2832" Type="http://schemas.openxmlformats.org/officeDocument/2006/relationships/hyperlink" Target="https://old.ukr-mobil.com/displej_samsung_a022_galaxy_a02_a125_galaxy_a12_a326_galaxy_a32_5g_m127_galaxy_m12_m022_galaxy_m02_rev_m127f_v0_1_s_tachskrinom_original_prc_10002476" TargetMode="External"/><Relationship Id="rId_hyperlink_2833" Type="http://schemas.openxmlformats.org/officeDocument/2006/relationships/hyperlink" Target="https://old.ukr-mobil.com/displej_samsung_a022_galaxy_a02_a125_galaxy_a12_a326_galaxy_a32_5g_m127_galaxy_m12_m022_galaxy_m02_s_tachskrinom_high_copy_10002472" TargetMode="External"/><Relationship Id="rId_hyperlink_2834" Type="http://schemas.openxmlformats.org/officeDocument/2006/relationships/hyperlink" Target="https://old.ukr-mobil.com/displej_samsung_a022_galaxy_a02_2021_gh81-25250a_s_tachskrinom_service_pack_original_10001753" TargetMode="External"/><Relationship Id="rId_hyperlink_2835" Type="http://schemas.openxmlformats.org/officeDocument/2006/relationships/hyperlink" Target="https://old.ukr-mobil.com/displej_samsung_a022_galaxy_a02_gh81-20181a_s_tachskrinom_s_ramkoj_service_pack_original_10002243" TargetMode="External"/><Relationship Id="rId_hyperlink_2836" Type="http://schemas.openxmlformats.org/officeDocument/2006/relationships/hyperlink" Target="https://old.ukr-mobil.com/displej_samsung_a025_galaxy_a02s_s_tachskrinom_original_prc_black_10001546" TargetMode="External"/><Relationship Id="rId_hyperlink_2837" Type="http://schemas.openxmlformats.org/officeDocument/2006/relationships/hyperlink" Target="https://old.ukr-mobil.com/displej_samsung_a025_galaxy_a02s_s_tachskrinom_high_copy_black_10001556" TargetMode="External"/><Relationship Id="rId_hyperlink_2838" Type="http://schemas.openxmlformats.org/officeDocument/2006/relationships/hyperlink" Target="https://old.ukr-mobil.com/displej_samsung_a025_galaxy_a02s_gh81-18456a_vysota_160_5_mm_s_tachskrinom_s_ramkoj_service_pack_original_10002268" TargetMode="External"/><Relationship Id="rId_hyperlink_2839" Type="http://schemas.openxmlformats.org/officeDocument/2006/relationships/hyperlink" Target="https://old.ukr-mobil.com/displej_samsung_a025_galaxy_a02s_gh81-18456a_vysota_163_mm_s_tachskrinom_s_ramkoj_service_pack_original_10002814" TargetMode="External"/><Relationship Id="rId_hyperlink_2840" Type="http://schemas.openxmlformats.org/officeDocument/2006/relationships/hyperlink" Target="https://old.ukr-mobil.com/displej_samsung_a025_galaxy_a02s_2021_gh81-18456a_s_tachskrinom_service_pack_original_10001752" TargetMode="External"/><Relationship Id="rId_hyperlink_2841" Type="http://schemas.openxmlformats.org/officeDocument/2006/relationships/hyperlink" Target="https://old.ukr-mobil.com/displej_samsung_a025_galaxy_a02s_s_tachskrinom_s_ramkoj_original_prc_black_10002527" TargetMode="External"/><Relationship Id="rId_hyperlink_2842" Type="http://schemas.openxmlformats.org/officeDocument/2006/relationships/hyperlink" Target="https://old.ukr-mobil.com/displej_samsung_a032_galaxy_a03_core_gh81-21711a_s_tachskrinom_service_pack_original_10004282" TargetMode="External"/><Relationship Id="rId_hyperlink_2843" Type="http://schemas.openxmlformats.org/officeDocument/2006/relationships/hyperlink" Target="https://old.ukr-mobil.com/displej_samsung_a032_galaxy_a03_core_gh81-21711a_s_tachskrinom_s_ramkoj_service_pack_original_10002392" TargetMode="External"/><Relationship Id="rId_hyperlink_2844" Type="http://schemas.openxmlformats.org/officeDocument/2006/relationships/hyperlink" Target="https://old.ukr-mobil.com/displej_samsung_a032_galaxy_a03_core_s_tachskrinom_original_prc_10002480" TargetMode="External"/><Relationship Id="rId_hyperlink_2845" Type="http://schemas.openxmlformats.org/officeDocument/2006/relationships/hyperlink" Target="https://old.ukr-mobil.com/displej_samsung_a032_galaxy_a03_s_tachskrinom_original_prc_black_10002486" TargetMode="External"/><Relationship Id="rId_hyperlink_2846" Type="http://schemas.openxmlformats.org/officeDocument/2006/relationships/hyperlink" Target="https://old.ukr-mobil.com/displej_samsung_a035_galaxy_a03_gh81-21625a_s_tachskrinom_service_pack_original_10002978" TargetMode="External"/><Relationship Id="rId_hyperlink_2847" Type="http://schemas.openxmlformats.org/officeDocument/2006/relationships/hyperlink" Target="https://old.ukr-mobil.com/displej_samsung_a037_galaxy_a03s_gh81-21232a_s_tachskrinom_service_pack_original_10002006" TargetMode="External"/><Relationship Id="rId_hyperlink_2848" Type="http://schemas.openxmlformats.org/officeDocument/2006/relationships/hyperlink" Target="https://old.ukr-mobil.com/displej_samsung_a037_galaxy_a03s_s_tachskrinom_original_prc_10002160" TargetMode="External"/><Relationship Id="rId_hyperlink_2849" Type="http://schemas.openxmlformats.org/officeDocument/2006/relationships/hyperlink" Target="https://old.ukr-mobil.com/displej_samsung_a037_galaxy_a03s_gh81-21233a_s_tachskrinom_s_ramkoj_service_pack_original_10002007" TargetMode="External"/><Relationship Id="rId_hyperlink_2850" Type="http://schemas.openxmlformats.org/officeDocument/2006/relationships/hyperlink" Target="https://old.ukr-mobil.com/displej_samsung_a042_galaxy_a04e_gh81-23088a_s_tachskrinom_service_pack_original_black_10003285" TargetMode="External"/><Relationship Id="rId_hyperlink_2851" Type="http://schemas.openxmlformats.org/officeDocument/2006/relationships/hyperlink" Target="https://old.ukr-mobil.com/displej_samsung_a042_galaxy_a04e_s_tachskrinom_original_prc_black_10004304" TargetMode="External"/><Relationship Id="rId_hyperlink_2852" Type="http://schemas.openxmlformats.org/officeDocument/2006/relationships/hyperlink" Target="https://old.ukr-mobil.com/displej_samsung_a042_galaxy_a04e_s_tachskrinom_s_ramkoj_original_prc_black_10004309" TargetMode="External"/><Relationship Id="rId_hyperlink_2853" Type="http://schemas.openxmlformats.org/officeDocument/2006/relationships/hyperlink" Target="https://old.ukr-mobil.com/displej_samsung_a045_galaxy_a04_gh81-22731a_s_tachskrinom_service_pack_original_black_10003284" TargetMode="External"/><Relationship Id="rId_hyperlink_2854" Type="http://schemas.openxmlformats.org/officeDocument/2006/relationships/hyperlink" Target="https://old.ukr-mobil.com/displej_samsung_a045_galaxy_a04_s_tachskrinom_original_prc_black_10004305" TargetMode="External"/><Relationship Id="rId_hyperlink_2855" Type="http://schemas.openxmlformats.org/officeDocument/2006/relationships/hyperlink" Target="https://old.ukr-mobil.com/displej_samsung_a047_galaxy_a04s_gh82-29805a_s_tachskrinom_service_pack_original_black_10003690" TargetMode="External"/><Relationship Id="rId_hyperlink_2856" Type="http://schemas.openxmlformats.org/officeDocument/2006/relationships/hyperlink" Target="https://old.ukr-mobil.com/displej_samsung_a047_galaxy_a04s_s_tachskrinom_original_prc_10002947" TargetMode="External"/><Relationship Id="rId_hyperlink_2857" Type="http://schemas.openxmlformats.org/officeDocument/2006/relationships/hyperlink" Target="https://old.ukr-mobil.com/index.php?route=product&amp;product_id=10006027" TargetMode="External"/><Relationship Id="rId_hyperlink_2858" Type="http://schemas.openxmlformats.org/officeDocument/2006/relationships/hyperlink" Target="https://old.ukr-mobil.com/displej_samsung_a105_galaxy_a10_gh82-18685a_s_tachskrinom_s_ramkoj_service_pack_original_10002269" TargetMode="External"/><Relationship Id="rId_hyperlink_2859" Type="http://schemas.openxmlformats.org/officeDocument/2006/relationships/hyperlink" Target="https://old.ukr-mobil.com/displej_samsung_a105_galaxy_a10_gh82-19367a_s_tachskrinom_service_pack_original_black_10003302" TargetMode="External"/><Relationship Id="rId_hyperlink_2860" Type="http://schemas.openxmlformats.org/officeDocument/2006/relationships/hyperlink" Target="https://old.ukr-mobil.com/displej_samsung_a105_galaxy_a10_s_tachskrinom_high_copy_black_11751" TargetMode="External"/><Relationship Id="rId_hyperlink_2861" Type="http://schemas.openxmlformats.org/officeDocument/2006/relationships/hyperlink" Target="https://old.ukr-mobil.com/displej_samsung_a105_galaxy_a10_s_tachskrinom_original_prc_black_10000657" TargetMode="External"/><Relationship Id="rId_hyperlink_2862" Type="http://schemas.openxmlformats.org/officeDocument/2006/relationships/hyperlink" Target="https://old.ukr-mobil.com/displej_samsung_a105_galaxy_a10_s_tachskrinom_ramkoj_original_prc_black_10002116" TargetMode="External"/><Relationship Id="rId_hyperlink_2863" Type="http://schemas.openxmlformats.org/officeDocument/2006/relationships/hyperlink" Target="https://old.ukr-mobil.com/displej_samsung_a107_galaxy_a10s_gh81-17482a_s_tachskrinom_service_pack_original_10001848" TargetMode="External"/><Relationship Id="rId_hyperlink_2864" Type="http://schemas.openxmlformats.org/officeDocument/2006/relationships/hyperlink" Target="https://old.ukr-mobil.com/displej_samsung_a107_galaxy_a10s_s_tachskrinom_original_prc_black_12326" TargetMode="External"/><Relationship Id="rId_hyperlink_2865" Type="http://schemas.openxmlformats.org/officeDocument/2006/relationships/hyperlink" Target="https://old.ukr-mobil.com/displej_samsung_a107_galaxy_a10s_s_tachskrinom_ramkoj_original_prc_black_10002115" TargetMode="External"/><Relationship Id="rId_hyperlink_2866" Type="http://schemas.openxmlformats.org/officeDocument/2006/relationships/hyperlink" Target="https://old.ukr-mobil.com/displej_samsung_a115_galaxy_a11_2019_gh81-18760a_s_tachskrinom_original_black_10001578" TargetMode="External"/><Relationship Id="rId_hyperlink_2867" Type="http://schemas.openxmlformats.org/officeDocument/2006/relationships/hyperlink" Target="https://old.ukr-mobil.com/displej_samsung_a115_galaxy_a11_2019_m115_galaxy_m11_gh81-18760a_s_tachskrinom_s_ramkoj_service_pack_original_black_10002372" TargetMode="External"/><Relationship Id="rId_hyperlink_2868" Type="http://schemas.openxmlformats.org/officeDocument/2006/relationships/hyperlink" Target="https://old.ukr-mobil.com/displej_samsung_a115_galaxy_a11_m115_galaxy_m11_s_tachskrinom_original_prc_black_10000758" TargetMode="External"/><Relationship Id="rId_hyperlink_2869" Type="http://schemas.openxmlformats.org/officeDocument/2006/relationships/hyperlink" Target="https://old.ukr-mobil.com/displej_samsung_a125_galaxy_a12_rev_a125f_v0_1_gh82-24491a_s_tachskrinom_s_ramkoj_service_pack_original_black_10002390" TargetMode="External"/><Relationship Id="rId_hyperlink_2870" Type="http://schemas.openxmlformats.org/officeDocument/2006/relationships/hyperlink" Target="https://old.ukr-mobil.com/displej_samsung_a125_galaxy_a12_rev_a125f_v0_1_s_tachskrinom_s_ramkoj_original_prc_10002477" TargetMode="External"/><Relationship Id="rId_hyperlink_2871" Type="http://schemas.openxmlformats.org/officeDocument/2006/relationships/hyperlink" Target="https://old.ukr-mobil.com/displej_samsung_a127_galaxy_a12_gh82-26485a_s_tachskrinom_service_pack_original_black_10002264" TargetMode="External"/><Relationship Id="rId_hyperlink_2872" Type="http://schemas.openxmlformats.org/officeDocument/2006/relationships/hyperlink" Target="https://old.ukr-mobil.com/displej_samsung_a137_galaxy_a13_a235_galaxy_a23_m236_galaxy_m23_m336_galaxy_m33_s_tachskrinom_original_prc_10003570" TargetMode="External"/><Relationship Id="rId_hyperlink_2873" Type="http://schemas.openxmlformats.org/officeDocument/2006/relationships/hyperlink" Target="https://old.ukr-mobil.com/displej_samsung_a137_galaxy_a13_a235_galaxy_a23_m236_galaxy_m23_m336_galaxy_m33_s_tachskrinom_service_pack_original_10003571" TargetMode="External"/><Relationship Id="rId_hyperlink_2874" Type="http://schemas.openxmlformats.org/officeDocument/2006/relationships/hyperlink" Target="https://old.ukr-mobil.com/displej_samsung_a135_galaxy_a13_gh82-28653a_s_tachskrinom_service_pack_original_10002711" TargetMode="External"/><Relationship Id="rId_hyperlink_2875" Type="http://schemas.openxmlformats.org/officeDocument/2006/relationships/hyperlink" Target="https://old.ukr-mobil.com/displej_samsung_a135_galaxy_a13_s_tachskrinom_original_prc_10002812" TargetMode="External"/><Relationship Id="rId_hyperlink_2876" Type="http://schemas.openxmlformats.org/officeDocument/2006/relationships/hyperlink" Target="https://old.ukr-mobil.com/displej_samsung_a145_galaxy_a14_gh97-29124a_s_tachskrinom_service_pack_original_10003569" TargetMode="External"/><Relationship Id="rId_hyperlink_2877" Type="http://schemas.openxmlformats.org/officeDocument/2006/relationships/hyperlink" Target="https://old.ukr-mobil.com/displej_samsung_a146b_galaxy_a14_ver_sm-a146b_v04_gh97-29123a_s_tachskrinom_service_pack_original_10003563" TargetMode="External"/><Relationship Id="rId_hyperlink_2878" Type="http://schemas.openxmlformats.org/officeDocument/2006/relationships/hyperlink" Target="https://old.ukr-mobil.com/displej_samsung_a146p_galaxy_a14_5g_gh82-23640a_s_tachskrinom_service_pack_original_10004558" TargetMode="External"/><Relationship Id="rId_hyperlink_2879" Type="http://schemas.openxmlformats.org/officeDocument/2006/relationships/hyperlink" Target="https://old.ukr-mobil.com/index.php?route=product&amp;product_id=10006030" TargetMode="External"/><Relationship Id="rId_hyperlink_2880" Type="http://schemas.openxmlformats.org/officeDocument/2006/relationships/hyperlink" Target="https://old.ukr-mobil.com/displej_samsung_a205_galaxy_a20_2019_s_tachskrinom_incell_black_10000569" TargetMode="External"/><Relationship Id="rId_hyperlink_2881" Type="http://schemas.openxmlformats.org/officeDocument/2006/relationships/hyperlink" Target="https://old.ukr-mobil.com/displej_samsung_a205_galaxy_a20_2019_s_tachskrinom_oled_black_12339" TargetMode="External"/><Relationship Id="rId_hyperlink_2882" Type="http://schemas.openxmlformats.org/officeDocument/2006/relationships/hyperlink" Target="https://old.ukr-mobil.com/displej_samsung_a205_galaxy_a20_2019_s_tachskrinom_ramkoj_oled_black_10000725" TargetMode="External"/><Relationship Id="rId_hyperlink_2883" Type="http://schemas.openxmlformats.org/officeDocument/2006/relationships/hyperlink" Target="https://old.ukr-mobil.com/displej_samsung_a207_galaxy_a20s_2019_gh81-17774a_s_tachskrinom_service_pack_original_10001746" TargetMode="External"/><Relationship Id="rId_hyperlink_2884" Type="http://schemas.openxmlformats.org/officeDocument/2006/relationships/hyperlink" Target="https://old.ukr-mobil.com/displej_samsung_a207_galaxy_a20s_2019_gh81-17774a_s_tachskrinom_s_ramkoj_service_pack_original_10002013" TargetMode="External"/><Relationship Id="rId_hyperlink_2885" Type="http://schemas.openxmlformats.org/officeDocument/2006/relationships/hyperlink" Target="https://old.ukr-mobil.com/displej_samsung_a207_galaxy_a20s_2019_s_tachskrinom_original_prc_black_12354" TargetMode="External"/><Relationship Id="rId_hyperlink_2886" Type="http://schemas.openxmlformats.org/officeDocument/2006/relationships/hyperlink" Target="https://old.ukr-mobil.com/displej_samsung_a215_galaxy_a21_2020_gh82-22836a_s_tachskrinom_ramkoj_service_pack_original_black_10001579" TargetMode="External"/><Relationship Id="rId_hyperlink_2887" Type="http://schemas.openxmlformats.org/officeDocument/2006/relationships/hyperlink" Target="https://old.ukr-mobil.com/displej_samsung_a215_galaxy_a21_gh82-22988b_s_tachskrinom_service_pack_original_10002244" TargetMode="External"/><Relationship Id="rId_hyperlink_2888" Type="http://schemas.openxmlformats.org/officeDocument/2006/relationships/hyperlink" Target="https://old.ukr-mobil.com/displej_samsung_a215_galaxy_a21_s_tachskrinom_original_prc_10002027" TargetMode="External"/><Relationship Id="rId_hyperlink_2889" Type="http://schemas.openxmlformats.org/officeDocument/2006/relationships/hyperlink" Target="https://old.ukr-mobil.com/displej_samsung_a217_galaxy_a21s_gh82-22905a_s_tachskrinom_s_ramkoj_service_pack_original_10001754" TargetMode="External"/><Relationship Id="rId_hyperlink_2890" Type="http://schemas.openxmlformats.org/officeDocument/2006/relationships/hyperlink" Target="https://old.ukr-mobil.com/displej_samsung_a217_galaxy_a21s_2020_gh82-22988a_s_tachskrinom_ramkoj_service_pack_original_10001191" TargetMode="External"/><Relationship Id="rId_hyperlink_2891" Type="http://schemas.openxmlformats.org/officeDocument/2006/relationships/hyperlink" Target="https://old.ukr-mobil.com/displej_samsung_a217_galaxy_a21s_s_tachskrinom_high_copy_black_10002950" TargetMode="External"/><Relationship Id="rId_hyperlink_2892" Type="http://schemas.openxmlformats.org/officeDocument/2006/relationships/hyperlink" Target="https://old.ukr-mobil.com/displej_samsung_a217_galaxy_a21s_s_tachskrinom_original_black_10000731" TargetMode="External"/><Relationship Id="rId_hyperlink_2893" Type="http://schemas.openxmlformats.org/officeDocument/2006/relationships/hyperlink" Target="https://old.ukr-mobil.com/displej_samsung_a225_galaxy_a22_gh82-25944a_s_tachskrinom_s_ramkoj_service_pack_original_black_10001925" TargetMode="External"/><Relationship Id="rId_hyperlink_2894" Type="http://schemas.openxmlformats.org/officeDocument/2006/relationships/hyperlink" Target="https://old.ukr-mobil.com/displej_samsung_a225_galaxy_a22_s_tachskrinom_incell_10002029" TargetMode="External"/><Relationship Id="rId_hyperlink_2895" Type="http://schemas.openxmlformats.org/officeDocument/2006/relationships/hyperlink" Target="https://old.ukr-mobil.com/displej_samsung_a225_galaxy_a22_s_tachskrinom_s_ramkoj_oled_10002331" TargetMode="External"/><Relationship Id="rId_hyperlink_2896" Type="http://schemas.openxmlformats.org/officeDocument/2006/relationships/hyperlink" Target="https://old.ukr-mobil.com/displej_samsung_a226_galaxy_a22_5g_gh81-21711a_s_tachskrinom_service_pack_original_10004516" TargetMode="External"/><Relationship Id="rId_hyperlink_2897" Type="http://schemas.openxmlformats.org/officeDocument/2006/relationships/hyperlink" Target="https://old.ukr-mobil.com/displej_samsung_a226_galaxy_a22_5g_s_tachskrinom_original_prc_10002069" TargetMode="External"/><Relationship Id="rId_hyperlink_2898" Type="http://schemas.openxmlformats.org/officeDocument/2006/relationships/hyperlink" Target="https://old.ukr-mobil.com/displej_samsung_a235_galaxy_a23_4g_gh82-28563a_s_tachskrinom_service_pack_original_10002783" TargetMode="External"/><Relationship Id="rId_hyperlink_2899" Type="http://schemas.openxmlformats.org/officeDocument/2006/relationships/hyperlink" Target="https://old.ukr-mobil.com/displej_samsung_a235_galaxy_a23_s_tachskrinom_original_prc_black_10002341" TargetMode="External"/><Relationship Id="rId_hyperlink_2900" Type="http://schemas.openxmlformats.org/officeDocument/2006/relationships/hyperlink" Target="https://old.ukr-mobil.com/index.php?route=product&amp;product_id=10004671" TargetMode="External"/><Relationship Id="rId_hyperlink_2901" Type="http://schemas.openxmlformats.org/officeDocument/2006/relationships/hyperlink" Target="https://old.ukr-mobil.com/index.php?route=product&amp;product_id=10006031" TargetMode="External"/><Relationship Id="rId_hyperlink_2902" Type="http://schemas.openxmlformats.org/officeDocument/2006/relationships/hyperlink" Target="https://old.ukr-mobil.com/displej_samsung_a305_galaxy_a30_2019_gh82-19202a_s_tachskrinom_ramkoj_service_pack_original_black_10001135" TargetMode="External"/><Relationship Id="rId_hyperlink_2903" Type="http://schemas.openxmlformats.org/officeDocument/2006/relationships/hyperlink" Target="https://old.ukr-mobil.com/displej_samsung_a305_galaxy_a30_2019_s_tachskrinom_oled_black_12324" TargetMode="External"/><Relationship Id="rId_hyperlink_2904" Type="http://schemas.openxmlformats.org/officeDocument/2006/relationships/hyperlink" Target="https://old.ukr-mobil.com/displej_samsung_a305_galaxy_a30_2019_s_tachskrinom_original_prc_black_11752" TargetMode="External"/><Relationship Id="rId_hyperlink_2905" Type="http://schemas.openxmlformats.org/officeDocument/2006/relationships/hyperlink" Target="https://old.ukr-mobil.com/displej_samsung_a305_galaxy_a30_2019_s_tachskrinom_ramkoj_oled_black_10000724" TargetMode="External"/><Relationship Id="rId_hyperlink_2906" Type="http://schemas.openxmlformats.org/officeDocument/2006/relationships/hyperlink" Target="https://old.ukr-mobil.com/displej_samsung_a305_galaxy_a30_a505_galaxy_a50_s_tachskrinom_incell_black_10000567" TargetMode="External"/><Relationship Id="rId_hyperlink_2907" Type="http://schemas.openxmlformats.org/officeDocument/2006/relationships/hyperlink" Target="https://old.ukr-mobil.com/displej_samsung_a307_galaxy_a30s_2019_gh82-21190a_s_tachskrinom_ramkoj_service_pack_original_black_10000520" TargetMode="External"/><Relationship Id="rId_hyperlink_2908" Type="http://schemas.openxmlformats.org/officeDocument/2006/relationships/hyperlink" Target="https://old.ukr-mobil.com/displej_samsung_a307_galaxy_a30s_s_tachskrinom_incell_black_10001149" TargetMode="External"/><Relationship Id="rId_hyperlink_2909" Type="http://schemas.openxmlformats.org/officeDocument/2006/relationships/hyperlink" Target="https://old.ukr-mobil.com/displej_samsung_a307_galaxy_a30s_s_tachskrinom_oled_black_10000707" TargetMode="External"/><Relationship Id="rId_hyperlink_2910" Type="http://schemas.openxmlformats.org/officeDocument/2006/relationships/hyperlink" Target="https://old.ukr-mobil.com/displej_samsung_a307_galaxy_a30s_s_tachskrinom_ramkoj_oled_black_10000972" TargetMode="External"/><Relationship Id="rId_hyperlink_2911" Type="http://schemas.openxmlformats.org/officeDocument/2006/relationships/hyperlink" Target="https://old.ukr-mobil.com/displej_samsung_a315_galaxy_a31_s_tachskrinom_s_ramkoj_oled_black_10001082" TargetMode="External"/><Relationship Id="rId_hyperlink_2912" Type="http://schemas.openxmlformats.org/officeDocument/2006/relationships/hyperlink" Target="https://old.ukr-mobil.com/displej_samsung_a315_galaxy_a31_s_tachskrinom_s_ramkoj_oled_black_10002272" TargetMode="External"/><Relationship Id="rId_hyperlink_2913" Type="http://schemas.openxmlformats.org/officeDocument/2006/relationships/hyperlink" Target="https://old.ukr-mobil.com/displej_samsung_a320_galaxy_a3_2017_super_amoled_s_tachskrinom_pink_7966" TargetMode="External"/><Relationship Id="rId_hyperlink_2914" Type="http://schemas.openxmlformats.org/officeDocument/2006/relationships/hyperlink" Target="https://old.ukr-mobil.com/displej_samsung_a325_galaxy_a32_2021_gh82-25566a_s_tachskrinom_ramkoj_service_pack_original_black_10001581" TargetMode="External"/><Relationship Id="rId_hyperlink_2915" Type="http://schemas.openxmlformats.org/officeDocument/2006/relationships/hyperlink" Target="https://old.ukr-mobil.com/displej_samsung_a325_galaxy_a32_s_tachskrinom_incell_black_10002254" TargetMode="External"/><Relationship Id="rId_hyperlink_2916" Type="http://schemas.openxmlformats.org/officeDocument/2006/relationships/hyperlink" Target="https://old.ukr-mobil.com/displej_samsung_a325_galaxy_a32_s_tachskrinom_original_prc_black_10001900" TargetMode="External"/><Relationship Id="rId_hyperlink_2917" Type="http://schemas.openxmlformats.org/officeDocument/2006/relationships/hyperlink" Target="https://old.ukr-mobil.com/displej_samsung_a325_galaxy_a32_s_tachskrinom_ramkoj_oled_black_10002267" TargetMode="External"/><Relationship Id="rId_hyperlink_2918" Type="http://schemas.openxmlformats.org/officeDocument/2006/relationships/hyperlink" Target="https://old.ukr-mobil.com/displej_samsung_a325_galaxy_a32_s_tachskrinom_ramkoj_original_prc_black_10002051" TargetMode="External"/><Relationship Id="rId_hyperlink_2919" Type="http://schemas.openxmlformats.org/officeDocument/2006/relationships/hyperlink" Target="https://old.ukr-mobil.com/displej_samsung_a326_galaxy_a32_5g_sm-a326b_s_tachskrinom_original_prc_black_10003609" TargetMode="External"/><Relationship Id="rId_hyperlink_2920" Type="http://schemas.openxmlformats.org/officeDocument/2006/relationships/hyperlink" Target="https://old.ukr-mobil.com/displej_samsung_a326_galaxy_a32_5g_gh82-25453a_s_tachskrinom_service_pack_original_black_10001922" TargetMode="External"/><Relationship Id="rId_hyperlink_2921" Type="http://schemas.openxmlformats.org/officeDocument/2006/relationships/hyperlink" Target="https://old.ukr-mobil.com/displej_samsung_a336_galaxy_a33_s_tachskrinom_s_ramkoj_oled_black_10003283" TargetMode="External"/><Relationship Id="rId_hyperlink_2922" Type="http://schemas.openxmlformats.org/officeDocument/2006/relationships/hyperlink" Target="https://old.ukr-mobil.com/index.php?route=product&amp;product_id=10004672" TargetMode="External"/><Relationship Id="rId_hyperlink_2923" Type="http://schemas.openxmlformats.org/officeDocument/2006/relationships/hyperlink" Target="https://old.ukr-mobil.com/index.php?route=product&amp;product_id=10006032" TargetMode="External"/><Relationship Id="rId_hyperlink_2924" Type="http://schemas.openxmlformats.org/officeDocument/2006/relationships/hyperlink" Target="https://old.ukr-mobil.com/displej_samsung_a405_galaxy_a40_2019_gh82-19672a_s_tachskrinom_ramkoj_service_pack_original_black_12278" TargetMode="External"/><Relationship Id="rId_hyperlink_2925" Type="http://schemas.openxmlformats.org/officeDocument/2006/relationships/hyperlink" Target="https://old.ukr-mobil.com/displej_samsung_a405_galaxy_a40_2019_s_tachskrinom_incell_black_10002076" TargetMode="External"/><Relationship Id="rId_hyperlink_2926" Type="http://schemas.openxmlformats.org/officeDocument/2006/relationships/hyperlink" Target="https://old.ukr-mobil.com/displej_samsung_a405_galaxy_a40_2019_s_tachskrinom_original_prc_black_11801" TargetMode="External"/><Relationship Id="rId_hyperlink_2927" Type="http://schemas.openxmlformats.org/officeDocument/2006/relationships/hyperlink" Target="https://old.ukr-mobil.com/displej_samsung_a415_galaxy_a41_gh82-22860a_s_tachskrinom_ramkoj_service_pack_original_black_10001043" TargetMode="External"/><Relationship Id="rId_hyperlink_2928" Type="http://schemas.openxmlformats.org/officeDocument/2006/relationships/hyperlink" Target="https://old.ukr-mobil.com/displej_samsung_a426_galaxy_a42_5g_s_tachskrinom_oled_black_10004310" TargetMode="External"/><Relationship Id="rId_hyperlink_2929" Type="http://schemas.openxmlformats.org/officeDocument/2006/relationships/hyperlink" Target="https://old.ukr-mobil.com/displej_samsung_a426_galaxy_a42_5g_s_tachskrinom_s_ramkoj_oled_black_10004311" TargetMode="External"/><Relationship Id="rId_hyperlink_2930" Type="http://schemas.openxmlformats.org/officeDocument/2006/relationships/hyperlink" Target="https://old.ukr-mobil.com/displej_samsung_a500_galaxy_a5_s_tachskrinom_tft_s_reguliruemoj_podsvetkoj_black_11307" TargetMode="External"/><Relationship Id="rId_hyperlink_2931" Type="http://schemas.openxmlformats.org/officeDocument/2006/relationships/hyperlink" Target="https://old.ukr-mobil.com/displej_samsung_a505_galaxy_a50_2019_gh82-19204a_s_tachskrinom_ramkoj_service_pack_original_black_11799" TargetMode="External"/><Relationship Id="rId_hyperlink_2932" Type="http://schemas.openxmlformats.org/officeDocument/2006/relationships/hyperlink" Target="https://old.ukr-mobil.com/displej_samsung_a505_galaxy_a50_2019_s_tachskrinom_oled_black_12325" TargetMode="External"/><Relationship Id="rId_hyperlink_2933" Type="http://schemas.openxmlformats.org/officeDocument/2006/relationships/hyperlink" Target="https://old.ukr-mobil.com/displej_samsung_a505_galaxy_a50_2019_s_tachskrinom_ramkoj_oled_black_10000723" TargetMode="External"/><Relationship Id="rId_hyperlink_2934" Type="http://schemas.openxmlformats.org/officeDocument/2006/relationships/hyperlink" Target="https://old.ukr-mobil.com/displej_samsung_a510_galaxy_a5_2016_gh97-18250b_s_tachskrinom_service_pack_original_black_9479" TargetMode="External"/><Relationship Id="rId_hyperlink_2935" Type="http://schemas.openxmlformats.org/officeDocument/2006/relationships/hyperlink" Target="https://old.ukr-mobil.com/displej_samsung_a510_galaxy_a5_2016_gh97-18250b_s_tachskrinom_service_pack_original_white_10000399" TargetMode="External"/><Relationship Id="rId_hyperlink_2936" Type="http://schemas.openxmlformats.org/officeDocument/2006/relationships/hyperlink" Target="https://old.ukr-mobil.com/displej_samsung_a510_galaxy_a5_2016_s_tachskrinom_oled_black_7826" TargetMode="External"/><Relationship Id="rId_hyperlink_2937" Type="http://schemas.openxmlformats.org/officeDocument/2006/relationships/hyperlink" Target="https://old.ukr-mobil.com/displej_samsung_a515_galaxy_a51_gh82-21669a_s_tachskrinom_s_ramkoj_service_pack_original_black_10001045" TargetMode="External"/><Relationship Id="rId_hyperlink_2938" Type="http://schemas.openxmlformats.org/officeDocument/2006/relationships/hyperlink" Target="https://old.ukr-mobil.com/displej_samsung_a515_galaxy_a51_s_tachskrinom_oled_black_10000715" TargetMode="External"/><Relationship Id="rId_hyperlink_2939" Type="http://schemas.openxmlformats.org/officeDocument/2006/relationships/hyperlink" Target="https://old.ukr-mobil.com/displej_samsung_a515_galaxy_a51_m317_galaxy_m31s_s_tachskrinom_oled_black_10002161" TargetMode="External"/><Relationship Id="rId_hyperlink_2940" Type="http://schemas.openxmlformats.org/officeDocument/2006/relationships/hyperlink" Target="https://old.ukr-mobil.com/displej_samsung_a515_galaxy_a51_s_tachskrinom_s_ramkoj_oled_black_10001306" TargetMode="External"/><Relationship Id="rId_hyperlink_2941" Type="http://schemas.openxmlformats.org/officeDocument/2006/relationships/hyperlink" Target="https://old.ukr-mobil.com/displej_samsung_a515_galaxy_a51_m317_galaxy_m31s_s_tachskrinom_s_ramkoj_oled_black_10002162" TargetMode="External"/><Relationship Id="rId_hyperlink_2942" Type="http://schemas.openxmlformats.org/officeDocument/2006/relationships/hyperlink" Target="https://old.ukr-mobil.com/displej_samsung_a520_galaxy_a5_2017_gh97-19733a_s_tachskrinom_original_black_10001" TargetMode="External"/><Relationship Id="rId_hyperlink_2943" Type="http://schemas.openxmlformats.org/officeDocument/2006/relationships/hyperlink" Target="https://old.ukr-mobil.com/displej_samsung_a525_galaxy_a52_2021_a526_galaxy_a52_5g_gh82-25230b_s_tachskrinom_service_pack_original_blue_10001941" TargetMode="External"/><Relationship Id="rId_hyperlink_2944" Type="http://schemas.openxmlformats.org/officeDocument/2006/relationships/hyperlink" Target="https://old.ukr-mobil.com/displej_samsung_a525_galaxy_a52_a526_galaxy_a52_5g_s_tachskrinom_incell_black_10002065" TargetMode="External"/><Relationship Id="rId_hyperlink_2945" Type="http://schemas.openxmlformats.org/officeDocument/2006/relationships/hyperlink" Target="https://old.ukr-mobil.com/displej_samsung_a525_galaxy_a52_a526_galaxy_a52_5g_s_tachskrinom_s_ramkoj_oled_black_10002485" TargetMode="External"/><Relationship Id="rId_hyperlink_2946" Type="http://schemas.openxmlformats.org/officeDocument/2006/relationships/hyperlink" Target="https://old.ukr-mobil.com/displej_samsung_a525_galaxy_a52_2021_gh82-25524a_s_tachskrinom_ramkoj_service_pack_original_black_10001580" TargetMode="External"/><Relationship Id="rId_hyperlink_2947" Type="http://schemas.openxmlformats.org/officeDocument/2006/relationships/hyperlink" Target="https://old.ukr-mobil.com/displej_samsung_a525_galaxy_a52_2021_gh82-25524b_s_tachskrinom_ramkoj_service_pack_original_blue_10001903" TargetMode="External"/><Relationship Id="rId_hyperlink_2948" Type="http://schemas.openxmlformats.org/officeDocument/2006/relationships/hyperlink" Target="https://old.ukr-mobil.com/displej_samsung_a525_galaxy_a52_2021_gh82-25524c_s_tachskrinom_ramkoj_service_pack_original_violet_10001942" TargetMode="External"/><Relationship Id="rId_hyperlink_2949" Type="http://schemas.openxmlformats.org/officeDocument/2006/relationships/hyperlink" Target="https://old.ukr-mobil.com/displej_samsung_a525_galaxy_a52_2021_gh82-25524d_s_tachskrinom_ramkoj_service_pack_original_white_10001943" TargetMode="External"/><Relationship Id="rId_hyperlink_2950" Type="http://schemas.openxmlformats.org/officeDocument/2006/relationships/hyperlink" Target="https://old.ukr-mobil.com/displej_samsung_a530_galaxy_a8_2018_gh97-21529a_service_pack_original_s_tachskrinom_black_11188" TargetMode="External"/><Relationship Id="rId_hyperlink_2951" Type="http://schemas.openxmlformats.org/officeDocument/2006/relationships/hyperlink" Target="https://old.ukr-mobil.com/displej_samsung_a530_galaxy_a8_2018_s_tachskrinom_oled_black_10001188" TargetMode="External"/><Relationship Id="rId_hyperlink_2952" Type="http://schemas.openxmlformats.org/officeDocument/2006/relationships/hyperlink" Target="https://old.ukr-mobil.com/displej_samsung_a536_galaxy_a53_5g_gh82-28024c_s_tachskrinom_s_ramkoj_service_pack_original_blue_10003099" TargetMode="External"/><Relationship Id="rId_hyperlink_2953" Type="http://schemas.openxmlformats.org/officeDocument/2006/relationships/hyperlink" Target="https://old.ukr-mobil.com/displej_samsung_a536_galaxy_a53_5g_s_tachskrinom_oled_black_10003277" TargetMode="External"/><Relationship Id="rId_hyperlink_2954" Type="http://schemas.openxmlformats.org/officeDocument/2006/relationships/hyperlink" Target="https://old.ukr-mobil.com/displej_samsung_a536_galaxy_a53_5g_s_tachskrinom_s_ramkoj_oled_black_10003278" TargetMode="External"/><Relationship Id="rId_hyperlink_2955" Type="http://schemas.openxmlformats.org/officeDocument/2006/relationships/hyperlink" Target="https://old.ukr-mobil.com/displej_samsung_a536_galaxy_a53_5g_s_tachskrinom_s_ramkoj_oled_blue_10003279" TargetMode="External"/><Relationship Id="rId_hyperlink_2956" Type="http://schemas.openxmlformats.org/officeDocument/2006/relationships/hyperlink" Target="https://old.ukr-mobil.com/displej_samsung_a536_galaxy_a53_5g_s_tachskrinom_s_ramkoj_oled_coral_10003280" TargetMode="External"/><Relationship Id="rId_hyperlink_2957" Type="http://schemas.openxmlformats.org/officeDocument/2006/relationships/hyperlink" Target="https://old.ukr-mobil.com/displej_samsung_a536_galaxy_a53_5g_s_tachskrinom_s_ramkoj_oled_white_10003281" TargetMode="External"/><Relationship Id="rId_hyperlink_2958" Type="http://schemas.openxmlformats.org/officeDocument/2006/relationships/hyperlink" Target="https://old.ukr-mobil.com/index.php?route=product&amp;product_id=10004673" TargetMode="External"/><Relationship Id="rId_hyperlink_2959" Type="http://schemas.openxmlformats.org/officeDocument/2006/relationships/hyperlink" Target="https://old.ukr-mobil.com/displej_samsung_a600_galaxy_a6_2018_gh97-21897a_service_pack_original_s_tachskrinom_black_11271" TargetMode="External"/><Relationship Id="rId_hyperlink_2960" Type="http://schemas.openxmlformats.org/officeDocument/2006/relationships/hyperlink" Target="https://old.ukr-mobil.com/displej_samsung_a600_galaxy_a6_super_amoled_s_tachskrinom_black_11199" TargetMode="External"/><Relationship Id="rId_hyperlink_2961" Type="http://schemas.openxmlformats.org/officeDocument/2006/relationships/hyperlink" Target="https://old.ukr-mobil.com/displej_samsung_a605_galaxy_a6_plus_2018_s_tachskrinom_incell_black_10000675" TargetMode="External"/><Relationship Id="rId_hyperlink_2962" Type="http://schemas.openxmlformats.org/officeDocument/2006/relationships/hyperlink" Target="https://old.ukr-mobil.com/displej_samsung_a605_galaxy_a6_plus_2018_s_tachskrinom_oled_black_11200" TargetMode="External"/><Relationship Id="rId_hyperlink_2963" Type="http://schemas.openxmlformats.org/officeDocument/2006/relationships/hyperlink" Target="https://old.ukr-mobil.com/displej_samsung_a605_galaxy_a6_plus_gh97-21878a_service_pack_original_s_tachskrinom_black_10000333" TargetMode="External"/><Relationship Id="rId_hyperlink_2964" Type="http://schemas.openxmlformats.org/officeDocument/2006/relationships/hyperlink" Target="https://old.ukr-mobil.com/displej_samsung_a606_galaxy_a60_2019_m405_galaxy_m40_2019_gh82-20072a_s_tachskrinom_service_pack_original_black_10001193" TargetMode="External"/><Relationship Id="rId_hyperlink_2965" Type="http://schemas.openxmlformats.org/officeDocument/2006/relationships/hyperlink" Target="https://old.ukr-mobil.com/displej_samsung_a606_galaxy_a60_2019_m405_galaxy_m40_2019_s_tachskrinom_original_prc_black_10001270" TargetMode="External"/><Relationship Id="rId_hyperlink_2966" Type="http://schemas.openxmlformats.org/officeDocument/2006/relationships/hyperlink" Target="https://old.ukr-mobil.com/displej_samsung_a705_galaxy_a70_2019_gh82-19787a_s_tachskrinom_s_ramkoj_service_pack_original_black_10000519" TargetMode="External"/><Relationship Id="rId_hyperlink_2967" Type="http://schemas.openxmlformats.org/officeDocument/2006/relationships/hyperlink" Target="https://old.ukr-mobil.com/displej_samsung_a705_galaxy_a70_2019_s_tachskrinom_incell_black_10001021" TargetMode="External"/><Relationship Id="rId_hyperlink_2968" Type="http://schemas.openxmlformats.org/officeDocument/2006/relationships/hyperlink" Target="https://old.ukr-mobil.com/displej_samsung_a705_galaxy_a70_2019_s_tachskrinom_oled_black_10002032" TargetMode="External"/><Relationship Id="rId_hyperlink_2969" Type="http://schemas.openxmlformats.org/officeDocument/2006/relationships/hyperlink" Target="https://old.ukr-mobil.com/displej_samsung_a715_galaxy_a71_gh82-22152a_s_tachskrinom_ramkoj_service_pack_original_black_10001042" TargetMode="External"/><Relationship Id="rId_hyperlink_2970" Type="http://schemas.openxmlformats.org/officeDocument/2006/relationships/hyperlink" Target="https://old.ukr-mobil.com/displej_samsung_a715_galaxy_a71_s_tachskrinom_oled_black_10000716" TargetMode="External"/><Relationship Id="rId_hyperlink_2971" Type="http://schemas.openxmlformats.org/officeDocument/2006/relationships/hyperlink" Target="https://old.ukr-mobil.com/displej_samsung_a715_galaxy_a71_s_tachskrinom_ramkoj_oled_black_10003572" TargetMode="External"/><Relationship Id="rId_hyperlink_2972" Type="http://schemas.openxmlformats.org/officeDocument/2006/relationships/hyperlink" Target="https://old.ukr-mobil.com/displej_samsung_a720_galaxy_a7_2017_gh97-19723a_s_tachskrinom_original_black_11171" TargetMode="External"/><Relationship Id="rId_hyperlink_2973" Type="http://schemas.openxmlformats.org/officeDocument/2006/relationships/hyperlink" Target="https://old.ukr-mobil.com/displej_samsung_a720_galaxy_a7_2017_gh97-19723b_s_tachskrinom_original_gold_11939" TargetMode="External"/><Relationship Id="rId_hyperlink_2974" Type="http://schemas.openxmlformats.org/officeDocument/2006/relationships/hyperlink" Target="https://old.ukr-mobil.com/displej_samsung_a720_galaxy_a7_2017_s_tachskrinom_oled_blue_10001307" TargetMode="External"/><Relationship Id="rId_hyperlink_2975" Type="http://schemas.openxmlformats.org/officeDocument/2006/relationships/hyperlink" Target="https://old.ukr-mobil.com/displej_samsung_a720_galaxy_a7_2017_s_tachskrinom_oled_gold_7967" TargetMode="External"/><Relationship Id="rId_hyperlink_2976" Type="http://schemas.openxmlformats.org/officeDocument/2006/relationships/hyperlink" Target="https://old.ukr-mobil.com/displej_samsung_a725_galaxy_a72_2021_gh82-25460a_s_tachskrinom_ramkoj_service_pack_original_black_10001750" TargetMode="External"/><Relationship Id="rId_hyperlink_2977" Type="http://schemas.openxmlformats.org/officeDocument/2006/relationships/hyperlink" Target="https://old.ukr-mobil.com/displej_samsung_a725_galaxy_a72_2021_gh82-25460d_s_tachskrinom_ramkoj_service_pack_original_white_10001944" TargetMode="External"/><Relationship Id="rId_hyperlink_2978" Type="http://schemas.openxmlformats.org/officeDocument/2006/relationships/hyperlink" Target="https://old.ukr-mobil.com/displej_samsung_a725_galaxy_a72_s_tachskrinom_ramkoj_oled_black_10003605" TargetMode="External"/><Relationship Id="rId_hyperlink_2979" Type="http://schemas.openxmlformats.org/officeDocument/2006/relationships/hyperlink" Target="https://old.ukr-mobil.com/displej_samsung_a730_galaxy_a8_plus_2018_s_tachskrinom_incell_black_10000676" TargetMode="External"/><Relationship Id="rId_hyperlink_2980" Type="http://schemas.openxmlformats.org/officeDocument/2006/relationships/hyperlink" Target="https://old.ukr-mobil.com/displej_samsung_a736_galaxy_a73_5g_gh82-28686a_s_tachskrinom_ramkoj_service_pack_original_gray_10002592" TargetMode="External"/><Relationship Id="rId_hyperlink_2981" Type="http://schemas.openxmlformats.org/officeDocument/2006/relationships/hyperlink" Target="https://old.ukr-mobil.com/displej_samsung_a736_galaxy_a73_5g_gh82-28884a_service_pack_original_10003625" TargetMode="External"/><Relationship Id="rId_hyperlink_2982" Type="http://schemas.openxmlformats.org/officeDocument/2006/relationships/hyperlink" Target="https://old.ukr-mobil.com/displej_samsung_a736_galaxy_a73_5g_s_tachskrinom_ramkoj_oled_black_10003575" TargetMode="External"/><Relationship Id="rId_hyperlink_2983" Type="http://schemas.openxmlformats.org/officeDocument/2006/relationships/hyperlink" Target="https://old.ukr-mobil.com/displej_samsung_a750_galaxy_a7_2018_s_tachskrinom_oled_black_10000714" TargetMode="External"/><Relationship Id="rId_hyperlink_2984" Type="http://schemas.openxmlformats.org/officeDocument/2006/relationships/hyperlink" Target="https://old.ukr-mobil.com/displej_samsung_a800f_galaxy_a8_oled_s_tachskrinom_black_10122" TargetMode="External"/><Relationship Id="rId_hyperlink_2985" Type="http://schemas.openxmlformats.org/officeDocument/2006/relationships/hyperlink" Target="https://old.ukr-mobil.com/displej_samsung_a805_galaxy_a80_gh97-20348a_s_tachskrinom_ramkoj_original_black_10000336" TargetMode="External"/><Relationship Id="rId_hyperlink_2986" Type="http://schemas.openxmlformats.org/officeDocument/2006/relationships/hyperlink" Target="https://old.ukr-mobil.com/displej_samsung_a920_galaxy_a9_2018_gh97-18322a_s_tachskrinom_ramkoj_original_black_12234" TargetMode="External"/><Relationship Id="rId_hyperlink_2987" Type="http://schemas.openxmlformats.org/officeDocument/2006/relationships/hyperlink" Target="https://old.ukr-mobil.com/displej_samsung_g570_galaxy_j5_prime_service_pack_s_tachskrinom_white_10000429" TargetMode="External"/><Relationship Id="rId_hyperlink_2988" Type="http://schemas.openxmlformats.org/officeDocument/2006/relationships/hyperlink" Target="https://old.ukr-mobil.com/displej_samsung_g570_galaxy_j5_prime_s_tachskrinom_original_prc_black_9303" TargetMode="External"/><Relationship Id="rId_hyperlink_2989" Type="http://schemas.openxmlformats.org/officeDocument/2006/relationships/hyperlink" Target="https://old.ukr-mobil.com/displej_samsung_g570_galaxy_j5_prime_s_tachskrinom_original_prc_gold_8216" TargetMode="External"/><Relationship Id="rId_hyperlink_2990" Type="http://schemas.openxmlformats.org/officeDocument/2006/relationships/hyperlink" Target="https://old.ukr-mobil.com/displej_samsung_g570_galaxy_j5_prime_s_tachskrinom_original_prc_white_8217" TargetMode="External"/><Relationship Id="rId_hyperlink_2991" Type="http://schemas.openxmlformats.org/officeDocument/2006/relationships/hyperlink" Target="https://old.ukr-mobil.com/displej_samsung_g610_galaxy_j7_prime_s_tachskrinom_original_prc_black_8187" TargetMode="External"/><Relationship Id="rId_hyperlink_2992" Type="http://schemas.openxmlformats.org/officeDocument/2006/relationships/hyperlink" Target="https://old.ukr-mobil.com/displej_samsung_g610_galaxy_j7_prime_s_tachskrinom_original_prc_gold_8186" TargetMode="External"/><Relationship Id="rId_hyperlink_2993" Type="http://schemas.openxmlformats.org/officeDocument/2006/relationships/hyperlink" Target="https://old.ukr-mobil.com/displej_samsung_g610_galaxy_j7_prime_s_tachskrinom_original_prc_white_8185" TargetMode="External"/><Relationship Id="rId_hyperlink_2994" Type="http://schemas.openxmlformats.org/officeDocument/2006/relationships/hyperlink" Target="https://old.ukr-mobil.com/displej_samsung_g770_galaxy_s10_lite_s_tachskrinom_ramkoj_original_black_10001273" TargetMode="External"/><Relationship Id="rId_hyperlink_2995" Type="http://schemas.openxmlformats.org/officeDocument/2006/relationships/hyperlink" Target="https://old.ukr-mobil.com/displej_samsung_g780_galaxy_s20_fe_gh82-24219b_s_tachskrinom_s_ramkoj_service_pack_original_white_10001968" TargetMode="External"/><Relationship Id="rId_hyperlink_2996" Type="http://schemas.openxmlformats.org/officeDocument/2006/relationships/hyperlink" Target="https://old.ukr-mobil.com/displej_samsung_g780_galaxy_s20_fe_gh82-24219c_s_tachskrinom_s_ramkoj_service_pack_original_cloud_orange_10003011" TargetMode="External"/><Relationship Id="rId_hyperlink_2997" Type="http://schemas.openxmlformats.org/officeDocument/2006/relationships/hyperlink" Target="https://old.ukr-mobil.com/displej_samsung_g780_galaxy_s20_fe_gh82-24219c_s_tachskrinom_s_ramkoj_service_pack_original_lavanda_10001969" TargetMode="External"/><Relationship Id="rId_hyperlink_2998" Type="http://schemas.openxmlformats.org/officeDocument/2006/relationships/hyperlink" Target="https://old.ukr-mobil.com/displej_samsung_g780_galaxy_s20_fe_gh82-24219d_s_tachskrinom_s_ramkoj_service_pack_original_green_10001967" TargetMode="External"/><Relationship Id="rId_hyperlink_2999" Type="http://schemas.openxmlformats.org/officeDocument/2006/relationships/hyperlink" Target="https://old.ukr-mobil.com/displej_samsung_g780_galaxy_s20_fe_gh82-24219e_s_tachskrinom_s_ramkoj_service_pack_original_red_10002371" TargetMode="External"/><Relationship Id="rId_hyperlink_3000" Type="http://schemas.openxmlformats.org/officeDocument/2006/relationships/hyperlink" Target="https://old.ukr-mobil.com/displej_samsung_g780_galaxy_s20_fe_s_tachskrinom_ramkoj_original_blue_10001271" TargetMode="External"/><Relationship Id="rId_hyperlink_3001" Type="http://schemas.openxmlformats.org/officeDocument/2006/relationships/hyperlink" Target="https://old.ukr-mobil.com/displej_samsung_g900_galaxy_s5_super_amoled_s_tachskrinom_white_4628" TargetMode="External"/><Relationship Id="rId_hyperlink_3002" Type="http://schemas.openxmlformats.org/officeDocument/2006/relationships/hyperlink" Target="https://old.ukr-mobil.com/displej_samsung_g920_galaxy_s6_s_tachskrinom_incell_gold_10000613" TargetMode="External"/><Relationship Id="rId_hyperlink_3003" Type="http://schemas.openxmlformats.org/officeDocument/2006/relationships/hyperlink" Target="https://old.ukr-mobil.com/displej_samsung_g925_galaxy_s6_edge_g925f_galaxy_s6_edge_super_amoled_s_tachskrinom_blue_5707" TargetMode="External"/><Relationship Id="rId_hyperlink_3004" Type="http://schemas.openxmlformats.org/officeDocument/2006/relationships/hyperlink" Target="https://old.ukr-mobil.com/displej_samsung_g925_galaxy_s6_edge_g925f_galaxy_s6_edge_super_amoled_s_tachskrinom_white_6213" TargetMode="External"/><Relationship Id="rId_hyperlink_3005" Type="http://schemas.openxmlformats.org/officeDocument/2006/relationships/hyperlink" Target="https://old.ukr-mobil.com/displej_samsung_g930_galaxy_s7_gh97-18523c_service_pack_original_s_tachskrinom_gold_11269" TargetMode="External"/><Relationship Id="rId_hyperlink_3006" Type="http://schemas.openxmlformats.org/officeDocument/2006/relationships/hyperlink" Target="https://old.ukr-mobil.com/displej_samsung_g950_galaxy_s8_gh97-20457a_service_pack_original_s_tachskrinom_s_ramkoj_black_11847" TargetMode="External"/><Relationship Id="rId_hyperlink_3007" Type="http://schemas.openxmlformats.org/officeDocument/2006/relationships/hyperlink" Target="https://old.ukr-mobil.com/displej_samsung_g950_galaxy_s8_gh97-20457a_service_pack_original_s_tachskrinom_s_ramkoj_gold_12289" TargetMode="External"/><Relationship Id="rId_hyperlink_3008" Type="http://schemas.openxmlformats.org/officeDocument/2006/relationships/hyperlink" Target="https://old.ukr-mobil.com/displej_samsung_g950_galaxy_s8_gh97-20457a_service_pack_original_s_tachskrinom_s_ramkoj_violet_12288" TargetMode="External"/><Relationship Id="rId_hyperlink_3009" Type="http://schemas.openxmlformats.org/officeDocument/2006/relationships/hyperlink" Target="https://old.ukr-mobil.com/displej_samsung_g950_galaxy_s8_s_tachskrinom_original_prc_black_8399" TargetMode="External"/><Relationship Id="rId_hyperlink_3010" Type="http://schemas.openxmlformats.org/officeDocument/2006/relationships/hyperlink" Target="https://old.ukr-mobil.com/displej_samsung_g950_galaxy_s8_s_tachskrinom_s_ramkoj_original_prc_black_11852" TargetMode="External"/><Relationship Id="rId_hyperlink_3011" Type="http://schemas.openxmlformats.org/officeDocument/2006/relationships/hyperlink" Target="https://old.ukr-mobil.com/displej_samsung_g955_galaxy_s8_plus_gh97-20470a_s_tachskrinom_s_ramkoj_original_black_11241" TargetMode="External"/><Relationship Id="rId_hyperlink_3012" Type="http://schemas.openxmlformats.org/officeDocument/2006/relationships/hyperlink" Target="https://old.ukr-mobil.com/displej_samsung_g955_galaxy_s8_plus_s_tachskrinom_oled_black_10001644" TargetMode="External"/><Relationship Id="rId_hyperlink_3013" Type="http://schemas.openxmlformats.org/officeDocument/2006/relationships/hyperlink" Target="https://old.ukr-mobil.com/displej_samsung_g955_galaxy_s8_plus_s_tachskrinom_original_prc_black_8400" TargetMode="External"/><Relationship Id="rId_hyperlink_3014" Type="http://schemas.openxmlformats.org/officeDocument/2006/relationships/hyperlink" Target="https://old.ukr-mobil.com/displej_samsung_g955_galaxy_s8_plus_s_tachskrinom_s_ramkoj_original_prc_black_11853" TargetMode="External"/><Relationship Id="rId_hyperlink_3015" Type="http://schemas.openxmlformats.org/officeDocument/2006/relationships/hyperlink" Target="https://old.ukr-mobil.com/displej_samsung_g960_galaxy_s9_gh97-21696a_s_tachskrinom_s_ramkoj_service_pack_original_black_10002260" TargetMode="External"/><Relationship Id="rId_hyperlink_3016" Type="http://schemas.openxmlformats.org/officeDocument/2006/relationships/hyperlink" Target="https://old.ukr-mobil.com/displej_samsung_g960_galaxy_s9_gh97-21696e_s_tachskrinom_s_ramkoj_service_pack_original_gold_10003620" TargetMode="External"/><Relationship Id="rId_hyperlink_3017" Type="http://schemas.openxmlformats.org/officeDocument/2006/relationships/hyperlink" Target="https://old.ukr-mobil.com/displej_samsung_g960_galaxy_s9_s_tachskrinom_original_prc_black_11304" TargetMode="External"/><Relationship Id="rId_hyperlink_3018" Type="http://schemas.openxmlformats.org/officeDocument/2006/relationships/hyperlink" Target="https://old.ukr-mobil.com/displej_samsung_g960_galaxy_s9_s_tachskrinom_ramkoj_original_prc_black_10224" TargetMode="External"/><Relationship Id="rId_hyperlink_3019" Type="http://schemas.openxmlformats.org/officeDocument/2006/relationships/hyperlink" Target="https://old.ukr-mobil.com/displej_samsung_g960_galaxy_s9_s_tachskrinom_ramkoj_original_prc_burgundy_red_10000444" TargetMode="External"/><Relationship Id="rId_hyperlink_3020" Type="http://schemas.openxmlformats.org/officeDocument/2006/relationships/hyperlink" Target="https://old.ukr-mobil.com/displej_samsung_g960_galaxy_s9_s_tachskrinom_ramkoj_original_prc_gold_10000445" TargetMode="External"/><Relationship Id="rId_hyperlink_3021" Type="http://schemas.openxmlformats.org/officeDocument/2006/relationships/hyperlink" Target="https://old.ukr-mobil.com/displej_samsung_g960_galaxy_s9_s_tachskrinom_ramkoj_original_prc_lilac_purple_10000443" TargetMode="External"/><Relationship Id="rId_hyperlink_3022" Type="http://schemas.openxmlformats.org/officeDocument/2006/relationships/hyperlink" Target="https://old.ukr-mobil.com/displej_samsung_g960_galaxy_s9_s_tachskrinom_ramkoj_original_prc_titanium_grey_10000442" TargetMode="External"/><Relationship Id="rId_hyperlink_3023" Type="http://schemas.openxmlformats.org/officeDocument/2006/relationships/hyperlink" Target="https://old.ukr-mobil.com/displej_samsung_g965_galaxy_s9_plus_s_tachskrinom_oled_black_10001645" TargetMode="External"/><Relationship Id="rId_hyperlink_3024" Type="http://schemas.openxmlformats.org/officeDocument/2006/relationships/hyperlink" Target="https://old.ukr-mobil.com/displej_samsung_g965_galaxy_s9_plus_s_tachskrinom_original_prc_black_11965" TargetMode="External"/><Relationship Id="rId_hyperlink_3025" Type="http://schemas.openxmlformats.org/officeDocument/2006/relationships/hyperlink" Target="https://old.ukr-mobil.com/displej_samsung_g965_galaxy_s9_plus_s_tachskrinom_ramkoj_oled_black_10003576" TargetMode="External"/><Relationship Id="rId_hyperlink_3026" Type="http://schemas.openxmlformats.org/officeDocument/2006/relationships/hyperlink" Target="https://old.ukr-mobil.com/displej_samsung_g965_galaxy_s9_plus_s_tachskrinom_ramkoj_oled_blue_10003577" TargetMode="External"/><Relationship Id="rId_hyperlink_3027" Type="http://schemas.openxmlformats.org/officeDocument/2006/relationships/hyperlink" Target="https://old.ukr-mobil.com/displej_samsung_g965_galaxy_s9_plus_s_tachskrinom_ramkoj_oled_grey_10003578" TargetMode="External"/><Relationship Id="rId_hyperlink_3028" Type="http://schemas.openxmlformats.org/officeDocument/2006/relationships/hyperlink" Target="https://old.ukr-mobil.com/displej_samsung_g965_galaxy_s9_plus_s_tachskrinom_ramkoj_original_prc_black_10223" TargetMode="External"/><Relationship Id="rId_hyperlink_3029" Type="http://schemas.openxmlformats.org/officeDocument/2006/relationships/hyperlink" Target="https://old.ukr-mobil.com/displej_samsung_g965_galaxy_s9_plus_s_tachskrinom_ramkoj_original_prc_blue_10002060" TargetMode="External"/><Relationship Id="rId_hyperlink_3030" Type="http://schemas.openxmlformats.org/officeDocument/2006/relationships/hyperlink" Target="https://old.ukr-mobil.com/displej_samsung_g965_galaxy_s9_plus_s_tachskrinom_ramkoj_original_prc_gold_10002062" TargetMode="External"/><Relationship Id="rId_hyperlink_3031" Type="http://schemas.openxmlformats.org/officeDocument/2006/relationships/hyperlink" Target="https://old.ukr-mobil.com/displej_samsung_g965_galaxy_s9_plus_s_tachskrinom_ramkoj_original_prc_grey_10002061" TargetMode="External"/><Relationship Id="rId_hyperlink_3032" Type="http://schemas.openxmlformats.org/officeDocument/2006/relationships/hyperlink" Target="https://old.ukr-mobil.com/displej_samsung_g965_galaxy_s9_plus_s_tachskrinom_ramkoj_original_prc_purple_10002063" TargetMode="External"/><Relationship Id="rId_hyperlink_3033" Type="http://schemas.openxmlformats.org/officeDocument/2006/relationships/hyperlink" Target="https://old.ukr-mobil.com/displej_samsung_g970_galaxy_s10e_super_amoled_s_tachskrinom_s_ramkoj_black_11803" TargetMode="External"/><Relationship Id="rId_hyperlink_3034" Type="http://schemas.openxmlformats.org/officeDocument/2006/relationships/hyperlink" Target="https://old.ukr-mobil.com/displej_samsung_g970_galaxy_s10e_s_tachskrinom_s_ramkoj_original_prc_blue_10002435" TargetMode="External"/><Relationship Id="rId_hyperlink_3035" Type="http://schemas.openxmlformats.org/officeDocument/2006/relationships/hyperlink" Target="https://old.ukr-mobil.com/displej_samsung_g970_galaxy_s10e_s_tachskrinom_s_ramkoj_original_prc_grey_10002064" TargetMode="External"/><Relationship Id="rId_hyperlink_3036" Type="http://schemas.openxmlformats.org/officeDocument/2006/relationships/hyperlink" Target="https://old.ukr-mobil.com/displej_samsung_g973_galaxy_s10_gh82-18850a_s_tachskrinom_s_ramkoj_service_pack_original_black_10002265" TargetMode="External"/><Relationship Id="rId_hyperlink_3037" Type="http://schemas.openxmlformats.org/officeDocument/2006/relationships/hyperlink" Target="https://old.ukr-mobil.com/displej_samsung_g973_galaxy_s10_s_tachskrinom_original_prc_black_10001899" TargetMode="External"/><Relationship Id="rId_hyperlink_3038" Type="http://schemas.openxmlformats.org/officeDocument/2006/relationships/hyperlink" Target="https://old.ukr-mobil.com/displej_samsung_g973_galaxy_s10_s_tachskrinom_s_ramkoj_original_prc_black_11802" TargetMode="External"/><Relationship Id="rId_hyperlink_3039" Type="http://schemas.openxmlformats.org/officeDocument/2006/relationships/hyperlink" Target="https://old.ukr-mobil.com/displej_samsung_g973_galaxy_s10_s_tachskrinom_s_ramkoj_original_prc_silver_10001044" TargetMode="External"/><Relationship Id="rId_hyperlink_3040" Type="http://schemas.openxmlformats.org/officeDocument/2006/relationships/hyperlink" Target="https://old.ukr-mobil.com/displej_samsung_g975_galaxy_s10_plus_gh82-18849a_s_tachskrinom_s_ramkoj_original_black_11782" TargetMode="External"/><Relationship Id="rId_hyperlink_3041" Type="http://schemas.openxmlformats.org/officeDocument/2006/relationships/hyperlink" Target="https://old.ukr-mobil.com/displej_samsung_g975_galaxy_s10_plus_s_tachskrinom_original_prc_black_10002073" TargetMode="External"/><Relationship Id="rId_hyperlink_3042" Type="http://schemas.openxmlformats.org/officeDocument/2006/relationships/hyperlink" Target="https://old.ukr-mobil.com/displej_samsung_g975_galaxy_s10_plus_s_tachskrinom_s_ramkoj_original_prc_black_11804" TargetMode="External"/><Relationship Id="rId_hyperlink_3043" Type="http://schemas.openxmlformats.org/officeDocument/2006/relationships/hyperlink" Target="https://old.ukr-mobil.com/displej_samsung_g980_galaxy_s20_cosmic_grey_gh82-22131a_s_tachskrinom_s_ramkoj_service_pack_original_black_10001758" TargetMode="External"/><Relationship Id="rId_hyperlink_3044" Type="http://schemas.openxmlformats.org/officeDocument/2006/relationships/hyperlink" Target="https://old.ukr-mobil.com/displej_samsung_g980_galaxy_s20_gh82-22131c_s_tachskrinom_s_ramkoj_service_pack_original_cloud_pink_10002141" TargetMode="External"/><Relationship Id="rId_hyperlink_3045" Type="http://schemas.openxmlformats.org/officeDocument/2006/relationships/hyperlink" Target="https://old.ukr-mobil.com/displej_samsung_g980_galaxy_s20_s_tachskrinom_original_black_10001309" TargetMode="External"/><Relationship Id="rId_hyperlink_3046" Type="http://schemas.openxmlformats.org/officeDocument/2006/relationships/hyperlink" Target="https://old.ukr-mobil.com/displej_samsung_g980_galaxy_s20_s_tachskrinom_ramkoj_oled_black_10003579" TargetMode="External"/><Relationship Id="rId_hyperlink_3047" Type="http://schemas.openxmlformats.org/officeDocument/2006/relationships/hyperlink" Target="https://old.ukr-mobil.com/displej_samsung_g980_galaxy_s20_s_tachskrinom_ramkoj_oled_blue_10003580" TargetMode="External"/><Relationship Id="rId_hyperlink_3048" Type="http://schemas.openxmlformats.org/officeDocument/2006/relationships/hyperlink" Target="https://old.ukr-mobil.com/displej_samsung_g980_galaxy_s20_s_tachskrinom_ramkoj_oled_pink_10003581" TargetMode="External"/><Relationship Id="rId_hyperlink_3049" Type="http://schemas.openxmlformats.org/officeDocument/2006/relationships/hyperlink" Target="https://old.ukr-mobil.com/displej_samsung_g980_galaxy_s20_s_tachskrinom_ramkoj_original_black_10000600" TargetMode="External"/><Relationship Id="rId_hyperlink_3050" Type="http://schemas.openxmlformats.org/officeDocument/2006/relationships/hyperlink" Target="https://old.ukr-mobil.com/displej_samsung_g980_g981_galaxy_s20_gh82-22123d_s_tachskrinom_s_ramkoj_service_pack_original_cloud_blue_10002144" TargetMode="External"/><Relationship Id="rId_hyperlink_3051" Type="http://schemas.openxmlformats.org/officeDocument/2006/relationships/hyperlink" Target="https://old.ukr-mobil.com/displej_samsung_g985_galaxy_s20_plus_gh82-22134a_s_tachskrinom_s_ramkoj_service_pack_original_black_10001759" TargetMode="External"/><Relationship Id="rId_hyperlink_3052" Type="http://schemas.openxmlformats.org/officeDocument/2006/relationships/hyperlink" Target="https://old.ukr-mobil.com/displej_samsung_g985_galaxy_s20_plus_gh82-22134e_s_tachskrinom_s_ramkoj_service_pack_original_grey_10003697" TargetMode="External"/><Relationship Id="rId_hyperlink_3053" Type="http://schemas.openxmlformats.org/officeDocument/2006/relationships/hyperlink" Target="https://old.ukr-mobil.com/displej_samsung_g985_galaxy_s20_plus_s_tachskrinom_original_prc_black_10001769" TargetMode="External"/><Relationship Id="rId_hyperlink_3054" Type="http://schemas.openxmlformats.org/officeDocument/2006/relationships/hyperlink" Target="https://old.ukr-mobil.com/displej_samsung_g985_galaxy_s20_plus_s_tachskrinom_ramkoj_oled_black_10003582" TargetMode="External"/><Relationship Id="rId_hyperlink_3055" Type="http://schemas.openxmlformats.org/officeDocument/2006/relationships/hyperlink" Target="https://old.ukr-mobil.com/displej_samsung_g985_galaxy_s20_plus_s_tachskrinom_ramkoj_oled_blue_10003583" TargetMode="External"/><Relationship Id="rId_hyperlink_3056" Type="http://schemas.openxmlformats.org/officeDocument/2006/relationships/hyperlink" Target="https://old.ukr-mobil.com/displej_samsung_g985_galaxy_s20_plus_s_tachskrinom_ramkoj_original_black_10000601" TargetMode="External"/><Relationship Id="rId_hyperlink_3057" Type="http://schemas.openxmlformats.org/officeDocument/2006/relationships/hyperlink" Target="https://old.ukr-mobil.com/displej_samsung_g988_galaxy_s20_ultra_cosmic_black_gh82-22271a_s_tachskrinom_s_ramkoj_service_pack_original_black_10002980" TargetMode="External"/><Relationship Id="rId_hyperlink_3058" Type="http://schemas.openxmlformats.org/officeDocument/2006/relationships/hyperlink" Target="https://old.ukr-mobil.com/displej_samsung_g988_galaxy_s20_ultra_cosmic_grey_gh82-22327b_s_tachskrinom_s_ramkoj_service_pack_original_grey_10002979" TargetMode="External"/><Relationship Id="rId_hyperlink_3059" Type="http://schemas.openxmlformats.org/officeDocument/2006/relationships/hyperlink" Target="https://old.ukr-mobil.com/displej_samsung_g988_galaxy_s20_ultra_s_tachskrinom_ramkoj_oled_black_10003584" TargetMode="External"/><Relationship Id="rId_hyperlink_3060" Type="http://schemas.openxmlformats.org/officeDocument/2006/relationships/hyperlink" Target="https://old.ukr-mobil.com/displej_samsung_g988_galaxy_s20_ultra_s_tachskrinom_ramkoj_original_black_10000605" TargetMode="External"/><Relationship Id="rId_hyperlink_3061" Type="http://schemas.openxmlformats.org/officeDocument/2006/relationships/hyperlink" Target="https://old.ukr-mobil.com/displej_samsung_g991_galaxy_s21_gh82-24544a_s_tachskrinom_s_ramkoj_service_pack_original_phantom_grey_10002151" TargetMode="External"/><Relationship Id="rId_hyperlink_3062" Type="http://schemas.openxmlformats.org/officeDocument/2006/relationships/hyperlink" Target="https://old.ukr-mobil.com/displej_samsung_g991_galaxy_s21_gh82-24716a_s_tachskrinom_s_ramkoj_service_pack_original_violet_10002192" TargetMode="External"/><Relationship Id="rId_hyperlink_3063" Type="http://schemas.openxmlformats.org/officeDocument/2006/relationships/hyperlink" Target="https://old.ukr-mobil.com/displej_samsung_g991_galaxy_s21_s_tachskrinom_ramkoj_akkumulyatorom_original_phantom_grey_10001492" TargetMode="External"/><Relationship Id="rId_hyperlink_3064" Type="http://schemas.openxmlformats.org/officeDocument/2006/relationships/hyperlink" Target="https://old.ukr-mobil.com/displej_samsung_g996_galaxy_s21_plus_gh82-24553b_s_tachskrinom_s_ramkoj_service_pack_original_phantom_violet_10002152" TargetMode="External"/><Relationship Id="rId_hyperlink_3065" Type="http://schemas.openxmlformats.org/officeDocument/2006/relationships/hyperlink" Target="https://old.ukr-mobil.com/displej_samsung_g996_galaxy_s21_plus_gh82-27267c_s_tachskrinom_s_ramkoj_service_pack_original_silver_10003098" TargetMode="External"/><Relationship Id="rId_hyperlink_3066" Type="http://schemas.openxmlformats.org/officeDocument/2006/relationships/hyperlink" Target="https://old.ukr-mobil.com/displej_samsung_g996_galaxy_s21_plus_gh82-27268a_s_tachskrinom_s_ramkoj_service_pack_original_black_10003709" TargetMode="External"/><Relationship Id="rId_hyperlink_3067" Type="http://schemas.openxmlformats.org/officeDocument/2006/relationships/hyperlink" Target="https://old.ukr-mobil.com/displej_samsung_g996_galaxy_s21_plus_s_tachskrinom_ramkoj_akkumulyatorom_original_phantom_black_10001493" TargetMode="External"/><Relationship Id="rId_hyperlink_3068" Type="http://schemas.openxmlformats.org/officeDocument/2006/relationships/hyperlink" Target="https://old.ukr-mobil.com/displej_samsung_g998_galaxy_s21_ultra_gh82-24925a_s_tachskrinom_s_ramkoj_service_pack_original_phantom_black_10003142" TargetMode="External"/><Relationship Id="rId_hyperlink_3069" Type="http://schemas.openxmlformats.org/officeDocument/2006/relationships/hyperlink" Target="https://old.ukr-mobil.com/displej_samsung_g998_galaxy_s21_ultra_gh82-24925b_s_tachskrinom_s_ramkoj_service_pack_original_silver_10002223" TargetMode="External"/><Relationship Id="rId_hyperlink_3070" Type="http://schemas.openxmlformats.org/officeDocument/2006/relationships/hyperlink" Target="https://old.ukr-mobil.com/displej_samsung_g998_galaxy_s21_ultra_s_tachskrinom_original_phantom_black_10002976" TargetMode="External"/><Relationship Id="rId_hyperlink_3071" Type="http://schemas.openxmlformats.org/officeDocument/2006/relationships/hyperlink" Target="https://old.ukr-mobil.com/displej_samsung_g998_galaxy_s21_ultra_s_tachskrinom_ramkoj_akkumulyatorom_original_phantom_black_10001494" TargetMode="External"/><Relationship Id="rId_hyperlink_3072" Type="http://schemas.openxmlformats.org/officeDocument/2006/relationships/hyperlink" Target="https://old.ukr-mobil.com/displej_samsung_i9500_galaxy_s4_super_amoled_s_tachskrinom_blue_4268" TargetMode="External"/><Relationship Id="rId_hyperlink_3073" Type="http://schemas.openxmlformats.org/officeDocument/2006/relationships/hyperlink" Target="https://old.ukr-mobil.com/displej_samsung_i9500_galaxy_s4_super_amoled_s_tachskrinom_white_3948" TargetMode="External"/><Relationship Id="rId_hyperlink_3074" Type="http://schemas.openxmlformats.org/officeDocument/2006/relationships/hyperlink" Target="https://old.ukr-mobil.com/displej_samsung_j120_galaxy_j1_2016_s_tachskrinom_tft_s_reguliruemoj_podsvetkoj_gold_10928" TargetMode="External"/><Relationship Id="rId_hyperlink_3075" Type="http://schemas.openxmlformats.org/officeDocument/2006/relationships/hyperlink" Target="https://old.ukr-mobil.com/displej_samsung_j200_j200h_galaxy_j2_duos_tft_podsvetka_original_s_tachskrinom_white_8869" TargetMode="External"/><Relationship Id="rId_hyperlink_3076" Type="http://schemas.openxmlformats.org/officeDocument/2006/relationships/hyperlink" Target="https://old.ukr-mobil.com/displej_samsung_j210_galaxy_j2_duos_2016_tft_s_tachskrinom_white_7377" TargetMode="External"/><Relationship Id="rId_hyperlink_3077" Type="http://schemas.openxmlformats.org/officeDocument/2006/relationships/hyperlink" Target="https://old.ukr-mobil.com/displej_samsung_j210_galaxy_j2_duos_2016_tft_s_tachskrinom_gold_7378" TargetMode="External"/><Relationship Id="rId_hyperlink_3078" Type="http://schemas.openxmlformats.org/officeDocument/2006/relationships/hyperlink" Target="https://old.ukr-mobil.com/displej_samsung_j250_galaxy_j2_2018_s_tachskrinom_oled_black_10124" TargetMode="External"/><Relationship Id="rId_hyperlink_3079" Type="http://schemas.openxmlformats.org/officeDocument/2006/relationships/hyperlink" Target="https://old.ukr-mobil.com/displej_samsung_j250_galaxy_j2_2018_s_tachskrinom_oled_blue_10196" TargetMode="External"/><Relationship Id="rId_hyperlink_3080" Type="http://schemas.openxmlformats.org/officeDocument/2006/relationships/hyperlink" Target="https://old.ukr-mobil.com/displej_samsung_j250_galaxy_j2_2018_s_tachskrinom_oled_gold_10125" TargetMode="External"/><Relationship Id="rId_hyperlink_3081" Type="http://schemas.openxmlformats.org/officeDocument/2006/relationships/hyperlink" Target="https://old.ukr-mobil.com/displej_samsung_j250_galaxy_j2_2018_s_tachskrinom_tft_s_reguliruemoj_podsvetkoj_black_10765" TargetMode="External"/><Relationship Id="rId_hyperlink_3082" Type="http://schemas.openxmlformats.org/officeDocument/2006/relationships/hyperlink" Target="https://old.ukr-mobil.com/displej_samsung_j250_galaxy_j2_2018_s_tachskrinom_tft_s_reguliruemoj_podsvetkoj_gold_10766" TargetMode="External"/><Relationship Id="rId_hyperlink_3083" Type="http://schemas.openxmlformats.org/officeDocument/2006/relationships/hyperlink" Target="https://old.ukr-mobil.com/displej_samsung_j250_galaxy_j2_2018_s_tachskrinom_tft_s_reguliruemoj_podsvetkoj_white_10000430" TargetMode="External"/><Relationship Id="rId_hyperlink_3084" Type="http://schemas.openxmlformats.org/officeDocument/2006/relationships/hyperlink" Target="https://old.ukr-mobil.com/displej_samsung_j250_galaxy_j2_2018_gh97-21339a_service_pack_original_s_tachskrinom_black_11184" TargetMode="External"/><Relationship Id="rId_hyperlink_3085" Type="http://schemas.openxmlformats.org/officeDocument/2006/relationships/hyperlink" Target="https://old.ukr-mobil.com/displej_samsung_j250_galaxy_j2_2018_gh97-21339b_service_pack_original_s_tachskrinom_blue_11185" TargetMode="External"/><Relationship Id="rId_hyperlink_3086" Type="http://schemas.openxmlformats.org/officeDocument/2006/relationships/hyperlink" Target="https://old.ukr-mobil.com/displej_samsung_j250_galaxy_j2_2018_gh97-21339c_service_pack_original_s_tachskrinom_pink_11742" TargetMode="External"/><Relationship Id="rId_hyperlink_3087" Type="http://schemas.openxmlformats.org/officeDocument/2006/relationships/hyperlink" Target="https://old.ukr-mobil.com/displej_samsung_j250_galaxy_j2_2018_gh97-21339d_service_pack_original_s_tachskrinom_gold_11385" TargetMode="External"/><Relationship Id="rId_hyperlink_3088" Type="http://schemas.openxmlformats.org/officeDocument/2006/relationships/hyperlink" Target="https://old.ukr-mobil.com/displej_samsung_j320_galaxy_j3_2016_s_tachskrinom_incell_gold_10001060" TargetMode="External"/><Relationship Id="rId_hyperlink_3089" Type="http://schemas.openxmlformats.org/officeDocument/2006/relationships/hyperlink" Target="https://old.ukr-mobil.com/displej_samsung_j320_galaxy_j3_2016_s_tachskrinom_oled_black_8032" TargetMode="External"/><Relationship Id="rId_hyperlink_3090" Type="http://schemas.openxmlformats.org/officeDocument/2006/relationships/hyperlink" Target="https://old.ukr-mobil.com/displej_samsung_j320_galaxy_j3_2016_s_tachskrinom_tft_s_reguliruemoj_podsvetkoj_black_8860" TargetMode="External"/><Relationship Id="rId_hyperlink_3091" Type="http://schemas.openxmlformats.org/officeDocument/2006/relationships/hyperlink" Target="https://old.ukr-mobil.com/displej_samsung_j320_galaxy_j3_2016_s_tachskrinom_tft_s_reguliruemoj_podsvetkoj_gold_8862" TargetMode="External"/><Relationship Id="rId_hyperlink_3092" Type="http://schemas.openxmlformats.org/officeDocument/2006/relationships/hyperlink" Target="https://old.ukr-mobil.com/displej_samsung_j320_galaxy_j3_2016_s_tachskrinom_tft_s_reguliruemoj_podsvetkoj_white_8861" TargetMode="External"/><Relationship Id="rId_hyperlink_3093" Type="http://schemas.openxmlformats.org/officeDocument/2006/relationships/hyperlink" Target="https://old.ukr-mobil.com/index.php?route=product&amp;product_id=10004731" TargetMode="External"/><Relationship Id="rId_hyperlink_3094" Type="http://schemas.openxmlformats.org/officeDocument/2006/relationships/hyperlink" Target="https://old.ukr-mobil.com/displej_samsung_j330_galaxy_j3_2017_gh96-10992a_s_tachskrinom_service_pack_silver_10002262" TargetMode="External"/><Relationship Id="rId_hyperlink_3095" Type="http://schemas.openxmlformats.org/officeDocument/2006/relationships/hyperlink" Target="https://old.ukr-mobil.com/displej_samsung_j330_galaxy_j3_2017_s_tachskrinom_original_prc_black_9249" TargetMode="External"/><Relationship Id="rId_hyperlink_3096" Type="http://schemas.openxmlformats.org/officeDocument/2006/relationships/hyperlink" Target="https://old.ukr-mobil.com/displej_samsung_j330_galaxy_j3_2017_s_tachskrinom_original_prc_blue_9251" TargetMode="External"/><Relationship Id="rId_hyperlink_3097" Type="http://schemas.openxmlformats.org/officeDocument/2006/relationships/hyperlink" Target="https://old.ukr-mobil.com/displej_samsung_j330_galaxy_j3_2017_s_tachskrinom_original_prc_gold_9250" TargetMode="External"/><Relationship Id="rId_hyperlink_3098" Type="http://schemas.openxmlformats.org/officeDocument/2006/relationships/hyperlink" Target="https://old.ukr-mobil.com/displej_samsung_j400_galaxy_j4_2018_s_tachskrinom_oled_black_10985" TargetMode="External"/><Relationship Id="rId_hyperlink_3099" Type="http://schemas.openxmlformats.org/officeDocument/2006/relationships/hyperlink" Target="https://old.ukr-mobil.com/displej_samsung_j400_galaxy_j4_2018_s_tachskrinom_oled_gold_10457" TargetMode="External"/><Relationship Id="rId_hyperlink_3100" Type="http://schemas.openxmlformats.org/officeDocument/2006/relationships/hyperlink" Target="https://old.ukr-mobil.com/displej_samsung_j400_galaxy_j4_2018_s_tachskrinom_oled_silver_lavenda_10456" TargetMode="External"/><Relationship Id="rId_hyperlink_3101" Type="http://schemas.openxmlformats.org/officeDocument/2006/relationships/hyperlink" Target="https://old.ukr-mobil.com/displej_samsung_j400_galaxy_j4_2018_s_tachskrinom_tft_s_reguliruemoj_podsvetkoj_blue_11146" TargetMode="External"/><Relationship Id="rId_hyperlink_3102" Type="http://schemas.openxmlformats.org/officeDocument/2006/relationships/hyperlink" Target="https://old.ukr-mobil.com/displej_samsung_j400_galaxy_j4_2018_s_tachskrinom_tft_s_reguliruemoj_podsvetkoj_gold_11145" TargetMode="External"/><Relationship Id="rId_hyperlink_3103" Type="http://schemas.openxmlformats.org/officeDocument/2006/relationships/hyperlink" Target="https://old.ukr-mobil.com/displej_samsung_j400_galaxy_j4_2018_gh97-21915a_service_pack_original_s_tachskrinom_black_11186" TargetMode="External"/><Relationship Id="rId_hyperlink_3104" Type="http://schemas.openxmlformats.org/officeDocument/2006/relationships/hyperlink" Target="https://old.ukr-mobil.com/displej_samsung_j400_galaxy_j4_2018_gh97-21915b_service_pack_original_s_tachskrinom_gold_12305" TargetMode="External"/><Relationship Id="rId_hyperlink_3105" Type="http://schemas.openxmlformats.org/officeDocument/2006/relationships/hyperlink" Target="https://old.ukr-mobil.com/displej_samsung_j400_galaxy_j4_2018_gh97-21915c_service_pack_original_s_tachskrinom_siver_lavenda_11770" TargetMode="External"/><Relationship Id="rId_hyperlink_3106" Type="http://schemas.openxmlformats.org/officeDocument/2006/relationships/hyperlink" Target="https://old.ukr-mobil.com/displej_samsung_j415_galaxy_j4_plus_2018_gh97-22582a_service_pack_original_s_tachskrinom_black_10000334" TargetMode="External"/><Relationship Id="rId_hyperlink_3107" Type="http://schemas.openxmlformats.org/officeDocument/2006/relationships/hyperlink" Target="https://old.ukr-mobil.com/displej_samsung_j510_galaxy_j5_2016_s_tachskrinom_oled_gold_6394" TargetMode="External"/><Relationship Id="rId_hyperlink_3108" Type="http://schemas.openxmlformats.org/officeDocument/2006/relationships/hyperlink" Target="https://old.ukr-mobil.com/displej_samsung_j510_galaxy_j5_2016_s_tachskrinom_tft_s_reguliruemoj_podsvetkoj_black_10768" TargetMode="External"/><Relationship Id="rId_hyperlink_3109" Type="http://schemas.openxmlformats.org/officeDocument/2006/relationships/hyperlink" Target="https://old.ukr-mobil.com/displej_samsung_j510_galaxy_j5_2016_s_tachskrinom_tft_s_reguliruemoj_podsvetkoj_gold_10769" TargetMode="External"/><Relationship Id="rId_hyperlink_3110" Type="http://schemas.openxmlformats.org/officeDocument/2006/relationships/hyperlink" Target="https://old.ukr-mobil.com/displej_samsung_j510_galaxy_j5_2016_s_tachskrinom_tft_s_reguliruemoj_podsvetkoj_white_10770" TargetMode="External"/><Relationship Id="rId_hyperlink_3111" Type="http://schemas.openxmlformats.org/officeDocument/2006/relationships/hyperlink" Target="https://old.ukr-mobil.com/displej_samsung_j610_galaxy_j6_plus_2018_j415_galaxy_j4_plus_2018_gh97-22582a_s_tachskrinom_original_black_10000564" TargetMode="External"/><Relationship Id="rId_hyperlink_3112" Type="http://schemas.openxmlformats.org/officeDocument/2006/relationships/hyperlink" Target="https://old.ukr-mobil.com/displej_samsung_j610_galaxy_j6_plus_2018_j415_galaxy_j4_plus_2018_s_tachskrinom_original_prc_black_11197" TargetMode="External"/><Relationship Id="rId_hyperlink_3113" Type="http://schemas.openxmlformats.org/officeDocument/2006/relationships/hyperlink" Target="https://old.ukr-mobil.com/displej_samsung_j700_galaxy_j7_s_tachskrinom_oled_gold_8351" TargetMode="External"/><Relationship Id="rId_hyperlink_3114" Type="http://schemas.openxmlformats.org/officeDocument/2006/relationships/hyperlink" Target="https://old.ukr-mobil.com/displej_samsung_j700_galaxy_j7_s_tachskrinom_tft_s_reguliruemoj_podsvetkoj_white_10773" TargetMode="External"/><Relationship Id="rId_hyperlink_3115" Type="http://schemas.openxmlformats.org/officeDocument/2006/relationships/hyperlink" Target="https://old.ukr-mobil.com/displej_samsung_j701_galaxy_j7_neo_gh97-20904a_s_tachskrinom_original_black_11242" TargetMode="External"/><Relationship Id="rId_hyperlink_3116" Type="http://schemas.openxmlformats.org/officeDocument/2006/relationships/hyperlink" Target="https://old.ukr-mobil.com/displej_samsung_j701_galaxy_j7_neo_gh97-20904a_s_tachskrinom_original_blue_11244" TargetMode="External"/><Relationship Id="rId_hyperlink_3117" Type="http://schemas.openxmlformats.org/officeDocument/2006/relationships/hyperlink" Target="https://old.ukr-mobil.com/displej_samsung_j701_galaxy_j7_neo_gh97-20904a_s_tachskrinom_original_gold_10000369" TargetMode="External"/><Relationship Id="rId_hyperlink_3118" Type="http://schemas.openxmlformats.org/officeDocument/2006/relationships/hyperlink" Target="https://old.ukr-mobil.com/displej_samsung_j701_galaxy_j7_neo_s_tachskrinom_oled_gold_11042" TargetMode="External"/><Relationship Id="rId_hyperlink_3119" Type="http://schemas.openxmlformats.org/officeDocument/2006/relationships/hyperlink" Target="https://old.ukr-mobil.com/displej_samsung_j701_galaxy_j7_neo_s_tachskrinom_oled_white_10178" TargetMode="External"/><Relationship Id="rId_hyperlink_3120" Type="http://schemas.openxmlformats.org/officeDocument/2006/relationships/hyperlink" Target="https://old.ukr-mobil.com/displej_samsung_j710f_galaxy_j7_j710h_galaxy_j7_2016_tft_podsvetka_original_s_tachskrinom_white_10779" TargetMode="External"/><Relationship Id="rId_hyperlink_3121" Type="http://schemas.openxmlformats.org/officeDocument/2006/relationships/hyperlink" Target="https://old.ukr-mobil.com/displej_samsung_j730_galaxy_j7_2017_tft_podsvetka_original_s_tachskrinom_gold_10781" TargetMode="External"/><Relationship Id="rId_hyperlink_3122" Type="http://schemas.openxmlformats.org/officeDocument/2006/relationships/hyperlink" Target="https://old.ukr-mobil.com/displej_samsung_j730_galaxy_j7_2017_s_tachskrinom_incell_blue_10000660" TargetMode="External"/><Relationship Id="rId_hyperlink_3123" Type="http://schemas.openxmlformats.org/officeDocument/2006/relationships/hyperlink" Target="https://old.ukr-mobil.com/displej_samsung_j730_galaxy_j7_2017_s_tachskrinom_oled_blue_9049" TargetMode="External"/><Relationship Id="rId_hyperlink_3124" Type="http://schemas.openxmlformats.org/officeDocument/2006/relationships/hyperlink" Target="https://old.ukr-mobil.com/displej_samsung_j810_galaxy_j8_2018_gh97-22145a_service_pack_original_s_tachskrinom_black_12352" TargetMode="External"/><Relationship Id="rId_hyperlink_3125" Type="http://schemas.openxmlformats.org/officeDocument/2006/relationships/hyperlink" Target="https://old.ukr-mobil.com/displej_samsung_j810_galaxy_j8_2018_tft_podsvetka_original_s_tachskrinom_gold_11757" TargetMode="External"/><Relationship Id="rId_hyperlink_3126" Type="http://schemas.openxmlformats.org/officeDocument/2006/relationships/hyperlink" Target="https://old.ukr-mobil.com/displej_samsung_m025_galaxy_m02s_gh82-20118a_visota_163_mm_s_tachskrinom_service_pack_original_10002557" TargetMode="External"/><Relationship Id="rId_hyperlink_3127" Type="http://schemas.openxmlformats.org/officeDocument/2006/relationships/hyperlink" Target="https://old.ukr-mobil.com/displej_samsung_m115_galaxy_m11_2020_gh81-18736a_s_tachskrinom_ramkoj_original_10001190" TargetMode="External"/><Relationship Id="rId_hyperlink_3128" Type="http://schemas.openxmlformats.org/officeDocument/2006/relationships/hyperlink" Target="https://old.ukr-mobil.com/displej_samsung_m127_galaxy_m12_rev_m127f_v0_1_s_tachskrinom_s_ramkoj_original_prc_10002478" TargetMode="External"/><Relationship Id="rId_hyperlink_3129" Type="http://schemas.openxmlformats.org/officeDocument/2006/relationships/hyperlink" Target="https://old.ukr-mobil.com/displej_samsung_m127_galaxy_m12_gh82-25042a_s_tachskrinom_s_ramkoj_service_pack_original_black_10002427" TargetMode="External"/><Relationship Id="rId_hyperlink_3130" Type="http://schemas.openxmlformats.org/officeDocument/2006/relationships/hyperlink" Target="https://old.ukr-mobil.com/displej_samsung_m127_galaxy_m12_gh82-25042a_s_tachskrinom_service_pack_original_black_10002183" TargetMode="External"/><Relationship Id="rId_hyperlink_3131" Type="http://schemas.openxmlformats.org/officeDocument/2006/relationships/hyperlink" Target="https://old.ukr-mobil.com/displej_samsung_m135_galaxy_m13_gh82-29132a_rev_a13_lte_s_tachskrinom_s_ramkoj_service_pack_original_black_10003282" TargetMode="External"/><Relationship Id="rId_hyperlink_3132" Type="http://schemas.openxmlformats.org/officeDocument/2006/relationships/hyperlink" Target="https://old.ukr-mobil.com/displej_samsung_m146_galaxy_m14_5g_gh97-78919a_konnektor_48_pins_s_tachskrinom_service_pack_original_black_10004504" TargetMode="External"/><Relationship Id="rId_hyperlink_3133" Type="http://schemas.openxmlformats.org/officeDocument/2006/relationships/hyperlink" Target="https://old.ukr-mobil.com/displej_samsung_m146_galaxy_m14_gh82-29132a_konnektor_40_pins_s_tachskrinom_service_pack_original_black_10003292" TargetMode="External"/><Relationship Id="rId_hyperlink_3134" Type="http://schemas.openxmlformats.org/officeDocument/2006/relationships/hyperlink" Target="https://old.ukr-mobil.com/displej_samsung_m205_galaxy_m20_gh82-18682a_s_tachskrinom_service_pack_original_black_10001966" TargetMode="External"/><Relationship Id="rId_hyperlink_3135" Type="http://schemas.openxmlformats.org/officeDocument/2006/relationships/hyperlink" Target="https://old.ukr-mobil.com/displej_samsung_m205_galaxy_m20_gh82-18682a_s_tachskrinom_s_ramkoj_service_pack_original_black_10001970" TargetMode="External"/><Relationship Id="rId_hyperlink_3136" Type="http://schemas.openxmlformats.org/officeDocument/2006/relationships/hyperlink" Target="https://old.ukr-mobil.com/displej_samsung_m205_galaxy_m20_s_tachskrinom_original_prc_black_11462" TargetMode="External"/><Relationship Id="rId_hyperlink_3137" Type="http://schemas.openxmlformats.org/officeDocument/2006/relationships/hyperlink" Target="https://old.ukr-mobil.com/displej_samsung_m215_galaxy_m21_s_tachskrinom_incell_black_10000799" TargetMode="External"/><Relationship Id="rId_hyperlink_3138" Type="http://schemas.openxmlformats.org/officeDocument/2006/relationships/hyperlink" Target="https://old.ukr-mobil.com/displej_samsung_m307_galaxy_m30s_s_tachskrinom_oled_black_10000609" TargetMode="External"/><Relationship Id="rId_hyperlink_3139" Type="http://schemas.openxmlformats.org/officeDocument/2006/relationships/hyperlink" Target="https://old.ukr-mobil.com/displej_samsung_m225_galaxy_m22_gh82-26866a_s_tachskrinom_s_ramkoj_service_pack_original_10002391" TargetMode="External"/><Relationship Id="rId_hyperlink_3140" Type="http://schemas.openxmlformats.org/officeDocument/2006/relationships/hyperlink" Target="https://old.ukr-mobil.com/displej_samsung_m225_galaxy_m22_s_tachskrinom_s_ramkoj_oled_black_10002079" TargetMode="External"/><Relationship Id="rId_hyperlink_3141" Type="http://schemas.openxmlformats.org/officeDocument/2006/relationships/hyperlink" Target="https://old.ukr-mobil.com/displej_samsung_m236_galaxy_m23_m336_galaxy_m33_gh82-28487a_s_tachskrinom_s_ramkoj_service_pack_original_10004318" TargetMode="External"/><Relationship Id="rId_hyperlink_3142" Type="http://schemas.openxmlformats.org/officeDocument/2006/relationships/hyperlink" Target="https://old.ukr-mobil.com/index.php?route=product&amp;product_id=10004568" TargetMode="External"/><Relationship Id="rId_hyperlink_3143" Type="http://schemas.openxmlformats.org/officeDocument/2006/relationships/hyperlink" Target="https://old.ukr-mobil.com/displej_samsung_m307_galaxy_m30s_gh82-21265a_s_tachskrinom_ramkoj_service_pack_original_black_10000441" TargetMode="External"/><Relationship Id="rId_hyperlink_3144" Type="http://schemas.openxmlformats.org/officeDocument/2006/relationships/hyperlink" Target="https://old.ukr-mobil.com/displej_samsung_m315_galaxy_m31_gh82-22405a_s_tachskrinom_ramkoj_service_pack_original_black_10001089" TargetMode="External"/><Relationship Id="rId_hyperlink_3145" Type="http://schemas.openxmlformats.org/officeDocument/2006/relationships/hyperlink" Target="https://old.ukr-mobil.com/displej_samsung_m317_galaxy_m31s_gh81-13736a_s_tachskrinom_ramkoj_original_black_10001189" TargetMode="External"/><Relationship Id="rId_hyperlink_3146" Type="http://schemas.openxmlformats.org/officeDocument/2006/relationships/hyperlink" Target="https://old.ukr-mobil.com/displej_samsung_m325_galaxy_m32_gh82-26193a_s_tachskrinom_ramkoj_service_pack_original_black_10002184" TargetMode="External"/><Relationship Id="rId_hyperlink_3147" Type="http://schemas.openxmlformats.org/officeDocument/2006/relationships/hyperlink" Target="https://old.ukr-mobil.com/displej_samsung_m325_galaxy_m32_s_tachskrinom_s_ramkoj_oled_black_10002562" TargetMode="External"/><Relationship Id="rId_hyperlink_3148" Type="http://schemas.openxmlformats.org/officeDocument/2006/relationships/hyperlink" Target="https://old.ukr-mobil.com/index.php?route=product&amp;product_id=10004570" TargetMode="External"/><Relationship Id="rId_hyperlink_3149" Type="http://schemas.openxmlformats.org/officeDocument/2006/relationships/hyperlink" Target="https://old.ukr-mobil.com/displej_samsung_m515_galaxy_m51_2020_gh82-23568a_s_tachskrinom_s_ramkoj_service_pack_original_black_10001116" TargetMode="External"/><Relationship Id="rId_hyperlink_3150" Type="http://schemas.openxmlformats.org/officeDocument/2006/relationships/hyperlink" Target="https://old.ukr-mobil.com/displej_samsung_m515_galaxy_m51_s_tachskrinom_incell_black_10001305" TargetMode="External"/><Relationship Id="rId_hyperlink_3151" Type="http://schemas.openxmlformats.org/officeDocument/2006/relationships/hyperlink" Target="https://old.ukr-mobil.com/displej_samsung_m515_galaxy_m51_s_tachskrinom_oled_small_lcd_black_10002339" TargetMode="External"/><Relationship Id="rId_hyperlink_3152" Type="http://schemas.openxmlformats.org/officeDocument/2006/relationships/hyperlink" Target="https://old.ukr-mobil.com/displej_samsung_n7000_i9220_s_tachskrinom_s_ramkoj_white_3962" TargetMode="External"/><Relationship Id="rId_hyperlink_3153" Type="http://schemas.openxmlformats.org/officeDocument/2006/relationships/hyperlink" Target="https://old.ukr-mobil.com/displej_samsung_n770_galaxy_note_10_lite_s_tachskrinom_ramkoj_gh82-22192a_service_pack_original_black_10002005" TargetMode="External"/><Relationship Id="rId_hyperlink_3154" Type="http://schemas.openxmlformats.org/officeDocument/2006/relationships/hyperlink" Target="https://old.ukr-mobil.com/displej_samsung_n770_galaxy_note_10_lite_s_tachskrinom_ramkoj_gh82-22192b_service_pack_original_silver_10003244" TargetMode="External"/><Relationship Id="rId_hyperlink_3155" Type="http://schemas.openxmlformats.org/officeDocument/2006/relationships/hyperlink" Target="https://old.ukr-mobil.com/displej_samsung_n950_galaxy_note_8_s_tachskrinom_ramkoj_gh97-21066a_original_black_11800" TargetMode="External"/><Relationship Id="rId_hyperlink_3156" Type="http://schemas.openxmlformats.org/officeDocument/2006/relationships/hyperlink" Target="https://old.ukr-mobil.com/displej_samsung_n950_galaxy_note_8_s_tachskrinom_ramkoj_original_prc_black_9906" TargetMode="External"/><Relationship Id="rId_hyperlink_3157" Type="http://schemas.openxmlformats.org/officeDocument/2006/relationships/hyperlink" Target="https://old.ukr-mobil.com/displej_samsung_n950_galaxy_note_8_s_tachskrinom_ramkoj_original_prc_blue_10000468" TargetMode="External"/><Relationship Id="rId_hyperlink_3158" Type="http://schemas.openxmlformats.org/officeDocument/2006/relationships/hyperlink" Target="https://old.ukr-mobil.com/displej_samsung_n950_galaxy_note_8_s_tachskrinom_ramkoj_original_prc_gold_10000469" TargetMode="External"/><Relationship Id="rId_hyperlink_3159" Type="http://schemas.openxmlformats.org/officeDocument/2006/relationships/hyperlink" Target="https://old.ukr-mobil.com/displej_samsung_n950_galaxy_note_8_s_tachskrinom_ramkoj_original_prc_purple_10000470" TargetMode="External"/><Relationship Id="rId_hyperlink_3160" Type="http://schemas.openxmlformats.org/officeDocument/2006/relationships/hyperlink" Target="https://old.ukr-mobil.com/displej_samsung_n960_galaxy_note_9_original_s_tachskrinom_ramkoj_black_11153" TargetMode="External"/><Relationship Id="rId_hyperlink_3161" Type="http://schemas.openxmlformats.org/officeDocument/2006/relationships/hyperlink" Target="https://old.ukr-mobil.com/displej_samsung_n960_galaxy_note_9_original_s_tachskrinom_ramkoj_blue_10000465" TargetMode="External"/><Relationship Id="rId_hyperlink_3162" Type="http://schemas.openxmlformats.org/officeDocument/2006/relationships/hyperlink" Target="https://old.ukr-mobil.com/displej_samsung_n960_galaxy_note_9_original_s_tachskrinom_ramkoj_copper_gold_10000467" TargetMode="External"/><Relationship Id="rId_hyperlink_3163" Type="http://schemas.openxmlformats.org/officeDocument/2006/relationships/hyperlink" Target="https://old.ukr-mobil.com/displej_samsung_n960_galaxy_note_9_original_s_tachskrinom_ramkoj_purple_10000466" TargetMode="External"/><Relationship Id="rId_hyperlink_3164" Type="http://schemas.openxmlformats.org/officeDocument/2006/relationships/hyperlink" Target="https://old.ukr-mobil.com/displej_samsung_n970_galaxy_note_10_s_tachskrinom_ramkoj_gh82-20818a_service_pack_original_aura_black_10002002" TargetMode="External"/><Relationship Id="rId_hyperlink_3165" Type="http://schemas.openxmlformats.org/officeDocument/2006/relationships/hyperlink" Target="https://old.ukr-mobil.com/displej_samsung_n970_galaxy_note_10_s_tachskrinom_ramkoj_gh82-20818b_service_pack_original_aura_white_10002003" TargetMode="External"/><Relationship Id="rId_hyperlink_3166" Type="http://schemas.openxmlformats.org/officeDocument/2006/relationships/hyperlink" Target="https://old.ukr-mobil.com/displej_samsung_n970_galaxy_note_10_s_tachskrinom_ramkoj_gh82-20818c_service_pack_original_aura_silver_10002004" TargetMode="External"/><Relationship Id="rId_hyperlink_3167" Type="http://schemas.openxmlformats.org/officeDocument/2006/relationships/hyperlink" Target="https://old.ukr-mobil.com/displej_samsung_n970_galaxy_note_10_s_tachskrinom_ramkoj_original_black_10000687" TargetMode="External"/><Relationship Id="rId_hyperlink_3168" Type="http://schemas.openxmlformats.org/officeDocument/2006/relationships/hyperlink" Target="https://old.ukr-mobil.com/displej_samsung_n970_galaxy_note_10_s_tachskrinom_ramkoj_original_silver_10000464" TargetMode="External"/><Relationship Id="rId_hyperlink_3169" Type="http://schemas.openxmlformats.org/officeDocument/2006/relationships/hyperlink" Target="https://old.ukr-mobil.com/displej_samsung_n975_galaxy_note_10_plus_s_tachskrinom_ramkoj_original_black_10000521" TargetMode="External"/><Relationship Id="rId_hyperlink_3170" Type="http://schemas.openxmlformats.org/officeDocument/2006/relationships/hyperlink" Target="https://old.ukr-mobil.com/displej_samsung_n975_galaxy_note_10_plus_s_tachskrinom_ramkoj_original_silver_10000524" TargetMode="External"/><Relationship Id="rId_hyperlink_3171" Type="http://schemas.openxmlformats.org/officeDocument/2006/relationships/hyperlink" Target="https://old.ukr-mobil.com/displej_samsung_n980_galaxy_note_20_n981_galaxy_note_20_5g_s_tachskrinom_original_grey_10001946" TargetMode="External"/><Relationship Id="rId_hyperlink_3172" Type="http://schemas.openxmlformats.org/officeDocument/2006/relationships/hyperlink" Target="https://old.ukr-mobil.com/displej_samsung_n980_galaxy_note_20_n981_galaxy_note_20_5g_s_tachskrinom_ramkoj_original_grey_10001947" TargetMode="External"/><Relationship Id="rId_hyperlink_3173" Type="http://schemas.openxmlformats.org/officeDocument/2006/relationships/hyperlink" Target="https://old.ukr-mobil.com/displej_samsung_n980_galaxy_note_20_s_tachskrinom_ramkoj_gh82-23495a_service_pack_original_aura_grey_10002224" TargetMode="External"/><Relationship Id="rId_hyperlink_3174" Type="http://schemas.openxmlformats.org/officeDocument/2006/relationships/hyperlink" Target="https://old.ukr-mobil.com/displej_samsung_n985_galaxy_note_20_ultra_s_tachskrinom_ramkoj_gh82-23622a_service_pack_original_aura_black_10002782" TargetMode="External"/><Relationship Id="rId_hyperlink_3175" Type="http://schemas.openxmlformats.org/officeDocument/2006/relationships/hyperlink" Target="https://old.ukr-mobil.com/displej_samsung_n985_galaxy_note_20_ultra_s_tachskrinom_ramkoj_gh82-31461c_service_pack_original_aura_white_10003708" TargetMode="External"/><Relationship Id="rId_hyperlink_3176" Type="http://schemas.openxmlformats.org/officeDocument/2006/relationships/hyperlink" Target="https://old.ukr-mobil.com/displej_samsung_n985_galaxy_note_20_ultra_s_tachskrinom_ramkoj_original_black_10001854" TargetMode="External"/><Relationship Id="rId_hyperlink_3177" Type="http://schemas.openxmlformats.org/officeDocument/2006/relationships/hyperlink" Target="https://old.ukr-mobil.com/displej_samsung_n985_galaxy_note_20_ultra_s_tachskrinom_ramkoj_original_bronze_10001855" TargetMode="External"/><Relationship Id="rId_hyperlink_3178" Type="http://schemas.openxmlformats.org/officeDocument/2006/relationships/hyperlink" Target="https://old.ukr-mobil.com/displej_samsung_s901_galaxy_s22_gh82-27520a_s_tachskrinom_s_ramkoj_service_pack_original_phantom_black_10002712" TargetMode="External"/><Relationship Id="rId_hyperlink_3179" Type="http://schemas.openxmlformats.org/officeDocument/2006/relationships/hyperlink" Target="https://old.ukr-mobil.com/displej_samsung_s901_galaxy_s22_gh82-27520d_s_tachskrinom_s_ramkoj_service_pack_original_pink_gold_10002713" TargetMode="External"/><Relationship Id="rId_hyperlink_3180" Type="http://schemas.openxmlformats.org/officeDocument/2006/relationships/hyperlink" Target="https://old.ukr-mobil.com/displej_samsung_s908_galaxy_s22_ultra_gh82-27489a_s_tachskrinom_s_ramkoj_service_pack_original_phantom_black_10003698" TargetMode="External"/><Relationship Id="rId_hyperlink_3181" Type="http://schemas.openxmlformats.org/officeDocument/2006/relationships/hyperlink" Target="https://old.ukr-mobil.com/displej_samsung_s908_galaxy_s22_ultra_gh82-27489b_s_tachskrinom_s_ramkoj_service_pack_original_burgundy_10004423" TargetMode="External"/><Relationship Id="rId_hyperlink_3182" Type="http://schemas.openxmlformats.org/officeDocument/2006/relationships/hyperlink" Target="https://old.ukr-mobil.com/displej_samsung_s908_galaxy_s22_ultra_gh82-27489c_s_tachskrinom_s_ramkoj_service_pack_original_white_10004422" TargetMode="External"/><Relationship Id="rId_hyperlink_3183" Type="http://schemas.openxmlformats.org/officeDocument/2006/relationships/hyperlink" Target="https://old.ukr-mobil.com/displej_samsung_s911_galaxy_s23_2023_gh82-30480a_s_tachskrinom_s_ramkoj_service_pack_original_black_10004424" TargetMode="External"/><Relationship Id="rId_hyperlink_3184" Type="http://schemas.openxmlformats.org/officeDocument/2006/relationships/hyperlink" Target="https://old.ukr-mobil.com/displej_samsung_s911_galaxy_s23_2023_gh82-30480b_s_tachskrinom_s_ramkoj_service_pack_original_beige_10004425" TargetMode="External"/><Relationship Id="rId_hyperlink_3185" Type="http://schemas.openxmlformats.org/officeDocument/2006/relationships/hyperlink" Target="https://old.ukr-mobil.com/displej_samsung_s911_galaxy_s23_2023_gh82-30480c_s_tachskrinom_s_ramkoj_service_pack_original_creen_10004427" TargetMode="External"/><Relationship Id="rId_hyperlink_3186" Type="http://schemas.openxmlformats.org/officeDocument/2006/relationships/hyperlink" Target="https://old.ukr-mobil.com/displej_samsung_s911_galaxy_s23_2023_gh82-30480d_s_tachskrinom_s_ramkoj_service_pack_original_light_pink_10004426" TargetMode="External"/><Relationship Id="rId_hyperlink_3187" Type="http://schemas.openxmlformats.org/officeDocument/2006/relationships/hyperlink" Target="https://old.ukr-mobil.com/displej_samsung_s916_galaxy_s23_plus_gh82-30480a_s_tachskrinom_s_ramkoj_service_pack_original_black_10004551" TargetMode="External"/><Relationship Id="rId_hyperlink_3188" Type="http://schemas.openxmlformats.org/officeDocument/2006/relationships/hyperlink" Target="https://old.ukr-mobil.com/displej_samsung_s916_galaxy_s23_plus_gh82-30480a_s_tachskrinom_s_ramkoj_service_pack_original_green_10004552" TargetMode="External"/><Relationship Id="rId_hyperlink_3189" Type="http://schemas.openxmlformats.org/officeDocument/2006/relationships/hyperlink" Target="https://old.ukr-mobil.com/displej_samsung_s916_galaxy_s23_plus_gh82-30480a_s_tachskrinom_s_ramkoj_service_pack_original_pink_10004553" TargetMode="External"/><Relationship Id="rId_hyperlink_3190" Type="http://schemas.openxmlformats.org/officeDocument/2006/relationships/hyperlink" Target="https://old.ukr-mobil.com/displej_sigma_pq24_x-treme_s_tachskrinom_original_prc_black_10004452" TargetMode="External"/><Relationship Id="rId_hyperlink_3191" Type="http://schemas.openxmlformats.org/officeDocument/2006/relationships/hyperlink" Target="https://old.ukr-mobil.com/displej_sigma_pq36_x-treme_s_tachskrinom_original_prc_black_10004451" TargetMode="External"/><Relationship Id="rId_hyperlink_3192" Type="http://schemas.openxmlformats.org/officeDocument/2006/relationships/hyperlink" Target="https://old.ukr-mobil.com/displej_sigma_pq38_x-treme_s_tachskrinom_original_prc_black_10004450" TargetMode="External"/><Relationship Id="rId_hyperlink_3193" Type="http://schemas.openxmlformats.org/officeDocument/2006/relationships/hyperlink" Target="https://old.ukr-mobil.com/displej_sony_c6802_xl39h_xperia_z_ultra_s_tachskrinom_4768" TargetMode="External"/><Relationship Id="rId_hyperlink_3194" Type="http://schemas.openxmlformats.org/officeDocument/2006/relationships/hyperlink" Target="https://old.ukr-mobil.com/displej_sony_e6533_xperia_z3_ds_e6553_xperia_z3_xperia_z4_s_tachskrinom_black_6128" TargetMode="External"/><Relationship Id="rId_hyperlink_3195" Type="http://schemas.openxmlformats.org/officeDocument/2006/relationships/hyperlink" Target="https://old.ukr-mobil.com/displej_sony_f3111_xperia_xa_f3112_xperia_xa_dual_f3113_xperia_xa_f3115_xperia_xa_f3116_xperia_xa_dual_s_tachskrinom_black_6817" TargetMode="External"/><Relationship Id="rId_hyperlink_3196" Type="http://schemas.openxmlformats.org/officeDocument/2006/relationships/hyperlink" Target="https://old.ukr-mobil.com/displej_sony_f3212_xperia_xa_ultra_dual_f3215_xperia_xa_ultra_dual_f3216_xperia_xa_ultra_dual_s_tachskrinom_grey_9034" TargetMode="External"/><Relationship Id="rId_hyperlink_3197" Type="http://schemas.openxmlformats.org/officeDocument/2006/relationships/hyperlink" Target="https://old.ukr-mobil.com/displej_sony_f5121_xperia_x_f5122_xperia_x_dual_f8131_xperia_x_performance_f8132_xperia_x_performance_dual_s_tachskrinom_black_9031" TargetMode="External"/><Relationship Id="rId_hyperlink_3198" Type="http://schemas.openxmlformats.org/officeDocument/2006/relationships/hyperlink" Target="https://old.ukr-mobil.com/displej_sony_f5121_xperia_x_f5122_xperia_x_dual_f8131_xperia_x_performance_f8132_xperia_x_performance_dual_s_tachskrinom_white_11469" TargetMode="External"/><Relationship Id="rId_hyperlink_3199" Type="http://schemas.openxmlformats.org/officeDocument/2006/relationships/hyperlink" Target="https://old.ukr-mobil.com/displej_sony_f8331_f8332_xperia_xz_s_tachskrinom_original_prc_black_9036" TargetMode="External"/><Relationship Id="rId_hyperlink_3200" Type="http://schemas.openxmlformats.org/officeDocument/2006/relationships/hyperlink" Target="https://old.ukr-mobil.com/displej_sony_g3112_xperia_xa1_dual_g3116_xperia_xa1_g3121_xperia_xa1_g3125_xperia_xa1_s_tachskrinom_black_9033" TargetMode="External"/><Relationship Id="rId_hyperlink_3201" Type="http://schemas.openxmlformats.org/officeDocument/2006/relationships/hyperlink" Target="https://old.ukr-mobil.com/displej_sony_g3212_xperia_xa1_ultra_dual_g3221_xperia_xa1_ultra_g3223_xperia_xa1_ultra_g3226_xperia_xa1_ultra_dual_s_tachskrinom_original_black_11523" TargetMode="External"/><Relationship Id="rId_hyperlink_3202" Type="http://schemas.openxmlformats.org/officeDocument/2006/relationships/hyperlink" Target="https://old.ukr-mobil.com/displej_sony_g3311_xperia_l1_g3312_xperia_l1_g3313_xperia_l1_s_tachskrinom_high_copy_black_9032" TargetMode="External"/><Relationship Id="rId_hyperlink_3203" Type="http://schemas.openxmlformats.org/officeDocument/2006/relationships/hyperlink" Target="https://old.ukr-mobil.com/displej_sony_g3412_xperia_xa1_plus_dual_s_tachskrinom_black_10764" TargetMode="External"/><Relationship Id="rId_hyperlink_3204" Type="http://schemas.openxmlformats.org/officeDocument/2006/relationships/hyperlink" Target="https://old.ukr-mobil.com/displej_sony_g8341_xperia_xz1_g8342_xperia_xz1_dual_s_tachskrinom_black_11519" TargetMode="External"/><Relationship Id="rId_hyperlink_3205" Type="http://schemas.openxmlformats.org/officeDocument/2006/relationships/hyperlink" Target="https://old.ukr-mobil.com/displej_sony_h3113_xperia_xa2_h3123_xperia_xa2_h3133_xperia_xa2_h4113_xperia_xa2_h4133_xperia_xa2_s_tachskrinom_black_10002044" TargetMode="External"/><Relationship Id="rId_hyperlink_3206" Type="http://schemas.openxmlformats.org/officeDocument/2006/relationships/hyperlink" Target="https://old.ukr-mobil.com/displej_sony_h3113_xperia_xa2_h3123_xperia_xa2_h3133_xperia_xa2_h4113_xperia_xa2_h4133_xperia_xa2_s_tachskrinom_black_11293" TargetMode="External"/><Relationship Id="rId_hyperlink_3207" Type="http://schemas.openxmlformats.org/officeDocument/2006/relationships/hyperlink" Target="https://old.ukr-mobil.com/displej_sony_h8266_xperia_xz2_s_tachskrinom_original_black_11521" TargetMode="External"/><Relationship Id="rId_hyperlink_3208" Type="http://schemas.openxmlformats.org/officeDocument/2006/relationships/hyperlink" Target="https://old.ukr-mobil.com/displej_sony_i3113_xperia_10_i3123_xperia_10_l4113_xperia_10_l4193_xperia_10_s_tachskrinom_high_copy_black_11888" TargetMode="External"/><Relationship Id="rId_hyperlink_3209" Type="http://schemas.openxmlformats.org/officeDocument/2006/relationships/hyperlink" Target="https://old.ukr-mobil.com/displej_sony_i3312_xperia_l3_s_tachskrinom_black_11890" TargetMode="External"/><Relationship Id="rId_hyperlink_3210" Type="http://schemas.openxmlformats.org/officeDocument/2006/relationships/hyperlink" Target="https://old.ukr-mobil.com/displej_sony_l3213_xperia_10_plus_l4213_xperia_10_plus_s_tachskrinom_black_11889" TargetMode="External"/><Relationship Id="rId_hyperlink_3211" Type="http://schemas.openxmlformats.org/officeDocument/2006/relationships/hyperlink" Target="https://old.ukr-mobil.com/displej_tecno_camon_12_cc7_spark_4_kc8_s_tachskrinom_original_black_10002024" TargetMode="External"/><Relationship Id="rId_hyperlink_3212" Type="http://schemas.openxmlformats.org/officeDocument/2006/relationships/hyperlink" Target="https://old.ukr-mobil.com/displej_tecno_camon_12_air_cc6_s_tachskrinom_original_black_10002258" TargetMode="External"/><Relationship Id="rId_hyperlink_3213" Type="http://schemas.openxmlformats.org/officeDocument/2006/relationships/hyperlink" Target="https://old.ukr-mobil.com/displej_tecno_spark_5_pro_kd7_s_tachskrinom_original_black_10001896" TargetMode="External"/><Relationship Id="rId_hyperlink_3214" Type="http://schemas.openxmlformats.org/officeDocument/2006/relationships/hyperlink" Target="https://old.ukr-mobil.com/displej_tecno_camon_17_pro_cg8_s_tachskrinom_original_black_10002932" TargetMode="External"/><Relationship Id="rId_hyperlink_3215" Type="http://schemas.openxmlformats.org/officeDocument/2006/relationships/hyperlink" Target="https://old.ukr-mobil.com/displej_tecno_camon_17_pro_cg8_s_tachskrinom_original_black_10002025" TargetMode="External"/><Relationship Id="rId_hyperlink_3216" Type="http://schemas.openxmlformats.org/officeDocument/2006/relationships/hyperlink" Target="https://old.ukr-mobil.com/displej_tecno_camon_18_ch6_camon_18p_ch7n_camon_18t_s_tachskrinom_original_black_10002931" TargetMode="External"/><Relationship Id="rId_hyperlink_3217" Type="http://schemas.openxmlformats.org/officeDocument/2006/relationships/hyperlink" Target="https://old.ukr-mobil.com/displej_tecno_camon_19_ci6n_s_tachskrinom_original_black_10003175" TargetMode="External"/><Relationship Id="rId_hyperlink_3218" Type="http://schemas.openxmlformats.org/officeDocument/2006/relationships/hyperlink" Target="https://old.ukr-mobil.com/displej_tecno_pop_4_bc2_s_tachskrinom_original_black_10001897" TargetMode="External"/><Relationship Id="rId_hyperlink_3219" Type="http://schemas.openxmlformats.org/officeDocument/2006/relationships/hyperlink" Target="https://old.ukr-mobil.com/displej_tecno_pova_2_le7n_s_tachskrinom_original_black_10002446" TargetMode="External"/><Relationship Id="rId_hyperlink_3220" Type="http://schemas.openxmlformats.org/officeDocument/2006/relationships/hyperlink" Target="https://old.ukr-mobil.com/index.php?route=product&amp;product_id=10005097" TargetMode="External"/><Relationship Id="rId_hyperlink_3221" Type="http://schemas.openxmlformats.org/officeDocument/2006/relationships/hyperlink" Target="https://old.ukr-mobil.com/displej_tecno_spark_10_pro_ki7_s_tachskrinom_original_black_10004317" TargetMode="External"/><Relationship Id="rId_hyperlink_3222" Type="http://schemas.openxmlformats.org/officeDocument/2006/relationships/hyperlink" Target="https://old.ukr-mobil.com/displej_tecno_spark_6_ke7_camon_16_se_ce7j_s_tachskrinom_original_prc_black_10002724" TargetMode="External"/><Relationship Id="rId_hyperlink_3223" Type="http://schemas.openxmlformats.org/officeDocument/2006/relationships/hyperlink" Target="https://old.ukr-mobil.com/displej_tecno_spark_6_go_ke5_s_tachskrinom_high_quality_black_10003287" TargetMode="External"/><Relationship Id="rId_hyperlink_3224" Type="http://schemas.openxmlformats.org/officeDocument/2006/relationships/hyperlink" Target="https://old.ukr-mobil.com/displej_tecno_spark_6_go_ke5_s_tachskrinom_original_black_10002026" TargetMode="External"/><Relationship Id="rId_hyperlink_3225" Type="http://schemas.openxmlformats.org/officeDocument/2006/relationships/hyperlink" Target="https://old.ukr-mobil.com/displej_tecno_spark_7_kf6n_s_tachskrinom_high_quality_black_10003309" TargetMode="External"/><Relationship Id="rId_hyperlink_3226" Type="http://schemas.openxmlformats.org/officeDocument/2006/relationships/hyperlink" Target="https://old.ukr-mobil.com/displej_tecno_spark_7_kf6n_s_tachskrinom_original_black_10002071" TargetMode="External"/><Relationship Id="rId_hyperlink_3227" Type="http://schemas.openxmlformats.org/officeDocument/2006/relationships/hyperlink" Target="https://old.ukr-mobil.com/displej_tecno_spark_7_pro_kf8_camon_17_cg6_s_tachskrinom_original_black_10002114" TargetMode="External"/><Relationship Id="rId_hyperlink_3228" Type="http://schemas.openxmlformats.org/officeDocument/2006/relationships/hyperlink" Target="https://old.ukr-mobil.com/displej_tecno_spark_6_go_2022_spark_8c_kg5n_kg5k_kg5j_s_tachskrinom_original_black_10003263" TargetMode="External"/><Relationship Id="rId_hyperlink_3229" Type="http://schemas.openxmlformats.org/officeDocument/2006/relationships/hyperlink" Target="https://old.ukr-mobil.com/displej_tecno_spark_8p_kg7n_s_tachskrinom_original_black_10002445" TargetMode="External"/><Relationship Id="rId_hyperlink_3230" Type="http://schemas.openxmlformats.org/officeDocument/2006/relationships/hyperlink" Target="https://old.ukr-mobil.com/displej_tecno_spark_9_pro_kh7n_s_tachskrinom_original_black_10003262" TargetMode="External"/><Relationship Id="rId_hyperlink_3231" Type="http://schemas.openxmlformats.org/officeDocument/2006/relationships/hyperlink" Target="https://old.ukr-mobil.com/index.php?route=product&amp;product_id=10004571" TargetMode="External"/><Relationship Id="rId_hyperlink_3232" Type="http://schemas.openxmlformats.org/officeDocument/2006/relationships/hyperlink" Target="https://old.ukr-mobil.com/displej_tecno_spark_go_2023_pop_7_bf6_s_tachskrinom_original_black_10004315" TargetMode="External"/><Relationship Id="rId_hyperlink_3233" Type="http://schemas.openxmlformats.org/officeDocument/2006/relationships/hyperlink" Target="https://old.ukr-mobil.com/displej_ulefone_armor_12_s_tachskrinom_original_black_10003904" TargetMode="External"/><Relationship Id="rId_hyperlink_3234" Type="http://schemas.openxmlformats.org/officeDocument/2006/relationships/hyperlink" Target="https://old.ukr-mobil.com/displej_ulefone_armor_7_armor_7e_s_tachskrinom_original_black_10003905" TargetMode="External"/><Relationship Id="rId_hyperlink_3235" Type="http://schemas.openxmlformats.org/officeDocument/2006/relationships/hyperlink" Target="https://old.ukr-mobil.com/displej_umidigi_a11_pro_max_s_tachskrinom_original_black_10003898" TargetMode="External"/><Relationship Id="rId_hyperlink_3236" Type="http://schemas.openxmlformats.org/officeDocument/2006/relationships/hyperlink" Target="https://old.ukr-mobil.com/displej_umidigi_a11_a9_power_5_power_5s_s_tachskrinom_original_black_10003897" TargetMode="External"/><Relationship Id="rId_hyperlink_3237" Type="http://schemas.openxmlformats.org/officeDocument/2006/relationships/hyperlink" Target="https://old.ukr-mobil.com/displej_umidigi_a9_pro_s_tachskrinom_original_black_10003900" TargetMode="External"/><Relationship Id="rId_hyperlink_3238" Type="http://schemas.openxmlformats.org/officeDocument/2006/relationships/hyperlink" Target="https://old.ukr-mobil.com/displej_umidigi_bison_s_tachskrinom_original_black_10003901" TargetMode="External"/><Relationship Id="rId_hyperlink_3239" Type="http://schemas.openxmlformats.org/officeDocument/2006/relationships/hyperlink" Target="https://old.ukr-mobil.com/displej_umidigi_x10g_x10s_s_tachskrinom_original_black_10003903" TargetMode="External"/><Relationship Id="rId_hyperlink_3240" Type="http://schemas.openxmlformats.org/officeDocument/2006/relationships/hyperlink" Target="https://old.ukr-mobil.com/displej_vivo_v21e_v2061_s_tachskrinom_oled_black_10002438" TargetMode="External"/><Relationship Id="rId_hyperlink_3241" Type="http://schemas.openxmlformats.org/officeDocument/2006/relationships/hyperlink" Target="https://old.ukr-mobil.com/displej_vivo_v20_v20_se_s_tachskrinom_original_prc_black_10001487" TargetMode="External"/><Relationship Id="rId_hyperlink_3242" Type="http://schemas.openxmlformats.org/officeDocument/2006/relationships/hyperlink" Target="https://old.ukr-mobil.com/displej_vivo_v21e_v2061_s_tachskrinom_incell_tft_black_10002384" TargetMode="External"/><Relationship Id="rId_hyperlink_3243" Type="http://schemas.openxmlformats.org/officeDocument/2006/relationships/hyperlink" Target="https://old.ukr-mobil.com/displej_vivo_v20_s_tachskrinom_oled_black_10003689" TargetMode="External"/><Relationship Id="rId_hyperlink_3244" Type="http://schemas.openxmlformats.org/officeDocument/2006/relationships/hyperlink" Target="https://old.ukr-mobil.com/displej_vivo_v21_v2050_v2066_v2108_s_tachskrinom_incell_tft_black_10002387" TargetMode="External"/><Relationship Id="rId_hyperlink_3245" Type="http://schemas.openxmlformats.org/officeDocument/2006/relationships/hyperlink" Target="https://old.ukr-mobil.com/displej_vivo_v21_v2050_v2066_v2108_s_tachskrinom_oled_black_10003607" TargetMode="External"/><Relationship Id="rId_hyperlink_3246" Type="http://schemas.openxmlformats.org/officeDocument/2006/relationships/hyperlink" Target="https://old.ukr-mobil.com/displej_vivo_y02_s_tachskrinom_high_quality_black_10003566" TargetMode="External"/><Relationship Id="rId_hyperlink_3247" Type="http://schemas.openxmlformats.org/officeDocument/2006/relationships/hyperlink" Target="https://old.ukr-mobil.com/displej_vivo_y33s_s_tachskrinom_original_prc_black_10004279" TargetMode="External"/><Relationship Id="rId_hyperlink_3248" Type="http://schemas.openxmlformats.org/officeDocument/2006/relationships/hyperlink" Target="https://old.ukr-mobil.com/displej_vivo_y15_y17_s_tachskrinom_original_prc_black_10000543" TargetMode="External"/><Relationship Id="rId_hyperlink_3249" Type="http://schemas.openxmlformats.org/officeDocument/2006/relationships/hyperlink" Target="https://old.ukr-mobil.com/displej_vivo_y15a_y15c_y15s_s_tachskrinom_original_prc_black_10003565" TargetMode="External"/><Relationship Id="rId_hyperlink_3250" Type="http://schemas.openxmlformats.org/officeDocument/2006/relationships/hyperlink" Target="https://old.ukr-mobil.com/displej_vivo_y19_s_tachskrinom_original_prc_black_10000544" TargetMode="External"/><Relationship Id="rId_hyperlink_3251" Type="http://schemas.openxmlformats.org/officeDocument/2006/relationships/hyperlink" Target="https://old.ukr-mobil.com/displej_vivo_y20_y20i_y20s_y01_s_tachskrinom_original_prc_black_10002383" TargetMode="External"/><Relationship Id="rId_hyperlink_3252" Type="http://schemas.openxmlformats.org/officeDocument/2006/relationships/hyperlink" Target="https://old.ukr-mobil.com/displej_vivo_y21_v2111_y21s_v2110_s_tachskrinom_original_prc_black_10002386" TargetMode="External"/><Relationship Id="rId_hyperlink_3253" Type="http://schemas.openxmlformats.org/officeDocument/2006/relationships/hyperlink" Target="https://old.ukr-mobil.com/displej_vivo_y31_s_tachskrinom_original_prc_black_10001847" TargetMode="External"/><Relationship Id="rId_hyperlink_3254" Type="http://schemas.openxmlformats.org/officeDocument/2006/relationships/hyperlink" Target="https://old.ukr-mobil.com/displej_vivo_y33s_s_tachskrinom_high_quality_black_10004280" TargetMode="External"/><Relationship Id="rId_hyperlink_3255" Type="http://schemas.openxmlformats.org/officeDocument/2006/relationships/hyperlink" Target="https://old.ukr-mobil.com/displej_vivo_y53s_v2111a_v2058_s_tachskrinom_original_prc_black_10002340" TargetMode="External"/><Relationship Id="rId_hyperlink_3256" Type="http://schemas.openxmlformats.org/officeDocument/2006/relationships/hyperlink" Target="https://old.ukr-mobil.com/displej_vivo_y91_y91c_y91i_y93_y95_s_tachskrinom_original_prc_black_10001898" TargetMode="External"/><Relationship Id="rId_hyperlink_3257" Type="http://schemas.openxmlformats.org/officeDocument/2006/relationships/hyperlink" Target="https://old.ukr-mobil.com/displej_vivo_y97_z3_z3i_v11_v11_pro_v11i_s_tachskrinom_original_prc_black_10004509" TargetMode="External"/><Relationship Id="rId_hyperlink_3258" Type="http://schemas.openxmlformats.org/officeDocument/2006/relationships/hyperlink" Target="https://old.ukr-mobil.com/displej_xiaomi_11_lite_mi_11_lite_5g_s_tachskrinom_oled_black_10002096" TargetMode="External"/><Relationship Id="rId_hyperlink_3259" Type="http://schemas.openxmlformats.org/officeDocument/2006/relationships/hyperlink" Target="https://old.ukr-mobil.com/displej_xiaomi_mi_11_lite_s_tachskrinom_original_black_10001678" TargetMode="External"/><Relationship Id="rId_hyperlink_3260" Type="http://schemas.openxmlformats.org/officeDocument/2006/relationships/hyperlink" Target="https://old.ukr-mobil.com/displej_xiaomi_11t_11t_pro_s_tachskrinom_incell_tft_10002566" TargetMode="External"/><Relationship Id="rId_hyperlink_3261" Type="http://schemas.openxmlformats.org/officeDocument/2006/relationships/hyperlink" Target="https://old.ukr-mobil.com/displej_xiaomi_11t_11t_pro_s_tachskrinom_original_10002072" TargetMode="External"/><Relationship Id="rId_hyperlink_3262" Type="http://schemas.openxmlformats.org/officeDocument/2006/relationships/hyperlink" Target="https://old.ukr-mobil.com/displej_xiaomi_12_2201123g_2201123c_12x_2112123ac_2112123ag_12s_s_tachskrinom_original_10002943" TargetMode="External"/><Relationship Id="rId_hyperlink_3263" Type="http://schemas.openxmlformats.org/officeDocument/2006/relationships/hyperlink" Target="https://old.ukr-mobil.com/displej_xiaomi_12_lite_s_tachskrinom_original_10003559" TargetMode="External"/><Relationship Id="rId_hyperlink_3264" Type="http://schemas.openxmlformats.org/officeDocument/2006/relationships/hyperlink" Target="https://old.ukr-mobil.com/displej_xiaomi_12t_12t_pro_s_tachskrinom_original_10003560" TargetMode="External"/><Relationship Id="rId_hyperlink_3265" Type="http://schemas.openxmlformats.org/officeDocument/2006/relationships/hyperlink" Target="https://old.ukr-mobil.com/index.php?route=product&amp;product_id=10004660" TargetMode="External"/><Relationship Id="rId_hyperlink_3266" Type="http://schemas.openxmlformats.org/officeDocument/2006/relationships/hyperlink" Target="https://old.ukr-mobil.com/index.php?route=product&amp;product_id=10004661" TargetMode="External"/><Relationship Id="rId_hyperlink_3267" Type="http://schemas.openxmlformats.org/officeDocument/2006/relationships/hyperlink" Target="https://old.ukr-mobil.com/index.php?route=product&amp;product_id=10004662" TargetMode="External"/><Relationship Id="rId_hyperlink_3268" Type="http://schemas.openxmlformats.org/officeDocument/2006/relationships/hyperlink" Target="https://old.ukr-mobil.com/displej_xiaomi_mi_10_lite_s_tachskrinom_original_black_10001050" TargetMode="External"/><Relationship Id="rId_hyperlink_3269" Type="http://schemas.openxmlformats.org/officeDocument/2006/relationships/hyperlink" Target="https://old.ukr-mobil.com/displej_xiaomi_mi_10_lite_s_tachskrinom_tft_black_10001489" TargetMode="External"/><Relationship Id="rId_hyperlink_3270" Type="http://schemas.openxmlformats.org/officeDocument/2006/relationships/hyperlink" Target="https://old.ukr-mobil.com/displej_xiaomi_mi_10_mi_10_pro_versiya_huaxing_c_s_tachskrinom_original_prc_10002068" TargetMode="External"/><Relationship Id="rId_hyperlink_3271" Type="http://schemas.openxmlformats.org/officeDocument/2006/relationships/hyperlink" Target="https://old.ukr-mobil.com/displej_xiaomi_mi_10_mi_10_pro_s_tachskrinom_original_black_10000761" TargetMode="External"/><Relationship Id="rId_hyperlink_3272" Type="http://schemas.openxmlformats.org/officeDocument/2006/relationships/hyperlink" Target="https://old.ukr-mobil.com/displej_xiaomi_mi_10t_lite_poco_x3_poco_x3_pro_s_tachskrinom_high_copy_black_10004515" TargetMode="External"/><Relationship Id="rId_hyperlink_3273" Type="http://schemas.openxmlformats.org/officeDocument/2006/relationships/hyperlink" Target="https://old.ukr-mobil.com/displej_xiaomi_poco_x3_s_tachskrinom_original_black_10001370" TargetMode="External"/><Relationship Id="rId_hyperlink_3274" Type="http://schemas.openxmlformats.org/officeDocument/2006/relationships/hyperlink" Target="https://old.ukr-mobil.com/index.php?route=product&amp;product_id=10004651" TargetMode="External"/><Relationship Id="rId_hyperlink_3275" Type="http://schemas.openxmlformats.org/officeDocument/2006/relationships/hyperlink" Target="https://old.ukr-mobil.com/displej_xiaomi_mi_10t_mi_10t_pro_redmi_k30s_s_tachskrinom_original_prc_black_10001308" TargetMode="External"/><Relationship Id="rId_hyperlink_3276" Type="http://schemas.openxmlformats.org/officeDocument/2006/relationships/hyperlink" Target="https://old.ukr-mobil.com/index.php?route=product&amp;product_id=10004739" TargetMode="External"/><Relationship Id="rId_hyperlink_3277" Type="http://schemas.openxmlformats.org/officeDocument/2006/relationships/hyperlink" Target="https://old.ukr-mobil.com/displej_xiaomi_mi_11_ultra_s_tachskrinom_original_black_10001837" TargetMode="External"/><Relationship Id="rId_hyperlink_3278" Type="http://schemas.openxmlformats.org/officeDocument/2006/relationships/hyperlink" Target="https://old.ukr-mobil.com/displej_xiaomi_mi_11_s_tachskrinom_original_black_10001950" TargetMode="External"/><Relationship Id="rId_hyperlink_3279" Type="http://schemas.openxmlformats.org/officeDocument/2006/relationships/hyperlink" Target="https://old.ukr-mobil.com/displej_xiaomi_mi_11i_poco_f3_redmi_k40_s_tachskrinom_original_black_10001760" TargetMode="External"/><Relationship Id="rId_hyperlink_3280" Type="http://schemas.openxmlformats.org/officeDocument/2006/relationships/hyperlink" Target="https://old.ukr-mobil.com/displej_xiaomi_mi_11i_mi_11x_black_shark_4_poco_f3_poco_f4_redmi_k40_s_tachskrinom_oled_black_10002560" TargetMode="External"/><Relationship Id="rId_hyperlink_3281" Type="http://schemas.openxmlformats.org/officeDocument/2006/relationships/hyperlink" Target="https://old.ukr-mobil.com/displej_xiaomi_mi_11i_mi_11x_black_shark_4_poco_f3_poco_f4_redmi_k40_s_tachskrinom_oled_small_lcd_black_10003585" TargetMode="External"/><Relationship Id="rId_hyperlink_3282" Type="http://schemas.openxmlformats.org/officeDocument/2006/relationships/hyperlink" Target="https://old.ukr-mobil.com/displej_xiaomi_mi_11i_poco_f3_redmi_k40_s_tachskrinom_original_black_10001934" TargetMode="External"/><Relationship Id="rId_hyperlink_3283" Type="http://schemas.openxmlformats.org/officeDocument/2006/relationships/hyperlink" Target="https://old.ukr-mobil.com/displej_xiaomi_mi_8_lite_s_tachskrinom_original_prc_black_11308" TargetMode="External"/><Relationship Id="rId_hyperlink_3284" Type="http://schemas.openxmlformats.org/officeDocument/2006/relationships/hyperlink" Target="https://old.ukr-mobil.com/displej_xiaomi_mi_8_lite_s_tachskrinom_original_prc_white_11743" TargetMode="External"/><Relationship Id="rId_hyperlink_3285" Type="http://schemas.openxmlformats.org/officeDocument/2006/relationships/hyperlink" Target="https://old.ukr-mobil.com/displej_xiaomi_mi_8_pro_s_tachskrinom_original_prc_black_10000413" TargetMode="External"/><Relationship Id="rId_hyperlink_3286" Type="http://schemas.openxmlformats.org/officeDocument/2006/relationships/hyperlink" Target="https://old.ukr-mobil.com/displej_xiaomi_mi_8_se_s_tachskrinom_oled_black_10001092" TargetMode="External"/><Relationship Id="rId_hyperlink_3287" Type="http://schemas.openxmlformats.org/officeDocument/2006/relationships/hyperlink" Target="https://old.ukr-mobil.com/displej_xiaomi_mi_8_se_s_tachskrinom_original_black_10000412" TargetMode="External"/><Relationship Id="rId_hyperlink_3288" Type="http://schemas.openxmlformats.org/officeDocument/2006/relationships/hyperlink" Target="https://old.ukr-mobil.com/displej_xiaomi_mi_8_s_tachskrinom_incell_tft_black_10002552" TargetMode="External"/><Relationship Id="rId_hyperlink_3289" Type="http://schemas.openxmlformats.org/officeDocument/2006/relationships/hyperlink" Target="https://old.ukr-mobil.com/displej_xiaomi_mi_8_s_tachskrinom_oled_black_10000708" TargetMode="External"/><Relationship Id="rId_hyperlink_3290" Type="http://schemas.openxmlformats.org/officeDocument/2006/relationships/hyperlink" Target="https://old.ukr-mobil.com/displej_xiaomi_mi_8_s_tachskrinom_original_black_11223" TargetMode="External"/><Relationship Id="rId_hyperlink_3291" Type="http://schemas.openxmlformats.org/officeDocument/2006/relationships/hyperlink" Target="https://old.ukr-mobil.com/displej_xiaomi_mi_9_lite_mi_cc9_s_tachskrinom_tft_black_10000798" TargetMode="External"/><Relationship Id="rId_hyperlink_3292" Type="http://schemas.openxmlformats.org/officeDocument/2006/relationships/hyperlink" Target="https://old.ukr-mobil.com/displej_xiaomi_mi_9_lite_mi_cc9_s_tachskrinom_oled_black_10000597" TargetMode="External"/><Relationship Id="rId_hyperlink_3293" Type="http://schemas.openxmlformats.org/officeDocument/2006/relationships/hyperlink" Target="https://old.ukr-mobil.com/displej_xiaomi_mi_9_lite_mi_cc9_s_tachskrinom_original_black_10000402" TargetMode="External"/><Relationship Id="rId_hyperlink_3294" Type="http://schemas.openxmlformats.org/officeDocument/2006/relationships/hyperlink" Target="https://old.ukr-mobil.com/displej_xiaomi_mi_9_se_s_tachskrinom_oled_black_10002561" TargetMode="External"/><Relationship Id="rId_hyperlink_3295" Type="http://schemas.openxmlformats.org/officeDocument/2006/relationships/hyperlink" Target="https://old.ukr-mobil.com/displej_xiaomi_mi_9_se_s_tachskrinom_original_black_11807" TargetMode="External"/><Relationship Id="rId_hyperlink_3296" Type="http://schemas.openxmlformats.org/officeDocument/2006/relationships/hyperlink" Target="https://old.ukr-mobil.com/displej_xiaomi_mi_9_s_tachskrinom_oled_black_12338" TargetMode="External"/><Relationship Id="rId_hyperlink_3297" Type="http://schemas.openxmlformats.org/officeDocument/2006/relationships/hyperlink" Target="https://old.ukr-mobil.com/displej_xiaomi_mi_9_s_tachskrinom_original_black_11806" TargetMode="External"/><Relationship Id="rId_hyperlink_3298" Type="http://schemas.openxmlformats.org/officeDocument/2006/relationships/hyperlink" Target="https://old.ukr-mobil.com/displej_xiaomi_mi_9_s_tachskrinom_tft_black_10000757" TargetMode="External"/><Relationship Id="rId_hyperlink_3299" Type="http://schemas.openxmlformats.org/officeDocument/2006/relationships/hyperlink" Target="https://old.ukr-mobil.com/displej_xiaomi_mi_9t_mi_9t_pro_redmi_k20_redmi_k20_pro_s_tachskrinom_tft_black_10000686" TargetMode="External"/><Relationship Id="rId_hyperlink_3300" Type="http://schemas.openxmlformats.org/officeDocument/2006/relationships/hyperlink" Target="https://old.ukr-mobil.com/displej_xiaomi_mi_9t_mi_9t_pro_redmi_k20_redmi_k20_pro_s_tachskrinom_oled_black_12358" TargetMode="External"/><Relationship Id="rId_hyperlink_3301" Type="http://schemas.openxmlformats.org/officeDocument/2006/relationships/hyperlink" Target="https://old.ukr-mobil.com/displej_xiaomi_mi_9t_mi_9t_pro_redmi_k20_redmi_k20_pro_s_tachskrinom_original_prc_black_10000662" TargetMode="External"/><Relationship Id="rId_hyperlink_3302" Type="http://schemas.openxmlformats.org/officeDocument/2006/relationships/hyperlink" Target="https://old.ukr-mobil.com/displej_xiaomi_mi_9t_mi_9t_pro_redmi_k20_redmi_k20_pro_s_tachskrinom_s_ramkoj_original_prc_black_10001531" TargetMode="External"/><Relationship Id="rId_hyperlink_3303" Type="http://schemas.openxmlformats.org/officeDocument/2006/relationships/hyperlink" Target="https://old.ukr-mobil.com/displej_xiaomi_mi_a1_mi5x_s_tachskrinom_high_copy_black_9652" TargetMode="External"/><Relationship Id="rId_hyperlink_3304" Type="http://schemas.openxmlformats.org/officeDocument/2006/relationships/hyperlink" Target="https://old.ukr-mobil.com/displej_xiaomi_mi_a1_mi5x_s_tachskrinom_high_copy_white_9653" TargetMode="External"/><Relationship Id="rId_hyperlink_3305" Type="http://schemas.openxmlformats.org/officeDocument/2006/relationships/hyperlink" Target="https://old.ukr-mobil.com/displej_xiaomi_mi_a2_lite_redmi_6_pro_s_tachskrinom_original_prc_black_11138" TargetMode="External"/><Relationship Id="rId_hyperlink_3306" Type="http://schemas.openxmlformats.org/officeDocument/2006/relationships/hyperlink" Target="https://old.ukr-mobil.com/displej_xiaomi_mi_a2_lite_redmi_6_pro_s_tachskrinom_original_prc_white_11139" TargetMode="External"/><Relationship Id="rId_hyperlink_3307" Type="http://schemas.openxmlformats.org/officeDocument/2006/relationships/hyperlink" Target="https://old.ukr-mobil.com/displej_xiaomi_mi_a2_redmi_6x_s_tachskrinom_black_10993" TargetMode="External"/><Relationship Id="rId_hyperlink_3308" Type="http://schemas.openxmlformats.org/officeDocument/2006/relationships/hyperlink" Target="https://old.ukr-mobil.com/displej_xiaomi_mi_a2_redmi_6x_s_tachskrinom_white_10994" TargetMode="External"/><Relationship Id="rId_hyperlink_3309" Type="http://schemas.openxmlformats.org/officeDocument/2006/relationships/hyperlink" Target="https://old.ukr-mobil.com/displej_xiaomi_cc9e_mi_a3_s_tachskrinom_oled_black_10000797" TargetMode="External"/><Relationship Id="rId_hyperlink_3310" Type="http://schemas.openxmlformats.org/officeDocument/2006/relationships/hyperlink" Target="https://old.ukr-mobil.com/displej_xiaomi_mi_max_2_s_tachskrinom_black_9773" TargetMode="External"/><Relationship Id="rId_hyperlink_3311" Type="http://schemas.openxmlformats.org/officeDocument/2006/relationships/hyperlink" Target="https://old.ukr-mobil.com/displej_xiaomi_mi_max_2_s_tachskrinom_white_11122" TargetMode="External"/><Relationship Id="rId_hyperlink_3312" Type="http://schemas.openxmlformats.org/officeDocument/2006/relationships/hyperlink" Target="https://old.ukr-mobil.com/displej_xiaomi_mi_max_3_s_tachskrinom_original_prc_black_11218" TargetMode="External"/><Relationship Id="rId_hyperlink_3313" Type="http://schemas.openxmlformats.org/officeDocument/2006/relationships/hyperlink" Target="https://old.ukr-mobil.com/displej_xiaomi_mi_max_3_s_tachskrinom_original_prc_white_11219" TargetMode="External"/><Relationship Id="rId_hyperlink_3314" Type="http://schemas.openxmlformats.org/officeDocument/2006/relationships/hyperlink" Target="https://old.ukr-mobil.com/displej_xiaomi_mi_max_s_tachskrinom_black_6997" TargetMode="External"/><Relationship Id="rId_hyperlink_3315" Type="http://schemas.openxmlformats.org/officeDocument/2006/relationships/hyperlink" Target="https://old.ukr-mobil.com/displej_xiaomi_mi_max_s_tachskrinom_white_6998" TargetMode="External"/><Relationship Id="rId_hyperlink_3316" Type="http://schemas.openxmlformats.org/officeDocument/2006/relationships/hyperlink" Target="https://old.ukr-mobil.com/displej_xiaomi_mi_mix_2_s_tachskrinom_black_10337" TargetMode="External"/><Relationship Id="rId_hyperlink_3317" Type="http://schemas.openxmlformats.org/officeDocument/2006/relationships/hyperlink" Target="https://old.ukr-mobil.com/displej_xiaomi_mi_mix_3_s_tachskrinom_oled_black_10000596" TargetMode="External"/><Relationship Id="rId_hyperlink_3318" Type="http://schemas.openxmlformats.org/officeDocument/2006/relationships/hyperlink" Target="https://old.ukr-mobil.com/displej_xiaomi_mi_mix_3_s_tachskrinom_original_black_11976" TargetMode="External"/><Relationship Id="rId_hyperlink_3319" Type="http://schemas.openxmlformats.org/officeDocument/2006/relationships/hyperlink" Target="https://old.ukr-mobil.com/displej_xiaomi_mi_mix_s_tachskrinom_black_9774" TargetMode="External"/><Relationship Id="rId_hyperlink_3320" Type="http://schemas.openxmlformats.org/officeDocument/2006/relationships/hyperlink" Target="https://old.ukr-mobil.com/displej_xiaomi_mi_note_10_mi_note_10_pro_s_tachskrinom_original_black_10000665" TargetMode="External"/><Relationship Id="rId_hyperlink_3321" Type="http://schemas.openxmlformats.org/officeDocument/2006/relationships/hyperlink" Target="https://old.ukr-mobil.com/displej_xiaomi_mi_play_s_tachskrinom_black_11809" TargetMode="External"/><Relationship Id="rId_hyperlink_3322" Type="http://schemas.openxmlformats.org/officeDocument/2006/relationships/hyperlink" Target="https://old.ukr-mobil.com/displej_xiaomi_poco_f2_pro_redmi_k30_pro_redmi_k30_ultra_s_tachskrinom_incell_black_10002050" TargetMode="External"/><Relationship Id="rId_hyperlink_3323" Type="http://schemas.openxmlformats.org/officeDocument/2006/relationships/hyperlink" Target="https://old.ukr-mobil.com/displej_xiaomi_poco_f2_pro_redmi_k30_pro_redmi_k30_ultra_s_tachskrinom_original_black_10002049" TargetMode="External"/><Relationship Id="rId_hyperlink_3324" Type="http://schemas.openxmlformats.org/officeDocument/2006/relationships/hyperlink" Target="https://old.ukr-mobil.com/displej_xiaomi_mi_10t_redmi_k30_pocophone_x2_s_tachskrinom_original_black_10000664" TargetMode="External"/><Relationship Id="rId_hyperlink_3325" Type="http://schemas.openxmlformats.org/officeDocument/2006/relationships/hyperlink" Target="https://old.ukr-mobil.com/index.php?route=product&amp;product_id=10004664" TargetMode="External"/><Relationship Id="rId_hyperlink_3326" Type="http://schemas.openxmlformats.org/officeDocument/2006/relationships/hyperlink" Target="https://old.ukr-mobil.com/index.php?route=product&amp;product_id=10004663" TargetMode="External"/><Relationship Id="rId_hyperlink_3327" Type="http://schemas.openxmlformats.org/officeDocument/2006/relationships/hyperlink" Target="https://old.ukr-mobil.com/displej_xiaomi_pocophone_f1_s_tachskrinom_high_copy_black_11140" TargetMode="External"/><Relationship Id="rId_hyperlink_3328" Type="http://schemas.openxmlformats.org/officeDocument/2006/relationships/hyperlink" Target="https://old.ukr-mobil.com/displej_xiaomi_redmi_10_redmi_note_11_4g_s_tachskrinom_high_copy_black_10004536" TargetMode="External"/><Relationship Id="rId_hyperlink_3329" Type="http://schemas.openxmlformats.org/officeDocument/2006/relationships/hyperlink" Target="https://old.ukr-mobil.com/displej_xiaomi_redmi_10_s_tachskrinom_original_black_10002048" TargetMode="External"/><Relationship Id="rId_hyperlink_3330" Type="http://schemas.openxmlformats.org/officeDocument/2006/relationships/hyperlink" Target="https://old.ukr-mobil.com/displej_xiaomi_redmi_10_redmi_note_11_4g_s_tachskrinom_service_pack_original_10003706" TargetMode="External"/><Relationship Id="rId_hyperlink_3331" Type="http://schemas.openxmlformats.org/officeDocument/2006/relationships/hyperlink" Target="https://old.ukr-mobil.com/displej_xiaomi_redmi_10_s_tachskrinom_s_ramkoj_original_prc_black_10002558" TargetMode="External"/><Relationship Id="rId_hyperlink_3332" Type="http://schemas.openxmlformats.org/officeDocument/2006/relationships/hyperlink" Target="https://old.ukr-mobil.com/displej_xiaomi_redmi_10c_s_tachskrinom_original_black_10002433" TargetMode="External"/><Relationship Id="rId_hyperlink_3333" Type="http://schemas.openxmlformats.org/officeDocument/2006/relationships/hyperlink" Target="https://old.ukr-mobil.com/displej_xiaomi_redmi_10c_redmi_10_power_poco_c40_s_tachskrinom_service_pack_original_10003699" TargetMode="External"/><Relationship Id="rId_hyperlink_3334" Type="http://schemas.openxmlformats.org/officeDocument/2006/relationships/hyperlink" Target="https://old.ukr-mobil.com/displej_xiaomi_redmi_10c_s_tachskrinom_s_ramkoj_original_prc_black_10003556" TargetMode="External"/><Relationship Id="rId_hyperlink_3335" Type="http://schemas.openxmlformats.org/officeDocument/2006/relationships/hyperlink" Target="https://old.ukr-mobil.com/displej_xiaomi_redmi_12_s_tachskrinom_original_prc_black_10004560" TargetMode="External"/><Relationship Id="rId_hyperlink_3336" Type="http://schemas.openxmlformats.org/officeDocument/2006/relationships/hyperlink" Target="https://old.ukr-mobil.com/displej_xiaomi_redmi_12_s_tachskrinom_service_pack_original_10004561" TargetMode="External"/><Relationship Id="rId_hyperlink_3337" Type="http://schemas.openxmlformats.org/officeDocument/2006/relationships/hyperlink" Target="https://old.ukr-mobil.com/index.php?route=product&amp;product_id=10004652" TargetMode="External"/><Relationship Id="rId_hyperlink_3338" Type="http://schemas.openxmlformats.org/officeDocument/2006/relationships/hyperlink" Target="https://old.ukr-mobil.com/displej_xiaomi_redmi_12c_s_tachskrinom_original_prc_black_10003293" TargetMode="External"/><Relationship Id="rId_hyperlink_3339" Type="http://schemas.openxmlformats.org/officeDocument/2006/relationships/hyperlink" Target="https://old.ukr-mobil.com/displej_xiaomi_redmi_12c_s_tachskrinom_service_pack_original_10004501" TargetMode="External"/><Relationship Id="rId_hyperlink_3340" Type="http://schemas.openxmlformats.org/officeDocument/2006/relationships/hyperlink" Target="https://old.ukr-mobil.com/displej_xiaomi_redmi_12c_s_tachskrinom_s_ramkoj_original_prc_black_10003892" TargetMode="External"/><Relationship Id="rId_hyperlink_3341" Type="http://schemas.openxmlformats.org/officeDocument/2006/relationships/hyperlink" Target="https://old.ukr-mobil.com/index.php?route=product&amp;product_id=10005849" TargetMode="External"/><Relationship Id="rId_hyperlink_3342" Type="http://schemas.openxmlformats.org/officeDocument/2006/relationships/hyperlink" Target="https://old.ukr-mobil.com/displej_xiaomi_redmi_5_plus_s_tachskrinom_high_copy_black_10002334" TargetMode="External"/><Relationship Id="rId_hyperlink_3343" Type="http://schemas.openxmlformats.org/officeDocument/2006/relationships/hyperlink" Target="https://old.ukr-mobil.com/displej_xiaomi_redmi_5_plus_s_tachskrinom_high_copy_white_10002335" TargetMode="External"/><Relationship Id="rId_hyperlink_3344" Type="http://schemas.openxmlformats.org/officeDocument/2006/relationships/hyperlink" Target="https://old.ukr-mobil.com/displej_xiaomi_redmi_5_plus_s_tachskrinom_original_prc_white_10166" TargetMode="External"/><Relationship Id="rId_hyperlink_3345" Type="http://schemas.openxmlformats.org/officeDocument/2006/relationships/hyperlink" Target="https://old.ukr-mobil.com/displej_xiaomi_redmi_5_s_tachskrinom_original_prc_black_10119" TargetMode="External"/><Relationship Id="rId_hyperlink_3346" Type="http://schemas.openxmlformats.org/officeDocument/2006/relationships/hyperlink" Target="https://old.ukr-mobil.com/displej_xiaomi_redmi_5a_redmi_go_s_tachskrinom_black_9895" TargetMode="External"/><Relationship Id="rId_hyperlink_3347" Type="http://schemas.openxmlformats.org/officeDocument/2006/relationships/hyperlink" Target="https://old.ukr-mobil.com/displej_xiaomi_redmi_6_redmi_6a_s_tachskrinom_high_copy_black_10338" TargetMode="External"/><Relationship Id="rId_hyperlink_3348" Type="http://schemas.openxmlformats.org/officeDocument/2006/relationships/hyperlink" Target="https://old.ukr-mobil.com/displej_xiaomi_redmi_6_redmi_6a_s_tachskrinom_high_copy_white_10339" TargetMode="External"/><Relationship Id="rId_hyperlink_3349" Type="http://schemas.openxmlformats.org/officeDocument/2006/relationships/hyperlink" Target="https://old.ukr-mobil.com/displej_xiaomi_redmi_7_s_tachskrinom_original_prc_black_11723" TargetMode="External"/><Relationship Id="rId_hyperlink_3350" Type="http://schemas.openxmlformats.org/officeDocument/2006/relationships/hyperlink" Target="https://old.ukr-mobil.com/displej_xiaomi_redmi_7a_s_tachskrinom_high_copy_black_12314" TargetMode="External"/><Relationship Id="rId_hyperlink_3351" Type="http://schemas.openxmlformats.org/officeDocument/2006/relationships/hyperlink" Target="https://old.ukr-mobil.com/displej_xiaomi_redmi_8_redmi_8a_s_tachskrinom_original_prc_black_12362" TargetMode="External"/><Relationship Id="rId_hyperlink_3352" Type="http://schemas.openxmlformats.org/officeDocument/2006/relationships/hyperlink" Target="https://old.ukr-mobil.com/index.php?route=product&amp;product_id=10004656" TargetMode="External"/><Relationship Id="rId_hyperlink_3353" Type="http://schemas.openxmlformats.org/officeDocument/2006/relationships/hyperlink" Target="https://old.ukr-mobil.com/displej_xiaomi_redmi_8_redmi_8a_s_tachskrinom_s_ramkoj_original_prc_black_10002253" TargetMode="External"/><Relationship Id="rId_hyperlink_3354" Type="http://schemas.openxmlformats.org/officeDocument/2006/relationships/hyperlink" Target="https://old.ukr-mobil.com/displej_xiaomi_redmi_9_redmi_9_prime_poco_m2_s_tachskrinom_high_copy_black_10002948" TargetMode="External"/><Relationship Id="rId_hyperlink_3355" Type="http://schemas.openxmlformats.org/officeDocument/2006/relationships/hyperlink" Target="https://old.ukr-mobil.com/displej_xiaomi_redmi_9_s_tachskrinom_original_black_10001014" TargetMode="External"/><Relationship Id="rId_hyperlink_3356" Type="http://schemas.openxmlformats.org/officeDocument/2006/relationships/hyperlink" Target="https://old.ukr-mobil.com/displej_xiaomi_redmi_9_redmi_9_prime_poco_m2_s_tachskrinom_service_pack_original_10004404" TargetMode="External"/><Relationship Id="rId_hyperlink_3357" Type="http://schemas.openxmlformats.org/officeDocument/2006/relationships/hyperlink" Target="https://old.ukr-mobil.com/displej_xiaomi_redmi_9_redmi_9_prime_poco_m2_s_tachskrinom_s_ramkoj_original_prc_black_10002008" TargetMode="External"/><Relationship Id="rId_hyperlink_3358" Type="http://schemas.openxmlformats.org/officeDocument/2006/relationships/hyperlink" Target="https://old.ukr-mobil.com/displej_xiaomi_redmi_9a_redmi_9c_redmi_10a_poco_c3_s_tachskrinom_high_copy_black_10003144" TargetMode="External"/><Relationship Id="rId_hyperlink_3359" Type="http://schemas.openxmlformats.org/officeDocument/2006/relationships/hyperlink" Target="https://old.ukr-mobil.com/displej_xiaomi_redmi_9a_redmi_9c_s_tachskrinom_original_prc_black_10001051" TargetMode="External"/><Relationship Id="rId_hyperlink_3360" Type="http://schemas.openxmlformats.org/officeDocument/2006/relationships/hyperlink" Target="https://old.ukr-mobil.com/displej_xiaomi_redmi_9a_redmi_9c_redmi_10a_poco_c3_s_tachskrinom_service_pack_original_10003705" TargetMode="External"/><Relationship Id="rId_hyperlink_3361" Type="http://schemas.openxmlformats.org/officeDocument/2006/relationships/hyperlink" Target="https://old.ukr-mobil.com/displej_xiaomi_redmi_9a_redmi_9c_poco_c3_s_tachskrinom_s_ramkoj_original_prc_black_10002009" TargetMode="External"/><Relationship Id="rId_hyperlink_3362" Type="http://schemas.openxmlformats.org/officeDocument/2006/relationships/hyperlink" Target="https://old.ukr-mobil.com/displej_xiaomi_redmi_9t_redmi_9_power_poco_m3_s_tachskrinom_high_copy_10002940" TargetMode="External"/><Relationship Id="rId_hyperlink_3363" Type="http://schemas.openxmlformats.org/officeDocument/2006/relationships/hyperlink" Target="https://old.ukr-mobil.com/displej_xiaomi_poco_m3_s_tachskrinom_original_prc_black_10001576" TargetMode="External"/><Relationship Id="rId_hyperlink_3364" Type="http://schemas.openxmlformats.org/officeDocument/2006/relationships/hyperlink" Target="https://old.ukr-mobil.com/displej_xiaomi_redmi_9t_redmi_9_power_poco_m3_s_tachskrinom_service_pack_original_10003704" TargetMode="External"/><Relationship Id="rId_hyperlink_3365" Type="http://schemas.openxmlformats.org/officeDocument/2006/relationships/hyperlink" Target="https://old.ukr-mobil.com/displej_xiaomi_redmi_9t_redmi_9_power_poco_m3_s_tachskrinom_s_ramkoj_original_prc_black_10002010" TargetMode="External"/><Relationship Id="rId_hyperlink_3366" Type="http://schemas.openxmlformats.org/officeDocument/2006/relationships/hyperlink" Target="https://old.ukr-mobil.com/displej_xiaomi_redmi_a1_redmi_a1_plus_s_tachskrinom_original_prc_black_10003564" TargetMode="External"/><Relationship Id="rId_hyperlink_3367" Type="http://schemas.openxmlformats.org/officeDocument/2006/relationships/hyperlink" Target="https://old.ukr-mobil.com/displej_xiaomi_redmi_a1_redmi_a1_plus_s_tachskrinom_service_pack_original_10004313" TargetMode="External"/><Relationship Id="rId_hyperlink_3368" Type="http://schemas.openxmlformats.org/officeDocument/2006/relationships/hyperlink" Target="https://old.ukr-mobil.com/displej_xiaomi_redmi_a1_redmi_a1_plus_s_tachskrinom_s_ramkoj_original_prc_black_10004312" TargetMode="External"/><Relationship Id="rId_hyperlink_3369" Type="http://schemas.openxmlformats.org/officeDocument/2006/relationships/hyperlink" Target="https://old.ukr-mobil.com/displej_xiaomi_redmi_note_10_5g_poco_m3_pro_poco_m3_pro_5g_s_tachskrinom_original_10002031" TargetMode="External"/><Relationship Id="rId_hyperlink_3370" Type="http://schemas.openxmlformats.org/officeDocument/2006/relationships/hyperlink" Target="https://old.ukr-mobil.com/displej_xiaomi_redmi_note_10_5g_poco_m3_pro_poco_m3_pro_5g_s_tachskrinom_service_pack_original_10004502" TargetMode="External"/><Relationship Id="rId_hyperlink_3371" Type="http://schemas.openxmlformats.org/officeDocument/2006/relationships/hyperlink" Target="https://old.ukr-mobil.com/displej_xiaomi_redmi_note_10_5g_s_tachskrinom_s_ramkoj_original_prc_10002526" TargetMode="External"/><Relationship Id="rId_hyperlink_3372" Type="http://schemas.openxmlformats.org/officeDocument/2006/relationships/hyperlink" Target="https://old.ukr-mobil.com/displej_xiaomi_redmi_note_10_pro_s_tachskrinom_oled_black_10002487" TargetMode="External"/><Relationship Id="rId_hyperlink_3373" Type="http://schemas.openxmlformats.org/officeDocument/2006/relationships/hyperlink" Target="https://old.ukr-mobil.com/displej_xiaomi_redmi_note_10_pro_s_tachskrinom_original_black_10001762" TargetMode="External"/><Relationship Id="rId_hyperlink_3374" Type="http://schemas.openxmlformats.org/officeDocument/2006/relationships/hyperlink" Target="https://old.ukr-mobil.com/displej_xiaomi_redmi_note_10_pro_5g_s_tachskrinom_original_prc_10002534" TargetMode="External"/><Relationship Id="rId_hyperlink_3375" Type="http://schemas.openxmlformats.org/officeDocument/2006/relationships/hyperlink" Target="https://old.ukr-mobil.com/displej_xiaomi_redmi_note_10_pro_s_tachskrinom_tft_black_10002220" TargetMode="External"/><Relationship Id="rId_hyperlink_3376" Type="http://schemas.openxmlformats.org/officeDocument/2006/relationships/hyperlink" Target="https://old.ukr-mobil.com/displej_xiaomi_redmi_note_10_pro_s_tachskrinom_s_ramkoj_oled_black_10004283" TargetMode="External"/><Relationship Id="rId_hyperlink_3377" Type="http://schemas.openxmlformats.org/officeDocument/2006/relationships/hyperlink" Target="https://old.ukr-mobil.com/displej_xiaomi_redmi_note_10_s_tachskrinom_original_black_10001761" TargetMode="External"/><Relationship Id="rId_hyperlink_3378" Type="http://schemas.openxmlformats.org/officeDocument/2006/relationships/hyperlink" Target="https://old.ukr-mobil.com/displej_xiaomi_redmi_note_10_4g_redmi_note_10s_s_tachskrinom_oled_black_10001949" TargetMode="External"/><Relationship Id="rId_hyperlink_3379" Type="http://schemas.openxmlformats.org/officeDocument/2006/relationships/hyperlink" Target="https://old.ukr-mobil.com/displej_xiaomi_redmi_note_10_redmi_note_10s_s_tachskrinom_original_10002488" TargetMode="External"/><Relationship Id="rId_hyperlink_3380" Type="http://schemas.openxmlformats.org/officeDocument/2006/relationships/hyperlink" Target="https://old.ukr-mobil.com/displej_xiaomi_redmi_note_10_redmi_note_10s_s_tachskrinom_s_ramkoj_oled_black_10003308" TargetMode="External"/><Relationship Id="rId_hyperlink_3381" Type="http://schemas.openxmlformats.org/officeDocument/2006/relationships/hyperlink" Target="https://old.ukr-mobil.com/displej_xiaomi_redmi_note_11_global_version_redmi_note_11s_s_tachskrinom_incell_tft_10002567" TargetMode="External"/><Relationship Id="rId_hyperlink_3382" Type="http://schemas.openxmlformats.org/officeDocument/2006/relationships/hyperlink" Target="https://old.ukr-mobil.com/displej_xiaomi_redmi_note_11_global_version_redmi_note_11s_s_tachskrinom_oled_10002725" TargetMode="External"/><Relationship Id="rId_hyperlink_3383" Type="http://schemas.openxmlformats.org/officeDocument/2006/relationships/hyperlink" Target="https://old.ukr-mobil.com/displej_xiaomi_redmi_note_11_global_version_redmi_note_11s_poco_m4_pro_s_tachskrinom_original_10002326" TargetMode="External"/><Relationship Id="rId_hyperlink_3384" Type="http://schemas.openxmlformats.org/officeDocument/2006/relationships/hyperlink" Target="https://old.ukr-mobil.com/displej_xiaomi_redmi_note_11_4g_s_tachskrinom_original_prc_10002439" TargetMode="External"/><Relationship Id="rId_hyperlink_3385" Type="http://schemas.openxmlformats.org/officeDocument/2006/relationships/hyperlink" Target="https://old.ukr-mobil.com/displej_xiaomi_redmi_note_11_5g_poco_m4_pro_5g_s_tachskrinom_original_prc_black_10002434" TargetMode="External"/><Relationship Id="rId_hyperlink_3386" Type="http://schemas.openxmlformats.org/officeDocument/2006/relationships/hyperlink" Target="https://old.ukr-mobil.com/index.php?route=product&amp;product_id=10004657" TargetMode="External"/><Relationship Id="rId_hyperlink_3387" Type="http://schemas.openxmlformats.org/officeDocument/2006/relationships/hyperlink" Target="https://old.ukr-mobil.com/displej_xiaomi_redmi_note_11_pro_redmi_note_11_pro_5g_poco_x4_pro_5g_s_tachskrinom_oled_10003290" TargetMode="External"/><Relationship Id="rId_hyperlink_3388" Type="http://schemas.openxmlformats.org/officeDocument/2006/relationships/hyperlink" Target="https://old.ukr-mobil.com/displej_xiaomi_redmi_note_11_pro_redmi_note_11_pro_5g_poco_x4_pro_5g_s_tachskrinom_original_10003289" TargetMode="External"/><Relationship Id="rId_hyperlink_3389" Type="http://schemas.openxmlformats.org/officeDocument/2006/relationships/hyperlink" Target="https://old.ukr-mobil.com/displej_xiaomi_redmi_note_11_s_tachskrinom_s_ramkoj_oled_black_10004503" TargetMode="External"/><Relationship Id="rId_hyperlink_3390" Type="http://schemas.openxmlformats.org/officeDocument/2006/relationships/hyperlink" Target="https://old.ukr-mobil.com/displej_xiaomi_redmi_note_11e_redmi_10_5g_poco_m4_5g_poco_m5_s_tachskrinom_original_prc_10004036" TargetMode="External"/><Relationship Id="rId_hyperlink_3391" Type="http://schemas.openxmlformats.org/officeDocument/2006/relationships/hyperlink" Target="https://old.ukr-mobil.com/index.php?route=product&amp;product_id=10004593" TargetMode="External"/><Relationship Id="rId_hyperlink_3392" Type="http://schemas.openxmlformats.org/officeDocument/2006/relationships/hyperlink" Target="https://old.ukr-mobil.com/displej_xiaomi_redmi_note_11e_redmi_10_5g_poco_m4_5g_poco_m5_s_tachskrinom_s_ramkoj_original_prc_black_10004559" TargetMode="External"/><Relationship Id="rId_hyperlink_3393" Type="http://schemas.openxmlformats.org/officeDocument/2006/relationships/hyperlink" Target="https://old.ukr-mobil.com/displej_xiaomi_redmi_note_11s_s_tachskrinom_s_ramkoj_oled_black_10003307" TargetMode="External"/><Relationship Id="rId_hyperlink_3394" Type="http://schemas.openxmlformats.org/officeDocument/2006/relationships/hyperlink" Target="https://old.ukr-mobil.com/displej_xiaomi_redmi_note_12_pro_5g_redmi_note_12_pro_plus_poco_x5_pro_s_tachskrinom_original_10003558" TargetMode="External"/><Relationship Id="rId_hyperlink_3395" Type="http://schemas.openxmlformats.org/officeDocument/2006/relationships/hyperlink" Target="https://old.ukr-mobil.com/index.php?route=product&amp;product_id=10004658" TargetMode="External"/><Relationship Id="rId_hyperlink_3396" Type="http://schemas.openxmlformats.org/officeDocument/2006/relationships/hyperlink" Target="https://old.ukr-mobil.com/displej_xiaomi_redmi_note_12_poco_x5_s_tachskrinom_original_black_10003557" TargetMode="External"/><Relationship Id="rId_hyperlink_3397" Type="http://schemas.openxmlformats.org/officeDocument/2006/relationships/hyperlink" Target="https://old.ukr-mobil.com/index.php?route=product&amp;product_id=10004685" TargetMode="External"/><Relationship Id="rId_hyperlink_3398" Type="http://schemas.openxmlformats.org/officeDocument/2006/relationships/hyperlink" Target="https://old.ukr-mobil.com/index.php?route=product&amp;product_id=10005852" TargetMode="External"/><Relationship Id="rId_hyperlink_3399" Type="http://schemas.openxmlformats.org/officeDocument/2006/relationships/hyperlink" Target="https://old.ukr-mobil.com/index.php?route=product&amp;product_id=10005851" TargetMode="External"/><Relationship Id="rId_hyperlink_3400" Type="http://schemas.openxmlformats.org/officeDocument/2006/relationships/hyperlink" Target="https://old.ukr-mobil.com/index.php?route=product&amp;product_id=10005850" TargetMode="External"/><Relationship Id="rId_hyperlink_3401" Type="http://schemas.openxmlformats.org/officeDocument/2006/relationships/hyperlink" Target="https://old.ukr-mobil.com/displej_xiaomi_redmi_note_4x_s_tachskrinom_high_copy_black_8410" TargetMode="External"/><Relationship Id="rId_hyperlink_3402" Type="http://schemas.openxmlformats.org/officeDocument/2006/relationships/hyperlink" Target="https://old.ukr-mobil.com/displej_xiaomi_redmi_note_4x_s_tachskrinom_high_copy_gold_8411" TargetMode="External"/><Relationship Id="rId_hyperlink_3403" Type="http://schemas.openxmlformats.org/officeDocument/2006/relationships/hyperlink" Target="https://old.ukr-mobil.com/displej_xiaomi_redmi_note_4x_s_tachskrinom_high_copy_white_8412" TargetMode="External"/><Relationship Id="rId_hyperlink_3404" Type="http://schemas.openxmlformats.org/officeDocument/2006/relationships/hyperlink" Target="https://old.ukr-mobil.com/displej_xiaomi_redmi_note_5_redmi_note_5_pro_s_tachskrinom_high_copy_black_10129" TargetMode="External"/><Relationship Id="rId_hyperlink_3405" Type="http://schemas.openxmlformats.org/officeDocument/2006/relationships/hyperlink" Target="https://old.ukr-mobil.com/displej_xiaomi_redmi_note_6_pro_s_tachskrinom_original_prc_black_11411" TargetMode="External"/><Relationship Id="rId_hyperlink_3406" Type="http://schemas.openxmlformats.org/officeDocument/2006/relationships/hyperlink" Target="https://old.ukr-mobil.com/index.php?route=product&amp;product_id=10006135" TargetMode="External"/><Relationship Id="rId_hyperlink_3407" Type="http://schemas.openxmlformats.org/officeDocument/2006/relationships/hyperlink" Target="https://old.ukr-mobil.com/displej_xiaomi_redmi_note_7_redmi_note_7_pro_s_tachskrinom_high_copy_black_10002923" TargetMode="External"/><Relationship Id="rId_hyperlink_3408" Type="http://schemas.openxmlformats.org/officeDocument/2006/relationships/hyperlink" Target="https://old.ukr-mobil.com/displej_xiaomi_redmi_note_7_s_tachskrinom_high_copy_black_11722" TargetMode="External"/><Relationship Id="rId_hyperlink_3409" Type="http://schemas.openxmlformats.org/officeDocument/2006/relationships/hyperlink" Target="https://old.ukr-mobil.com/index.php?route=product&amp;product_id=10004899" TargetMode="External"/><Relationship Id="rId_hyperlink_3410" Type="http://schemas.openxmlformats.org/officeDocument/2006/relationships/hyperlink" Target="https://old.ukr-mobil.com/displej_xiaomi_redmi_note_8_pro_s_tachskrinom_high_copy_black_10002667" TargetMode="External"/><Relationship Id="rId_hyperlink_3411" Type="http://schemas.openxmlformats.org/officeDocument/2006/relationships/hyperlink" Target="https://old.ukr-mobil.com/displej_xiaomi_redmi_note_8_pro_s_tachskrinom_original_prc_black_12361" TargetMode="External"/><Relationship Id="rId_hyperlink_3412" Type="http://schemas.openxmlformats.org/officeDocument/2006/relationships/hyperlink" Target="https://old.ukr-mobil.com/index.php?route=product&amp;product_id=10004659" TargetMode="External"/><Relationship Id="rId_hyperlink_3413" Type="http://schemas.openxmlformats.org/officeDocument/2006/relationships/hyperlink" Target="https://old.ukr-mobil.com/displej_xiaomi_redmi_note_8_pro_s_tachskrinom_s_ramkoj_high_copy_black_10003010" TargetMode="External"/><Relationship Id="rId_hyperlink_3414" Type="http://schemas.openxmlformats.org/officeDocument/2006/relationships/hyperlink" Target="https://old.ukr-mobil.com/displej_xiaomi_redmi_note_8_pro_s_tachskrinom_s_ramkoj_original_prc_black_10001102" TargetMode="External"/><Relationship Id="rId_hyperlink_3415" Type="http://schemas.openxmlformats.org/officeDocument/2006/relationships/hyperlink" Target="https://old.ukr-mobil.com/displej_xiaomi_redmi_note_8_s_tachskrinom_high_copy_black_10002949" TargetMode="External"/><Relationship Id="rId_hyperlink_3416" Type="http://schemas.openxmlformats.org/officeDocument/2006/relationships/hyperlink" Target="https://old.ukr-mobil.com/displej_xiaomi_redmi_note_8_s_tachskrinom_black_12360" TargetMode="External"/><Relationship Id="rId_hyperlink_3417" Type="http://schemas.openxmlformats.org/officeDocument/2006/relationships/hyperlink" Target="https://old.ukr-mobil.com/displej_xiaomi_redmi_note_8_s_tachskrinom_service_pack_original_10003702" TargetMode="External"/><Relationship Id="rId_hyperlink_3418" Type="http://schemas.openxmlformats.org/officeDocument/2006/relationships/hyperlink" Target="https://old.ukr-mobil.com/displej_xiaomi_redmi_note_8_s_tachskrinom_s_ramkoj_original_prc_black_10001101" TargetMode="External"/><Relationship Id="rId_hyperlink_3419" Type="http://schemas.openxmlformats.org/officeDocument/2006/relationships/hyperlink" Target="https://old.ukr-mobil.com/displej_xiaomi_redmi_note_8t_s_tachskrinom_high_copy_black_10002388" TargetMode="External"/><Relationship Id="rId_hyperlink_3420" Type="http://schemas.openxmlformats.org/officeDocument/2006/relationships/hyperlink" Target="https://old.ukr-mobil.com/displej_xiaomi_redmi_note_8t_s_tachskrinom_original_prc_black_10000575" TargetMode="External"/><Relationship Id="rId_hyperlink_3421" Type="http://schemas.openxmlformats.org/officeDocument/2006/relationships/hyperlink" Target="https://old.ukr-mobil.com/displej_xiaomi_redmi_note_8t_s_tachskrinom_service_pack_original_10004506" TargetMode="External"/><Relationship Id="rId_hyperlink_3422" Type="http://schemas.openxmlformats.org/officeDocument/2006/relationships/hyperlink" Target="https://old.ukr-mobil.com/displej_xiaomi_redmi_note_9_pro_redmi_note_9s_s_tachskrinom_high_quality_black_10003256" TargetMode="External"/><Relationship Id="rId_hyperlink_3423" Type="http://schemas.openxmlformats.org/officeDocument/2006/relationships/hyperlink" Target="https://old.ukr-mobil.com/displej_xiaomi_redmi_note_9_pro_redmi_note_9s_s_tachskrinom_original_black_10000661" TargetMode="External"/><Relationship Id="rId_hyperlink_3424" Type="http://schemas.openxmlformats.org/officeDocument/2006/relationships/hyperlink" Target="https://old.ukr-mobil.com/displej_xiaomi_redmi_note_9_pro_redmi_note_9s_s_tachskrinom_service_pack_original_10003700" TargetMode="External"/><Relationship Id="rId_hyperlink_3425" Type="http://schemas.openxmlformats.org/officeDocument/2006/relationships/hyperlink" Target="https://old.ukr-mobil.com/displej_xiaomi_redmi_note_9_pro_redmi_note_9s_s_tachskrinom_s_ramkoj_original_black_10002248" TargetMode="External"/><Relationship Id="rId_hyperlink_3426" Type="http://schemas.openxmlformats.org/officeDocument/2006/relationships/hyperlink" Target="https://old.ukr-mobil.com/displej_xiaomi_redmi_note_9_redmi_10x_4g_s_tachskrinom_high_copy_black_10002924" TargetMode="External"/><Relationship Id="rId_hyperlink_3427" Type="http://schemas.openxmlformats.org/officeDocument/2006/relationships/hyperlink" Target="https://old.ukr-mobil.com/displej_xiaomi_redmi_note_9_s_tachskrinom_original_prc_black_10000755" TargetMode="External"/><Relationship Id="rId_hyperlink_3428" Type="http://schemas.openxmlformats.org/officeDocument/2006/relationships/hyperlink" Target="https://old.ukr-mobil.com/displej_xiaomi_redmi_note_9_redmi_10x_4g_s_tachskrinom_service_pack_original_10003701" TargetMode="External"/><Relationship Id="rId_hyperlink_3429" Type="http://schemas.openxmlformats.org/officeDocument/2006/relationships/hyperlink" Target="https://old.ukr-mobil.com/displej_xiaomi_redmi_note_9_redmi_10x_4g_s_tachskrinom_s_ramkoj_original_prc_black_10002247" TargetMode="External"/><Relationship Id="rId_hyperlink_3430" Type="http://schemas.openxmlformats.org/officeDocument/2006/relationships/hyperlink" Target="https://old.ukr-mobil.com/displej_xiaomi_redmi_note_9t_s_tachskrinom_original_prc_black_10002166" TargetMode="External"/><Relationship Id="rId_hyperlink_3431" Type="http://schemas.openxmlformats.org/officeDocument/2006/relationships/hyperlink" Target="https://old.ukr-mobil.com/displej_xiaomi_redmi_note_s_tachskrinom_black_6620" TargetMode="External"/><Relationship Id="rId_hyperlink_3432" Type="http://schemas.openxmlformats.org/officeDocument/2006/relationships/hyperlink" Target="https://old.ukr-mobil.com/displej_xiaomi_redmi_pro_s_tachskrinom_original_prc_black_10000685" TargetMode="External"/><Relationship Id="rId_hyperlink_3433" Type="http://schemas.openxmlformats.org/officeDocument/2006/relationships/hyperlink" Target="https://old.ukr-mobil.com/displej_xiaomi_redmi_s2_s_tachskrinom_black_10340" TargetMode="External"/><Relationship Id="rId_hyperlink_3434" Type="http://schemas.openxmlformats.org/officeDocument/2006/relationships/hyperlink" Target="https://old.ukr-mobil.com/displej_zte_a452_blade_x3_s_tachskrinom_white_10961" TargetMode="External"/><Relationship Id="rId_hyperlink_3435" Type="http://schemas.openxmlformats.org/officeDocument/2006/relationships/hyperlink" Target="https://old.ukr-mobil.com/displej_zte_blade_20_smart_v1050_s_tachskrinom_original_prc_black_10001482" TargetMode="External"/><Relationship Id="rId_hyperlink_3436" Type="http://schemas.openxmlformats.org/officeDocument/2006/relationships/hyperlink" Target="https://old.ukr-mobil.com/displej_zte_blade_20_smart_v2050_s_tachskrinom_original_prc_black_10002030" TargetMode="External"/><Relationship Id="rId_hyperlink_3437" Type="http://schemas.openxmlformats.org/officeDocument/2006/relationships/hyperlink" Target="https://old.ukr-mobil.com/displej_zte_blade_a31_lite_s_tachskrinom_high_quality_black_10003294" TargetMode="External"/><Relationship Id="rId_hyperlink_3438" Type="http://schemas.openxmlformats.org/officeDocument/2006/relationships/hyperlink" Target="https://old.ukr-mobil.com/displej_zte_blade_a31_plus_2021_s_tachskrinom_high_quality_black_10003295" TargetMode="External"/><Relationship Id="rId_hyperlink_3439" Type="http://schemas.openxmlformats.org/officeDocument/2006/relationships/hyperlink" Target="https://old.ukr-mobil.com/displej_zte_blade_a5_2020_a7s_2019_a7_2019_a7_2020_p_n_ski608-b09_v0_1_s_tachskrinom_original_prc_black_10003304" TargetMode="External"/><Relationship Id="rId_hyperlink_3440" Type="http://schemas.openxmlformats.org/officeDocument/2006/relationships/hyperlink" Target="https://old.ukr-mobil.com/displej_zte_blade_a5_2020_a7s_2019_a7_prime_a7_2019_a7_2020_a7_vita_p_n_ski608-b09_v0_1_s_tachskrinom_original_prc_black_10002440" TargetMode="External"/><Relationship Id="rId_hyperlink_3441" Type="http://schemas.openxmlformats.org/officeDocument/2006/relationships/hyperlink" Target="https://old.ukr-mobil.com/displej_zte_blade_a5_2020_blade_a7_2019_blade_a7_2020_s_tachskrinom_original_prc_black_10001480" TargetMode="External"/><Relationship Id="rId_hyperlink_3442" Type="http://schemas.openxmlformats.org/officeDocument/2006/relationships/hyperlink" Target="https://old.ukr-mobil.com/displej_zte_blade_a601_s_tachskrinom_white_11508" TargetMode="External"/><Relationship Id="rId_hyperlink_3443" Type="http://schemas.openxmlformats.org/officeDocument/2006/relationships/hyperlink" Target="https://old.ukr-mobil.com/displej_zte_blade_a610_plus_s_tachskrinom_black_10346" TargetMode="External"/><Relationship Id="rId_hyperlink_3444" Type="http://schemas.openxmlformats.org/officeDocument/2006/relationships/hyperlink" Target="https://old.ukr-mobil.com/displej_zte_blade_a72_4g_blade_v40_vita_s_tachskrinom_original_prc_black_10003296" TargetMode="External"/><Relationship Id="rId_hyperlink_3445" Type="http://schemas.openxmlformats.org/officeDocument/2006/relationships/hyperlink" Target="https://old.ukr-mobil.com/displej_zte_blade_a7s_2020_s_tachskrinom_original_prc_black_10001481" TargetMode="External"/><Relationship Id="rId_hyperlink_3446" Type="http://schemas.openxmlformats.org/officeDocument/2006/relationships/hyperlink" Target="https://old.ukr-mobil.com/displej_zte_blade_a7s_2020_p_n_ski649-b08_v0_1_s_tachskrinom_original_prc_black_10002113" TargetMode="External"/><Relationship Id="rId_hyperlink_3447" Type="http://schemas.openxmlformats.org/officeDocument/2006/relationships/hyperlink" Target="https://old.ukr-mobil.com/displej_zte_blade_v2020_smart_5g_s_tachskrinom_original_prc_black_10002095" TargetMode="External"/><Relationship Id="rId_hyperlink_3448" Type="http://schemas.openxmlformats.org/officeDocument/2006/relationships/hyperlink" Target="https://old.ukr-mobil.com/index.php?route=product&amp;product_id=10004686" TargetMode="External"/><Relationship Id="rId_hyperlink_3449" Type="http://schemas.openxmlformats.org/officeDocument/2006/relationships/hyperlink" Target="https://old.ukr-mobil.com/kamera_i-phone_3gs_3960" TargetMode="External"/><Relationship Id="rId_hyperlink_3450" Type="http://schemas.openxmlformats.org/officeDocument/2006/relationships/hyperlink" Target="https://old.ukr-mobil.com/kamera_iphone_5_osnovnaya_original_4100" TargetMode="External"/><Relationship Id="rId_hyperlink_3451" Type="http://schemas.openxmlformats.org/officeDocument/2006/relationships/hyperlink" Target="https://old.ukr-mobil.com/kamera_iphone_5c_osnovnaya_original_8817" TargetMode="External"/><Relationship Id="rId_hyperlink_3452" Type="http://schemas.openxmlformats.org/officeDocument/2006/relationships/hyperlink" Target="https://old.ukr-mobil.com/kamera_iphone_6_osnovnaya_original_5433" TargetMode="External"/><Relationship Id="rId_hyperlink_3453" Type="http://schemas.openxmlformats.org/officeDocument/2006/relationships/hyperlink" Target="https://old.ukr-mobil.com/kamera_iphone_x_osnovnaya_orginal_100_11023" TargetMode="External"/><Relationship Id="rId_hyperlink_3454" Type="http://schemas.openxmlformats.org/officeDocument/2006/relationships/hyperlink" Target="https://old.ukr-mobil.com/kamera_samsung_g935_galaxy_s7_edge_osnovnaya_original_8819" TargetMode="External"/><Relationship Id="rId_hyperlink_3455" Type="http://schemas.openxmlformats.org/officeDocument/2006/relationships/hyperlink" Target="https://old.ukr-mobil.com/kamera_samsung_i9500_galaxy_s4_big_4839" TargetMode="External"/><Relationship Id="rId_hyperlink_3456" Type="http://schemas.openxmlformats.org/officeDocument/2006/relationships/hyperlink" Target="https://old.ukr-mobil.com/index.php?route=product&amp;product_id=10005537" TargetMode="External"/><Relationship Id="rId_hyperlink_3457" Type="http://schemas.openxmlformats.org/officeDocument/2006/relationships/hyperlink" Target="https://old.ukr-mobil.com/index.php?route=product&amp;product_id=10005539" TargetMode="External"/><Relationship Id="rId_hyperlink_3458" Type="http://schemas.openxmlformats.org/officeDocument/2006/relationships/hyperlink" Target="https://old.ukr-mobil.com/index.php?route=product&amp;product_id=10005538" TargetMode="External"/><Relationship Id="rId_hyperlink_3459" Type="http://schemas.openxmlformats.org/officeDocument/2006/relationships/hyperlink" Target="https://old.ukr-mobil.com/index.php?route=product&amp;product_id=10005540" TargetMode="External"/><Relationship Id="rId_hyperlink_3460" Type="http://schemas.openxmlformats.org/officeDocument/2006/relationships/hyperlink" Target="https://old.ukr-mobil.com/index.php?route=product&amp;product_id=10005541" TargetMode="External"/><Relationship Id="rId_hyperlink_3461" Type="http://schemas.openxmlformats.org/officeDocument/2006/relationships/hyperlink" Target="https://old.ukr-mobil.com/index.php?route=product&amp;product_id=10005542" TargetMode="External"/><Relationship Id="rId_hyperlink_3462" Type="http://schemas.openxmlformats.org/officeDocument/2006/relationships/hyperlink" Target="https://old.ukr-mobil.com/index.php?route=product&amp;product_id=10005543" TargetMode="External"/><Relationship Id="rId_hyperlink_3463" Type="http://schemas.openxmlformats.org/officeDocument/2006/relationships/hyperlink" Target="https://old.ukr-mobil.com/index.php?route=product&amp;product_id=10005304" TargetMode="External"/><Relationship Id="rId_hyperlink_3464" Type="http://schemas.openxmlformats.org/officeDocument/2006/relationships/hyperlink" Target="https://old.ukr-mobil.com/index.php?route=product&amp;product_id=10005169" TargetMode="External"/><Relationship Id="rId_hyperlink_3465" Type="http://schemas.openxmlformats.org/officeDocument/2006/relationships/hyperlink" Target="https://old.ukr-mobil.com/index.php?route=product&amp;product_id=10005301" TargetMode="External"/><Relationship Id="rId_hyperlink_3466" Type="http://schemas.openxmlformats.org/officeDocument/2006/relationships/hyperlink" Target="https://old.ukr-mobil.com/index.php?route=product&amp;product_id=10005305" TargetMode="External"/><Relationship Id="rId_hyperlink_3467" Type="http://schemas.openxmlformats.org/officeDocument/2006/relationships/hyperlink" Target="https://old.ukr-mobil.com/index.php?route=product&amp;product_id=10005303" TargetMode="External"/><Relationship Id="rId_hyperlink_3468" Type="http://schemas.openxmlformats.org/officeDocument/2006/relationships/hyperlink" Target="https://old.ukr-mobil.com/index.php?route=product&amp;product_id=10005302" TargetMode="External"/><Relationship Id="rId_hyperlink_3469" Type="http://schemas.openxmlformats.org/officeDocument/2006/relationships/hyperlink" Target="https://old.ukr-mobil.com/index.php?route=product&amp;product_id=10005533" TargetMode="External"/><Relationship Id="rId_hyperlink_3470" Type="http://schemas.openxmlformats.org/officeDocument/2006/relationships/hyperlink" Target="https://old.ukr-mobil.com/index.php?route=product&amp;product_id=10005534" TargetMode="External"/><Relationship Id="rId_hyperlink_3471" Type="http://schemas.openxmlformats.org/officeDocument/2006/relationships/hyperlink" Target="https://old.ukr-mobil.com/index.php?route=product&amp;product_id=10005521" TargetMode="External"/><Relationship Id="rId_hyperlink_3472" Type="http://schemas.openxmlformats.org/officeDocument/2006/relationships/hyperlink" Target="https://old.ukr-mobil.com/index.php?route=product&amp;product_id=10005522" TargetMode="External"/><Relationship Id="rId_hyperlink_3473" Type="http://schemas.openxmlformats.org/officeDocument/2006/relationships/hyperlink" Target="https://old.ukr-mobil.com/index.php?route=product&amp;product_id=10005532" TargetMode="External"/><Relationship Id="rId_hyperlink_3474" Type="http://schemas.openxmlformats.org/officeDocument/2006/relationships/hyperlink" Target="https://old.ukr-mobil.com/index.php?route=product&amp;product_id=10005525" TargetMode="External"/><Relationship Id="rId_hyperlink_3475" Type="http://schemas.openxmlformats.org/officeDocument/2006/relationships/hyperlink" Target="https://old.ukr-mobil.com/index.php?route=product&amp;product_id=10005524" TargetMode="External"/><Relationship Id="rId_hyperlink_3476" Type="http://schemas.openxmlformats.org/officeDocument/2006/relationships/hyperlink" Target="https://old.ukr-mobil.com/index.php?route=product&amp;product_id=10005527" TargetMode="External"/><Relationship Id="rId_hyperlink_3477" Type="http://schemas.openxmlformats.org/officeDocument/2006/relationships/hyperlink" Target="https://old.ukr-mobil.com/index.php?route=product&amp;product_id=10005528" TargetMode="External"/><Relationship Id="rId_hyperlink_3478" Type="http://schemas.openxmlformats.org/officeDocument/2006/relationships/hyperlink" Target="https://old.ukr-mobil.com/index.php?route=product&amp;product_id=10005529" TargetMode="External"/><Relationship Id="rId_hyperlink_3479" Type="http://schemas.openxmlformats.org/officeDocument/2006/relationships/hyperlink" Target="https://old.ukr-mobil.com/index.php?route=product&amp;product_id=10005530" TargetMode="External"/><Relationship Id="rId_hyperlink_3480" Type="http://schemas.openxmlformats.org/officeDocument/2006/relationships/hyperlink" Target="https://old.ukr-mobil.com/index.php?route=product&amp;product_id=10005531" TargetMode="External"/><Relationship Id="rId_hyperlink_3481" Type="http://schemas.openxmlformats.org/officeDocument/2006/relationships/hyperlink" Target="https://old.ukr-mobil.com/index.php?route=product&amp;product_id=10005504" TargetMode="External"/><Relationship Id="rId_hyperlink_3482" Type="http://schemas.openxmlformats.org/officeDocument/2006/relationships/hyperlink" Target="https://old.ukr-mobil.com/index.php?route=product&amp;product_id=10005505" TargetMode="External"/><Relationship Id="rId_hyperlink_3483" Type="http://schemas.openxmlformats.org/officeDocument/2006/relationships/hyperlink" Target="https://old.ukr-mobil.com/index.php?route=product&amp;product_id=10005506" TargetMode="External"/><Relationship Id="rId_hyperlink_3484" Type="http://schemas.openxmlformats.org/officeDocument/2006/relationships/hyperlink" Target="https://old.ukr-mobil.com/index.php?route=product&amp;product_id=10005515" TargetMode="External"/><Relationship Id="rId_hyperlink_3485" Type="http://schemas.openxmlformats.org/officeDocument/2006/relationships/hyperlink" Target="https://old.ukr-mobil.com/index.php?route=product&amp;product_id=10005507" TargetMode="External"/><Relationship Id="rId_hyperlink_3486" Type="http://schemas.openxmlformats.org/officeDocument/2006/relationships/hyperlink" Target="https://old.ukr-mobil.com/index.php?route=product&amp;product_id=10005122" TargetMode="External"/><Relationship Id="rId_hyperlink_3487" Type="http://schemas.openxmlformats.org/officeDocument/2006/relationships/hyperlink" Target="https://old.ukr-mobil.com/index.php?route=product&amp;product_id=10005535" TargetMode="External"/><Relationship Id="rId_hyperlink_3488" Type="http://schemas.openxmlformats.org/officeDocument/2006/relationships/hyperlink" Target="https://old.ukr-mobil.com/index.php?route=product&amp;product_id=10005514" TargetMode="External"/><Relationship Id="rId_hyperlink_3489" Type="http://schemas.openxmlformats.org/officeDocument/2006/relationships/hyperlink" Target="https://old.ukr-mobil.com/index.php?route=product&amp;product_id=10005508" TargetMode="External"/><Relationship Id="rId_hyperlink_3490" Type="http://schemas.openxmlformats.org/officeDocument/2006/relationships/hyperlink" Target="https://old.ukr-mobil.com/index.php?route=product&amp;product_id=10005512" TargetMode="External"/><Relationship Id="rId_hyperlink_3491" Type="http://schemas.openxmlformats.org/officeDocument/2006/relationships/hyperlink" Target="https://old.ukr-mobil.com/index.php?route=product&amp;product_id=10005509" TargetMode="External"/><Relationship Id="rId_hyperlink_3492" Type="http://schemas.openxmlformats.org/officeDocument/2006/relationships/hyperlink" Target="https://old.ukr-mobil.com/index.php?route=product&amp;product_id=10005510" TargetMode="External"/><Relationship Id="rId_hyperlink_3493" Type="http://schemas.openxmlformats.org/officeDocument/2006/relationships/hyperlink" Target="https://old.ukr-mobil.com/index.php?route=product&amp;product_id=10005511" TargetMode="External"/><Relationship Id="rId_hyperlink_3494" Type="http://schemas.openxmlformats.org/officeDocument/2006/relationships/hyperlink" Target="https://old.ukr-mobil.com/index.php?route=product&amp;product_id=10005513" TargetMode="External"/><Relationship Id="rId_hyperlink_3495" Type="http://schemas.openxmlformats.org/officeDocument/2006/relationships/hyperlink" Target="https://old.ukr-mobil.com/index.php?route=product&amp;product_id=10005320" TargetMode="External"/><Relationship Id="rId_hyperlink_3496" Type="http://schemas.openxmlformats.org/officeDocument/2006/relationships/hyperlink" Target="https://old.ukr-mobil.com/index.php?route=product&amp;product_id=10005307" TargetMode="External"/><Relationship Id="rId_hyperlink_3497" Type="http://schemas.openxmlformats.org/officeDocument/2006/relationships/hyperlink" Target="https://old.ukr-mobil.com/index.php?route=product&amp;product_id=10005308" TargetMode="External"/><Relationship Id="rId_hyperlink_3498" Type="http://schemas.openxmlformats.org/officeDocument/2006/relationships/hyperlink" Target="https://old.ukr-mobil.com/index.php?route=product&amp;product_id=10005310" TargetMode="External"/><Relationship Id="rId_hyperlink_3499" Type="http://schemas.openxmlformats.org/officeDocument/2006/relationships/hyperlink" Target="https://old.ukr-mobil.com/index.php?route=product&amp;product_id=10005309" TargetMode="External"/><Relationship Id="rId_hyperlink_3500" Type="http://schemas.openxmlformats.org/officeDocument/2006/relationships/hyperlink" Target="https://old.ukr-mobil.com/index.php?route=product&amp;product_id=10005319" TargetMode="External"/><Relationship Id="rId_hyperlink_3501" Type="http://schemas.openxmlformats.org/officeDocument/2006/relationships/hyperlink" Target="https://old.ukr-mobil.com/index.php?route=product&amp;product_id=10005328" TargetMode="External"/><Relationship Id="rId_hyperlink_3502" Type="http://schemas.openxmlformats.org/officeDocument/2006/relationships/hyperlink" Target="https://old.ukr-mobil.com/index.php?route=product&amp;product_id=10005333" TargetMode="External"/><Relationship Id="rId_hyperlink_3503" Type="http://schemas.openxmlformats.org/officeDocument/2006/relationships/hyperlink" Target="https://old.ukr-mobil.com/index.php?route=product&amp;product_id=10005334" TargetMode="External"/><Relationship Id="rId_hyperlink_3504" Type="http://schemas.openxmlformats.org/officeDocument/2006/relationships/hyperlink" Target="https://old.ukr-mobil.com/index.php?route=product&amp;product_id=10005336" TargetMode="External"/><Relationship Id="rId_hyperlink_3505" Type="http://schemas.openxmlformats.org/officeDocument/2006/relationships/hyperlink" Target="https://old.ukr-mobil.com/index.php?route=product&amp;product_id=10005337" TargetMode="External"/><Relationship Id="rId_hyperlink_3506" Type="http://schemas.openxmlformats.org/officeDocument/2006/relationships/hyperlink" Target="https://old.ukr-mobil.com/index.php?route=product&amp;product_id=10005338" TargetMode="External"/><Relationship Id="rId_hyperlink_3507" Type="http://schemas.openxmlformats.org/officeDocument/2006/relationships/hyperlink" Target="https://old.ukr-mobil.com/index.php?route=product&amp;product_id=10005339" TargetMode="External"/><Relationship Id="rId_hyperlink_3508" Type="http://schemas.openxmlformats.org/officeDocument/2006/relationships/hyperlink" Target="https://old.ukr-mobil.com/index.php?route=product&amp;product_id=10005340" TargetMode="External"/><Relationship Id="rId_hyperlink_3509" Type="http://schemas.openxmlformats.org/officeDocument/2006/relationships/hyperlink" Target="https://old.ukr-mobil.com/index.php?route=product&amp;product_id=10005341" TargetMode="External"/><Relationship Id="rId_hyperlink_3510" Type="http://schemas.openxmlformats.org/officeDocument/2006/relationships/hyperlink" Target="https://old.ukr-mobil.com/index.php?route=product&amp;product_id=10005345" TargetMode="External"/><Relationship Id="rId_hyperlink_3511" Type="http://schemas.openxmlformats.org/officeDocument/2006/relationships/hyperlink" Target="https://old.ukr-mobil.com/index.php?route=product&amp;product_id=10005346" TargetMode="External"/><Relationship Id="rId_hyperlink_3512" Type="http://schemas.openxmlformats.org/officeDocument/2006/relationships/hyperlink" Target="https://old.ukr-mobil.com/index.php?route=product&amp;product_id=10005347" TargetMode="External"/><Relationship Id="rId_hyperlink_3513" Type="http://schemas.openxmlformats.org/officeDocument/2006/relationships/hyperlink" Target="https://old.ukr-mobil.com/index.php?route=product&amp;product_id=10005348" TargetMode="External"/><Relationship Id="rId_hyperlink_3514" Type="http://schemas.openxmlformats.org/officeDocument/2006/relationships/hyperlink" Target="https://old.ukr-mobil.com/index.php?route=product&amp;product_id=10005349" TargetMode="External"/><Relationship Id="rId_hyperlink_3515" Type="http://schemas.openxmlformats.org/officeDocument/2006/relationships/hyperlink" Target="https://old.ukr-mobil.com/index.php?route=product&amp;product_id=10005350" TargetMode="External"/><Relationship Id="rId_hyperlink_3516" Type="http://schemas.openxmlformats.org/officeDocument/2006/relationships/hyperlink" Target="https://old.ukr-mobil.com/index.php?route=product&amp;product_id=10005323" TargetMode="External"/><Relationship Id="rId_hyperlink_3517" Type="http://schemas.openxmlformats.org/officeDocument/2006/relationships/hyperlink" Target="https://old.ukr-mobil.com/index.php?route=product&amp;product_id=10005312" TargetMode="External"/><Relationship Id="rId_hyperlink_3518" Type="http://schemas.openxmlformats.org/officeDocument/2006/relationships/hyperlink" Target="https://old.ukr-mobil.com/knopka_vkl_sonyeric_k700_malenka_4-oh_kontaktna_347" TargetMode="External"/><Relationship Id="rId_hyperlink_3519" Type="http://schemas.openxmlformats.org/officeDocument/2006/relationships/hyperlink" Target="https://old.ukr-mobil.com/knopka_vklyucheniya_regulirovki_gromkosti_iphone_6_6_plus_5835" TargetMode="External"/><Relationship Id="rId_hyperlink_3520" Type="http://schemas.openxmlformats.org/officeDocument/2006/relationships/hyperlink" Target="https://old.ukr-mobil.com/derzhatel_sim_karti_iphone_5_black_3726" TargetMode="External"/><Relationship Id="rId_hyperlink_3521" Type="http://schemas.openxmlformats.org/officeDocument/2006/relationships/hyperlink" Target="https://old.ukr-mobil.com/derzhatel_sim_karti_iphone_5_white_5351" TargetMode="External"/><Relationship Id="rId_hyperlink_3522" Type="http://schemas.openxmlformats.org/officeDocument/2006/relationships/hyperlink" Target="https://old.ukr-mobil.com/derzhatel_sim_karti_iphone_6_plus_gold_11624" TargetMode="External"/><Relationship Id="rId_hyperlink_3523" Type="http://schemas.openxmlformats.org/officeDocument/2006/relationships/hyperlink" Target="https://old.ukr-mobil.com/derzhatel_sim_karti_iphone_6_plus_space_gray_11622" TargetMode="External"/><Relationship Id="rId_hyperlink_3524" Type="http://schemas.openxmlformats.org/officeDocument/2006/relationships/hyperlink" Target="https://old.ukr-mobil.com/derzhatel_sim_karti_iphone_6_gold_11612" TargetMode="External"/><Relationship Id="rId_hyperlink_3525" Type="http://schemas.openxmlformats.org/officeDocument/2006/relationships/hyperlink" Target="https://old.ukr-mobil.com/derzhatel_sim_karti_iphone_6_silver_11613" TargetMode="External"/><Relationship Id="rId_hyperlink_3526" Type="http://schemas.openxmlformats.org/officeDocument/2006/relationships/hyperlink" Target="https://old.ukr-mobil.com/derzhatel_sim_karti_iphone_6_space_gray_11611" TargetMode="External"/><Relationship Id="rId_hyperlink_3527" Type="http://schemas.openxmlformats.org/officeDocument/2006/relationships/hyperlink" Target="https://old.ukr-mobil.com/derzhatel_sim_karti_iphone_6s_plus_gold_11627" TargetMode="External"/><Relationship Id="rId_hyperlink_3528" Type="http://schemas.openxmlformats.org/officeDocument/2006/relationships/hyperlink" Target="https://old.ukr-mobil.com/derzhatel_sim_karti_iphone_6s_plus_rose_gold_11628" TargetMode="External"/><Relationship Id="rId_hyperlink_3529" Type="http://schemas.openxmlformats.org/officeDocument/2006/relationships/hyperlink" Target="https://old.ukr-mobil.com/derzhatel_sim_karti_iphone_6s_plus_silver_11626" TargetMode="External"/><Relationship Id="rId_hyperlink_3530" Type="http://schemas.openxmlformats.org/officeDocument/2006/relationships/hyperlink" Target="https://old.ukr-mobil.com/derzhatel_sim_karti_iphone_6s_plus_space_gray_11625" TargetMode="External"/><Relationship Id="rId_hyperlink_3531" Type="http://schemas.openxmlformats.org/officeDocument/2006/relationships/hyperlink" Target="https://old.ukr-mobil.com/derzhatel_sim_karti_iphone_6s_gold_11616" TargetMode="External"/><Relationship Id="rId_hyperlink_3532" Type="http://schemas.openxmlformats.org/officeDocument/2006/relationships/hyperlink" Target="https://old.ukr-mobil.com/derzhatel_sim_karti_iphone_6s_rose_gold_11617" TargetMode="External"/><Relationship Id="rId_hyperlink_3533" Type="http://schemas.openxmlformats.org/officeDocument/2006/relationships/hyperlink" Target="https://old.ukr-mobil.com/derzhatel_sim_karti_iphone_6s_silver_11615" TargetMode="External"/><Relationship Id="rId_hyperlink_3534" Type="http://schemas.openxmlformats.org/officeDocument/2006/relationships/hyperlink" Target="https://old.ukr-mobil.com/derzhatel_sim_karti_iphone_6s_space_gray_11614" TargetMode="External"/><Relationship Id="rId_hyperlink_3535" Type="http://schemas.openxmlformats.org/officeDocument/2006/relationships/hyperlink" Target="https://old.ukr-mobil.com/derzhatel_sim_karti_iphone_7_plus_rose_gold_11634" TargetMode="External"/><Relationship Id="rId_hyperlink_3536" Type="http://schemas.openxmlformats.org/officeDocument/2006/relationships/hyperlink" Target="https://old.ukr-mobil.com/derzhatel_sim_karti_iphone_7_plus_silver_11632" TargetMode="External"/><Relationship Id="rId_hyperlink_3537" Type="http://schemas.openxmlformats.org/officeDocument/2006/relationships/hyperlink" Target="https://old.ukr-mobil.com/derzhatel_sim_karti_iphone_7_gold_11620" TargetMode="External"/><Relationship Id="rId_hyperlink_3538" Type="http://schemas.openxmlformats.org/officeDocument/2006/relationships/hyperlink" Target="https://old.ukr-mobil.com/derzhatel_sim_karti_meizu_m3_note_silver_10000583" TargetMode="External"/><Relationship Id="rId_hyperlink_3539" Type="http://schemas.openxmlformats.org/officeDocument/2006/relationships/hyperlink" Target="https://old.ukr-mobil.com/index.php?route=product&amp;product_id=10004835" TargetMode="External"/><Relationship Id="rId_hyperlink_3540" Type="http://schemas.openxmlformats.org/officeDocument/2006/relationships/hyperlink" Target="https://old.ukr-mobil.com/index.php?route=product&amp;product_id=10004836" TargetMode="External"/><Relationship Id="rId_hyperlink_3541" Type="http://schemas.openxmlformats.org/officeDocument/2006/relationships/hyperlink" Target="https://old.ukr-mobil.com/index.php?route=product&amp;product_id=10004840" TargetMode="External"/><Relationship Id="rId_hyperlink_3542" Type="http://schemas.openxmlformats.org/officeDocument/2006/relationships/hyperlink" Target="https://old.ukr-mobil.com/index.php?route=product&amp;product_id=10004841" TargetMode="External"/><Relationship Id="rId_hyperlink_3543" Type="http://schemas.openxmlformats.org/officeDocument/2006/relationships/hyperlink" Target="https://old.ukr-mobil.com/index.php?route=product&amp;product_id=10004839" TargetMode="External"/><Relationship Id="rId_hyperlink_3544" Type="http://schemas.openxmlformats.org/officeDocument/2006/relationships/hyperlink" Target="https://old.ukr-mobil.com/index.php?route=product&amp;product_id=10004837" TargetMode="External"/><Relationship Id="rId_hyperlink_3545" Type="http://schemas.openxmlformats.org/officeDocument/2006/relationships/hyperlink" Target="https://old.ukr-mobil.com/index.php?route=product&amp;product_id=10004838" TargetMode="External"/><Relationship Id="rId_hyperlink_3546" Type="http://schemas.openxmlformats.org/officeDocument/2006/relationships/hyperlink" Target="https://old.ukr-mobil.com/index.php?route=product&amp;product_id=10005139" TargetMode="External"/><Relationship Id="rId_hyperlink_3547" Type="http://schemas.openxmlformats.org/officeDocument/2006/relationships/hyperlink" Target="https://old.ukr-mobil.com/index.php?route=product&amp;product_id=10005137" TargetMode="External"/><Relationship Id="rId_hyperlink_3548" Type="http://schemas.openxmlformats.org/officeDocument/2006/relationships/hyperlink" Target="https://old.ukr-mobil.com/index.php?route=product&amp;product_id=10005138" TargetMode="External"/><Relationship Id="rId_hyperlink_3549" Type="http://schemas.openxmlformats.org/officeDocument/2006/relationships/hyperlink" Target="https://old.ukr-mobil.com/index.php?route=product&amp;product_id=10005135" TargetMode="External"/><Relationship Id="rId_hyperlink_3550" Type="http://schemas.openxmlformats.org/officeDocument/2006/relationships/hyperlink" Target="https://old.ukr-mobil.com/index.php?route=product&amp;product_id=10005134" TargetMode="External"/><Relationship Id="rId_hyperlink_3551" Type="http://schemas.openxmlformats.org/officeDocument/2006/relationships/hyperlink" Target="https://old.ukr-mobil.com/index.php?route=product&amp;product_id=10005136" TargetMode="External"/><Relationship Id="rId_hyperlink_3552" Type="http://schemas.openxmlformats.org/officeDocument/2006/relationships/hyperlink" Target="https://old.ukr-mobil.com/index.php?route=product&amp;product_id=10005142" TargetMode="External"/><Relationship Id="rId_hyperlink_3553" Type="http://schemas.openxmlformats.org/officeDocument/2006/relationships/hyperlink" Target="https://old.ukr-mobil.com/index.php?route=product&amp;product_id=10005143" TargetMode="External"/><Relationship Id="rId_hyperlink_3554" Type="http://schemas.openxmlformats.org/officeDocument/2006/relationships/hyperlink" Target="https://old.ukr-mobil.com/index.php?route=product&amp;product_id=10005141" TargetMode="External"/><Relationship Id="rId_hyperlink_3555" Type="http://schemas.openxmlformats.org/officeDocument/2006/relationships/hyperlink" Target="https://old.ukr-mobil.com/index.php?route=product&amp;product_id=10005145" TargetMode="External"/><Relationship Id="rId_hyperlink_3556" Type="http://schemas.openxmlformats.org/officeDocument/2006/relationships/hyperlink" Target="https://old.ukr-mobil.com/index.php?route=product&amp;product_id=10005146" TargetMode="External"/><Relationship Id="rId_hyperlink_3557" Type="http://schemas.openxmlformats.org/officeDocument/2006/relationships/hyperlink" Target="https://old.ukr-mobil.com/index.php?route=product&amp;product_id=10005147" TargetMode="External"/><Relationship Id="rId_hyperlink_3558" Type="http://schemas.openxmlformats.org/officeDocument/2006/relationships/hyperlink" Target="https://old.ukr-mobil.com/index.php?route=product&amp;product_id=10005148" TargetMode="External"/><Relationship Id="rId_hyperlink_3559" Type="http://schemas.openxmlformats.org/officeDocument/2006/relationships/hyperlink" Target="https://old.ukr-mobil.com/index.php?route=product&amp;product_id=10005150" TargetMode="External"/><Relationship Id="rId_hyperlink_3560" Type="http://schemas.openxmlformats.org/officeDocument/2006/relationships/hyperlink" Target="https://old.ukr-mobil.com/index.php?route=product&amp;product_id=10005149" TargetMode="External"/><Relationship Id="rId_hyperlink_3561" Type="http://schemas.openxmlformats.org/officeDocument/2006/relationships/hyperlink" Target="https://old.ukr-mobil.com/index.php?route=product&amp;product_id=10005154" TargetMode="External"/><Relationship Id="rId_hyperlink_3562" Type="http://schemas.openxmlformats.org/officeDocument/2006/relationships/hyperlink" Target="https://old.ukr-mobil.com/index.php?route=product&amp;product_id=10005151" TargetMode="External"/><Relationship Id="rId_hyperlink_3563" Type="http://schemas.openxmlformats.org/officeDocument/2006/relationships/hyperlink" Target="https://old.ukr-mobil.com/index.php?route=product&amp;product_id=10005152" TargetMode="External"/><Relationship Id="rId_hyperlink_3564" Type="http://schemas.openxmlformats.org/officeDocument/2006/relationships/hyperlink" Target="https://old.ukr-mobil.com/index.php?route=product&amp;product_id=10005153" TargetMode="External"/><Relationship Id="rId_hyperlink_3565" Type="http://schemas.openxmlformats.org/officeDocument/2006/relationships/hyperlink" Target="https://old.ukr-mobil.com/index.php?route=product&amp;product_id=10005155" TargetMode="External"/><Relationship Id="rId_hyperlink_3566" Type="http://schemas.openxmlformats.org/officeDocument/2006/relationships/hyperlink" Target="https://old.ukr-mobil.com/index.php?route=product&amp;product_id=10005156" TargetMode="External"/><Relationship Id="rId_hyperlink_3567" Type="http://schemas.openxmlformats.org/officeDocument/2006/relationships/hyperlink" Target="https://old.ukr-mobil.com/index.php?route=product&amp;product_id=10005157" TargetMode="External"/><Relationship Id="rId_hyperlink_3568" Type="http://schemas.openxmlformats.org/officeDocument/2006/relationships/hyperlink" Target="https://old.ukr-mobil.com/index.php?route=product&amp;product_id=10005158" TargetMode="External"/><Relationship Id="rId_hyperlink_3569" Type="http://schemas.openxmlformats.org/officeDocument/2006/relationships/hyperlink" Target="https://old.ukr-mobil.com/index.php?route=product&amp;product_id=10005159" TargetMode="External"/><Relationship Id="rId_hyperlink_3570" Type="http://schemas.openxmlformats.org/officeDocument/2006/relationships/hyperlink" Target="https://old.ukr-mobil.com/index.php?route=product&amp;product_id=10005161" TargetMode="External"/><Relationship Id="rId_hyperlink_3571" Type="http://schemas.openxmlformats.org/officeDocument/2006/relationships/hyperlink" Target="https://old.ukr-mobil.com/index.php?route=product&amp;product_id=10005162" TargetMode="External"/><Relationship Id="rId_hyperlink_3572" Type="http://schemas.openxmlformats.org/officeDocument/2006/relationships/hyperlink" Target="https://old.ukr-mobil.com/index.php?route=product&amp;product_id=10005160" TargetMode="External"/><Relationship Id="rId_hyperlink_3573" Type="http://schemas.openxmlformats.org/officeDocument/2006/relationships/hyperlink" Target="https://old.ukr-mobil.com/index.php?route=product&amp;product_id=10005163" TargetMode="External"/><Relationship Id="rId_hyperlink_3574" Type="http://schemas.openxmlformats.org/officeDocument/2006/relationships/hyperlink" Target="https://old.ukr-mobil.com/index.php?route=product&amp;product_id=10005164" TargetMode="External"/><Relationship Id="rId_hyperlink_3575" Type="http://schemas.openxmlformats.org/officeDocument/2006/relationships/hyperlink" Target="https://old.ukr-mobil.com/index.php?route=product&amp;product_id=10005167" TargetMode="External"/><Relationship Id="rId_hyperlink_3576" Type="http://schemas.openxmlformats.org/officeDocument/2006/relationships/hyperlink" Target="https://old.ukr-mobil.com/index.php?route=product&amp;product_id=10005165" TargetMode="External"/><Relationship Id="rId_hyperlink_3577" Type="http://schemas.openxmlformats.org/officeDocument/2006/relationships/hyperlink" Target="https://old.ukr-mobil.com/index.php?route=product&amp;product_id=10005166" TargetMode="External"/><Relationship Id="rId_hyperlink_3578" Type="http://schemas.openxmlformats.org/officeDocument/2006/relationships/hyperlink" Target="https://old.ukr-mobil.com/index.php?route=product&amp;product_id=10005131" TargetMode="External"/><Relationship Id="rId_hyperlink_3579" Type="http://schemas.openxmlformats.org/officeDocument/2006/relationships/hyperlink" Target="https://old.ukr-mobil.com/index.php?route=product&amp;product_id=10005133" TargetMode="External"/><Relationship Id="rId_hyperlink_3580" Type="http://schemas.openxmlformats.org/officeDocument/2006/relationships/hyperlink" Target="https://old.ukr-mobil.com/index.php?route=product&amp;product_id=10005132" TargetMode="External"/><Relationship Id="rId_hyperlink_3581" Type="http://schemas.openxmlformats.org/officeDocument/2006/relationships/hyperlink" Target="https://old.ukr-mobil.com/index.php?route=product&amp;product_id=10005128" TargetMode="External"/><Relationship Id="rId_hyperlink_3582" Type="http://schemas.openxmlformats.org/officeDocument/2006/relationships/hyperlink" Target="https://old.ukr-mobil.com/index.php?route=product&amp;product_id=10005129" TargetMode="External"/><Relationship Id="rId_hyperlink_3583" Type="http://schemas.openxmlformats.org/officeDocument/2006/relationships/hyperlink" Target="https://old.ukr-mobil.com/index.php?route=product&amp;product_id=10005130" TargetMode="External"/><Relationship Id="rId_hyperlink_3584" Type="http://schemas.openxmlformats.org/officeDocument/2006/relationships/hyperlink" Target="https://old.ukr-mobil.com/index.php?route=product&amp;product_id=10005116" TargetMode="External"/><Relationship Id="rId_hyperlink_3585" Type="http://schemas.openxmlformats.org/officeDocument/2006/relationships/hyperlink" Target="https://old.ukr-mobil.com/index.php?route=product&amp;product_id=10005126" TargetMode="External"/><Relationship Id="rId_hyperlink_3586" Type="http://schemas.openxmlformats.org/officeDocument/2006/relationships/hyperlink" Target="https://old.ukr-mobil.com/index.php?route=product&amp;product_id=10005127" TargetMode="External"/><Relationship Id="rId_hyperlink_3587" Type="http://schemas.openxmlformats.org/officeDocument/2006/relationships/hyperlink" Target="https://old.ukr-mobil.com/index.php?route=product&amp;product_id=10005117" TargetMode="External"/><Relationship Id="rId_hyperlink_3588" Type="http://schemas.openxmlformats.org/officeDocument/2006/relationships/hyperlink" Target="https://old.ukr-mobil.com/index.php?route=product&amp;product_id=10005112" TargetMode="External"/><Relationship Id="rId_hyperlink_3589" Type="http://schemas.openxmlformats.org/officeDocument/2006/relationships/hyperlink" Target="https://old.ukr-mobil.com/index.php?route=product&amp;product_id=10005111" TargetMode="External"/><Relationship Id="rId_hyperlink_3590" Type="http://schemas.openxmlformats.org/officeDocument/2006/relationships/hyperlink" Target="https://old.ukr-mobil.com/index.php?route=product&amp;product_id=10005110" TargetMode="External"/><Relationship Id="rId_hyperlink_3591" Type="http://schemas.openxmlformats.org/officeDocument/2006/relationships/hyperlink" Target="https://old.ukr-mobil.com/index.php?route=product&amp;product_id=10005107" TargetMode="External"/><Relationship Id="rId_hyperlink_3592" Type="http://schemas.openxmlformats.org/officeDocument/2006/relationships/hyperlink" Target="https://old.ukr-mobil.com/index.php?route=product&amp;product_id=10005109" TargetMode="External"/><Relationship Id="rId_hyperlink_3593" Type="http://schemas.openxmlformats.org/officeDocument/2006/relationships/hyperlink" Target="https://old.ukr-mobil.com/index.php?route=product&amp;product_id=10005108" TargetMode="External"/><Relationship Id="rId_hyperlink_3594" Type="http://schemas.openxmlformats.org/officeDocument/2006/relationships/hyperlink" Target="https://old.ukr-mobil.com/index.php?route=product&amp;product_id=10005114" TargetMode="External"/><Relationship Id="rId_hyperlink_3595" Type="http://schemas.openxmlformats.org/officeDocument/2006/relationships/hyperlink" Target="https://old.ukr-mobil.com/index.php?route=product&amp;product_id=10005113" TargetMode="External"/><Relationship Id="rId_hyperlink_3596" Type="http://schemas.openxmlformats.org/officeDocument/2006/relationships/hyperlink" Target="https://old.ukr-mobil.com/index.php?route=product&amp;product_id=10005105" TargetMode="External"/><Relationship Id="rId_hyperlink_3597" Type="http://schemas.openxmlformats.org/officeDocument/2006/relationships/hyperlink" Target="https://old.ukr-mobil.com/index.php?route=product&amp;product_id=10005106" TargetMode="External"/><Relationship Id="rId_hyperlink_3598" Type="http://schemas.openxmlformats.org/officeDocument/2006/relationships/hyperlink" Target="https://old.ukr-mobil.com/index.php?route=product&amp;product_id=10005103" TargetMode="External"/><Relationship Id="rId_hyperlink_3599" Type="http://schemas.openxmlformats.org/officeDocument/2006/relationships/hyperlink" Target="https://old.ukr-mobil.com/index.php?route=product&amp;product_id=10005104" TargetMode="External"/><Relationship Id="rId_hyperlink_3600" Type="http://schemas.openxmlformats.org/officeDocument/2006/relationships/hyperlink" Target="https://old.ukr-mobil.com/derzhatel_sim_karty_google_pixel_4a_black_10002735" TargetMode="External"/><Relationship Id="rId_hyperlink_3601" Type="http://schemas.openxmlformats.org/officeDocument/2006/relationships/hyperlink" Target="https://old.ukr-mobil.com/derzhatel_sim_karty_google_pixel_4a_white_10002736" TargetMode="External"/><Relationship Id="rId_hyperlink_3602" Type="http://schemas.openxmlformats.org/officeDocument/2006/relationships/hyperlink" Target="https://old.ukr-mobil.com/derzhatel_sim-karty_samsung_g930f_galaxy_s7_blue_9186" TargetMode="External"/><Relationship Id="rId_hyperlink_3603" Type="http://schemas.openxmlformats.org/officeDocument/2006/relationships/hyperlink" Target="https://old.ukr-mobil.com/derzhatel_sim-karty_sony_d6502_xperia_z2_d6503_xperia_z2_9174" TargetMode="External"/><Relationship Id="rId_hyperlink_3604" Type="http://schemas.openxmlformats.org/officeDocument/2006/relationships/hyperlink" Target="https://old.ukr-mobil.com/index.php?route=product&amp;product_id=10004967" TargetMode="External"/><Relationship Id="rId_hyperlink_3605" Type="http://schemas.openxmlformats.org/officeDocument/2006/relationships/hyperlink" Target="https://old.ukr-mobil.com/zadnyaya_kryshka_iphone_11_pro_max_original_white_10000484" TargetMode="External"/><Relationship Id="rId_hyperlink_3606" Type="http://schemas.openxmlformats.org/officeDocument/2006/relationships/hyperlink" Target="https://old.ukr-mobil.com/zadnyaya_kryshka_apple_iphone_11_pro_max_bolshoj_vyrez_pod_kameru_original_gold_10002644" TargetMode="External"/><Relationship Id="rId_hyperlink_3607" Type="http://schemas.openxmlformats.org/officeDocument/2006/relationships/hyperlink" Target="https://old.ukr-mobil.com/zadnyaya_kryshka_apple_iphone_11_pro_max_bolshoj_vyrez_pod_kameru_original_midnight_green_10002645" TargetMode="External"/><Relationship Id="rId_hyperlink_3608" Type="http://schemas.openxmlformats.org/officeDocument/2006/relationships/hyperlink" Target="https://old.ukr-mobil.com/zadnyaya_kryshka_apple_iphone_11_pro_max_bolshoj_vyrez_pod_kameru_original_space_gray_10002646" TargetMode="External"/><Relationship Id="rId_hyperlink_3609" Type="http://schemas.openxmlformats.org/officeDocument/2006/relationships/hyperlink" Target="https://old.ukr-mobil.com/zadnyaya_kryshka_apple_iphone_11_pro_max_bolshoj_vyrez_pod_kameru_original_white_10002647" TargetMode="External"/><Relationship Id="rId_hyperlink_3610" Type="http://schemas.openxmlformats.org/officeDocument/2006/relationships/hyperlink" Target="https://old.ukr-mobil.com/zadnyaya_kryshka_iphone_11_pro_original_white_10000481" TargetMode="External"/><Relationship Id="rId_hyperlink_3611" Type="http://schemas.openxmlformats.org/officeDocument/2006/relationships/hyperlink" Target="https://old.ukr-mobil.com/zadnyaya_kryshka_iphone_11_pro_original_midnight_green_10000486" TargetMode="External"/><Relationship Id="rId_hyperlink_3612" Type="http://schemas.openxmlformats.org/officeDocument/2006/relationships/hyperlink" Target="https://old.ukr-mobil.com/zadnyaya_kryshka_apple_iphone_11_pro_bolshoj_vyrez_pod_kameru_original_gold_10002651" TargetMode="External"/><Relationship Id="rId_hyperlink_3613" Type="http://schemas.openxmlformats.org/officeDocument/2006/relationships/hyperlink" Target="https://old.ukr-mobil.com/zadnyaya_kryshka_apple_iphone_11_pro_bolshoj_vyrez_pod_kameru_original_midnight_green_10002648" TargetMode="External"/><Relationship Id="rId_hyperlink_3614" Type="http://schemas.openxmlformats.org/officeDocument/2006/relationships/hyperlink" Target="https://old.ukr-mobil.com/zadnyaya_kryshka_apple_iphone_11_pro_bolshoj_vyrez_pod_kameru_original_space_gray_10002649" TargetMode="External"/><Relationship Id="rId_hyperlink_3615" Type="http://schemas.openxmlformats.org/officeDocument/2006/relationships/hyperlink" Target="https://old.ukr-mobil.com/zadnyaya_kryshka_apple_iphone_11_pro_bolshoj_vyrez_pod_kameru_original_white_10002650" TargetMode="External"/><Relationship Id="rId_hyperlink_3616" Type="http://schemas.openxmlformats.org/officeDocument/2006/relationships/hyperlink" Target="https://old.ukr-mobil.com/zadnyaya_kryshka_iphone_11_dlya_zameny_bez_razborki_korpusa_black_10000477" TargetMode="External"/><Relationship Id="rId_hyperlink_3617" Type="http://schemas.openxmlformats.org/officeDocument/2006/relationships/hyperlink" Target="https://old.ukr-mobil.com/zadnyaya_kryshka_iphone_11_dlya_zameny_bez_razborki_korpusa_green_10000478" TargetMode="External"/><Relationship Id="rId_hyperlink_3618" Type="http://schemas.openxmlformats.org/officeDocument/2006/relationships/hyperlink" Target="https://old.ukr-mobil.com/zadnyaya_kryshka_iphone_11_dlya_zameny_bez_razborki_korpusa_purple_10000479" TargetMode="External"/><Relationship Id="rId_hyperlink_3619" Type="http://schemas.openxmlformats.org/officeDocument/2006/relationships/hyperlink" Target="https://old.ukr-mobil.com/zadnyaya_kryshka_iphone_11_dlya_zameny_bez_razborki_korpusa_white_10000475" TargetMode="External"/><Relationship Id="rId_hyperlink_3620" Type="http://schemas.openxmlformats.org/officeDocument/2006/relationships/hyperlink" Target="https://old.ukr-mobil.com/zadnyaya_kryshka_apple_iphone_11_bolshoj_vyrez_pod_kameru_original_prc_black_10002652" TargetMode="External"/><Relationship Id="rId_hyperlink_3621" Type="http://schemas.openxmlformats.org/officeDocument/2006/relationships/hyperlink" Target="https://old.ukr-mobil.com/zadnyaya_kryshka_apple_iphone_11_bolshoj_vyrez_pod_kameru_original_prc_green_10002653" TargetMode="External"/><Relationship Id="rId_hyperlink_3622" Type="http://schemas.openxmlformats.org/officeDocument/2006/relationships/hyperlink" Target="https://old.ukr-mobil.com/zadnyaya_kryshka_apple_iphone_11_bolshoj_vyrez_pod_kameru_original_prc_red_10002654" TargetMode="External"/><Relationship Id="rId_hyperlink_3623" Type="http://schemas.openxmlformats.org/officeDocument/2006/relationships/hyperlink" Target="https://old.ukr-mobil.com/zadnyaya_kryshka_apple_iphone_12_pro_max_bolshoj_vyrez_pod_kameru_blue_10001599" TargetMode="External"/><Relationship Id="rId_hyperlink_3624" Type="http://schemas.openxmlformats.org/officeDocument/2006/relationships/hyperlink" Target="https://old.ukr-mobil.com/zadnyaya_kryshka_apple_iphone_12_pro_max_bolshoj_vyrez_pod_kameru_gold_10001612" TargetMode="External"/><Relationship Id="rId_hyperlink_3625" Type="http://schemas.openxmlformats.org/officeDocument/2006/relationships/hyperlink" Target="https://old.ukr-mobil.com/zadnyaya_kryshka_apple_iphone_12_pro_max_bolshoj_vyrez_pod_kameru_black_10001598" TargetMode="External"/><Relationship Id="rId_hyperlink_3626" Type="http://schemas.openxmlformats.org/officeDocument/2006/relationships/hyperlink" Target="https://old.ukr-mobil.com/zadnyaya_kryshka_apple_iphone_12_pro_max_bolshoj_vyrez_pod_kameru_white_10001611" TargetMode="External"/><Relationship Id="rId_hyperlink_3627" Type="http://schemas.openxmlformats.org/officeDocument/2006/relationships/hyperlink" Target="https://old.ukr-mobil.com/zadnyaya_kryshka_apple_iphone_12_pro_max_bolshoj_vyrez_pod_kameru_original_gold_10002957" TargetMode="External"/><Relationship Id="rId_hyperlink_3628" Type="http://schemas.openxmlformats.org/officeDocument/2006/relationships/hyperlink" Target="https://old.ukr-mobil.com/index.php?route=product&amp;product_id=10004604" TargetMode="External"/><Relationship Id="rId_hyperlink_3629" Type="http://schemas.openxmlformats.org/officeDocument/2006/relationships/hyperlink" Target="https://old.ukr-mobil.com/zadnyaya_kryshka_apple_iphone_12_pro_max_bolshoj_vyrez_pod_kameru_original_blue_10002956" TargetMode="External"/><Relationship Id="rId_hyperlink_3630" Type="http://schemas.openxmlformats.org/officeDocument/2006/relationships/hyperlink" Target="https://old.ukr-mobil.com/index.php?route=product&amp;product_id=10004605" TargetMode="External"/><Relationship Id="rId_hyperlink_3631" Type="http://schemas.openxmlformats.org/officeDocument/2006/relationships/hyperlink" Target="https://old.ukr-mobil.com/zadnyaya_kryshka_apple_iphone_12_pro_bolshoj_vyrez_pod_kameru_blue_10001597" TargetMode="External"/><Relationship Id="rId_hyperlink_3632" Type="http://schemas.openxmlformats.org/officeDocument/2006/relationships/hyperlink" Target="https://old.ukr-mobil.com/zadnyaya_kryshka_apple_iphone_12_pro_bolshoj_vyrez_pod_kameru_gold_10001613" TargetMode="External"/><Relationship Id="rId_hyperlink_3633" Type="http://schemas.openxmlformats.org/officeDocument/2006/relationships/hyperlink" Target="https://old.ukr-mobil.com/zadnyaya_kryshka_apple_iphone_12_pro_bolshoj_vyrez_pod_kameru_black_10001596" TargetMode="External"/><Relationship Id="rId_hyperlink_3634" Type="http://schemas.openxmlformats.org/officeDocument/2006/relationships/hyperlink" Target="https://old.ukr-mobil.com/zadnyaya_kryshka_apple_iphone_12_bolshoj_vyrez_pod_kameru_black_10001595" TargetMode="External"/><Relationship Id="rId_hyperlink_3635" Type="http://schemas.openxmlformats.org/officeDocument/2006/relationships/hyperlink" Target="https://old.ukr-mobil.com/zadnyaya_kryshka_apple_iphone_12_bolshoj_vyrez_pod_kameru_blue_10001610" TargetMode="External"/><Relationship Id="rId_hyperlink_3636" Type="http://schemas.openxmlformats.org/officeDocument/2006/relationships/hyperlink" Target="https://old.ukr-mobil.com/zadnyaya_kryshka_apple_iphone_12_bolshoj_vyrez_pod_kameru_green_10001608" TargetMode="External"/><Relationship Id="rId_hyperlink_3637" Type="http://schemas.openxmlformats.org/officeDocument/2006/relationships/hyperlink" Target="https://old.ukr-mobil.com/zadnyaya_kryshka_apple_iphone_12_bolshoj_vyrez_pod_kameru_white_10001609" TargetMode="External"/><Relationship Id="rId_hyperlink_3638" Type="http://schemas.openxmlformats.org/officeDocument/2006/relationships/hyperlink" Target="https://old.ukr-mobil.com/zadnyaya_kryshka_apple_iphone_13_pro_max_bolshoj_vyrez_pod_kameru_gold_10002124" TargetMode="External"/><Relationship Id="rId_hyperlink_3639" Type="http://schemas.openxmlformats.org/officeDocument/2006/relationships/hyperlink" Target="https://old.ukr-mobil.com/zadnyaya_kryshka_apple_iphone_13_pro_max_bolshoj_vyrez_pod_kameru_graphite_10002121" TargetMode="External"/><Relationship Id="rId_hyperlink_3640" Type="http://schemas.openxmlformats.org/officeDocument/2006/relationships/hyperlink" Target="https://old.ukr-mobil.com/zadnyaya_kryshka_apple_iphone_13_pro_max_bolshoj_vyrez_pod_kameru_sierra_blue_10002122" TargetMode="External"/><Relationship Id="rId_hyperlink_3641" Type="http://schemas.openxmlformats.org/officeDocument/2006/relationships/hyperlink" Target="https://old.ukr-mobil.com/zadnyaya_kryshka_apple_iphone_13_pro_max_bolshoj_vyrez_pod_kameru_original_sierra_blue_10002954" TargetMode="External"/><Relationship Id="rId_hyperlink_3642" Type="http://schemas.openxmlformats.org/officeDocument/2006/relationships/hyperlink" Target="https://old.ukr-mobil.com/index.php?route=product&amp;product_id=10004607" TargetMode="External"/><Relationship Id="rId_hyperlink_3643" Type="http://schemas.openxmlformats.org/officeDocument/2006/relationships/hyperlink" Target="https://old.ukr-mobil.com/zadnyaya_kryshka_apple_iphone_13_pro_bolshoj_vyrez_pod_kameru_black_10002193" TargetMode="External"/><Relationship Id="rId_hyperlink_3644" Type="http://schemas.openxmlformats.org/officeDocument/2006/relationships/hyperlink" Target="https://old.ukr-mobil.com/zadnyaya_kryshka_apple_iphone_13_pro_bolshoj_vyrez_pod_kameru_gold_10002195" TargetMode="External"/><Relationship Id="rId_hyperlink_3645" Type="http://schemas.openxmlformats.org/officeDocument/2006/relationships/hyperlink" Target="https://old.ukr-mobil.com/zadnyaya_kryshka_apple_iphone_13_pro_bolshoj_vyrez_pod_kameru_original_black_10002952" TargetMode="External"/><Relationship Id="rId_hyperlink_3646" Type="http://schemas.openxmlformats.org/officeDocument/2006/relationships/hyperlink" Target="https://old.ukr-mobil.com/zadnyaya_kryshka_apple_iphone_13_pro_bolshoj_vyrez_pod_kameru_original_blue_10002953" TargetMode="External"/><Relationship Id="rId_hyperlink_3647" Type="http://schemas.openxmlformats.org/officeDocument/2006/relationships/hyperlink" Target="https://old.ukr-mobil.com/index.php?route=product&amp;product_id=10004606" TargetMode="External"/><Relationship Id="rId_hyperlink_3648" Type="http://schemas.openxmlformats.org/officeDocument/2006/relationships/hyperlink" Target="https://old.ukr-mobil.com/zadnyaya_kryshka_apple_iphone_13_pro_bolshoj_vyrez_pod_kameru_graphite_10002125" TargetMode="External"/><Relationship Id="rId_hyperlink_3649" Type="http://schemas.openxmlformats.org/officeDocument/2006/relationships/hyperlink" Target="https://old.ukr-mobil.com/zadnyaya_kryshka_apple_iphone_13_pro_bolshoj_vyrez_pod_kameru_sierra_blue_10002127" TargetMode="External"/><Relationship Id="rId_hyperlink_3650" Type="http://schemas.openxmlformats.org/officeDocument/2006/relationships/hyperlink" Target="https://old.ukr-mobil.com/zadnyaya_kryshka_apple_iphone_13_pro_bolshoj_vyrez_pod_kameru_gold_10002126" TargetMode="External"/><Relationship Id="rId_hyperlink_3651" Type="http://schemas.openxmlformats.org/officeDocument/2006/relationships/hyperlink" Target="https://old.ukr-mobil.com/zadnyaya_kryshka_apple_iphone_13_bolshoj_vyrez_pod_kameru_red_10002204" TargetMode="External"/><Relationship Id="rId_hyperlink_3652" Type="http://schemas.openxmlformats.org/officeDocument/2006/relationships/hyperlink" Target="https://old.ukr-mobil.com/zadnyaya_kryshka_apple_iphone_13_pro_bolshoj_vyrez_pod_kameru_silver_10002128" TargetMode="External"/><Relationship Id="rId_hyperlink_3653" Type="http://schemas.openxmlformats.org/officeDocument/2006/relationships/hyperlink" Target="https://old.ukr-mobil.com/index.php?route=product&amp;product_id=10004771" TargetMode="External"/><Relationship Id="rId_hyperlink_3654" Type="http://schemas.openxmlformats.org/officeDocument/2006/relationships/hyperlink" Target="https://old.ukr-mobil.com/index.php?route=product&amp;product_id=10004772" TargetMode="External"/><Relationship Id="rId_hyperlink_3655" Type="http://schemas.openxmlformats.org/officeDocument/2006/relationships/hyperlink" Target="https://old.ukr-mobil.com/index.php?route=product&amp;product_id=10004773" TargetMode="External"/><Relationship Id="rId_hyperlink_3656" Type="http://schemas.openxmlformats.org/officeDocument/2006/relationships/hyperlink" Target="https://old.ukr-mobil.com/zadnyaya_kryshka_apple_iphone_14_plus_bolshoj_vyrez_pod_kameru_high_quality_blue_10003750" TargetMode="External"/><Relationship Id="rId_hyperlink_3657" Type="http://schemas.openxmlformats.org/officeDocument/2006/relationships/hyperlink" Target="https://old.ukr-mobil.com/zadnyaya_kryshka_apple_iphone_14_plus_bolshoj_vyrez_pod_kameru_high_quality_midnight_10003746" TargetMode="External"/><Relationship Id="rId_hyperlink_3658" Type="http://schemas.openxmlformats.org/officeDocument/2006/relationships/hyperlink" Target="https://old.ukr-mobil.com/zadnyaya_kryshka_apple_iphone_14_plus_bolshoj_vyrez_pod_kameru_high_quality_purple_10003748" TargetMode="External"/><Relationship Id="rId_hyperlink_3659" Type="http://schemas.openxmlformats.org/officeDocument/2006/relationships/hyperlink" Target="https://old.ukr-mobil.com/zadnyaya_kryshka_apple_iphone_14_plus_bolshoj_vyrez_pod_kameru_high_quality_red_10003747" TargetMode="External"/><Relationship Id="rId_hyperlink_3660" Type="http://schemas.openxmlformats.org/officeDocument/2006/relationships/hyperlink" Target="https://old.ukr-mobil.com/zadnyaya_kryshka_apple_iphone_14_plus_bolshoj_vyrez_pod_kameru_high_quality_starlight_10003745" TargetMode="External"/><Relationship Id="rId_hyperlink_3661" Type="http://schemas.openxmlformats.org/officeDocument/2006/relationships/hyperlink" Target="https://old.ukr-mobil.com/zadnyaya_kryshka_apple_iphone_14_plus_bolshoj_vyrez_pod_kameru_high_quality_yellow_10003749" TargetMode="External"/><Relationship Id="rId_hyperlink_3662" Type="http://schemas.openxmlformats.org/officeDocument/2006/relationships/hyperlink" Target="https://old.ukr-mobil.com/zadnyaya_kryshka_apple_iphone_14_pro_max_bolshoj_vyrez_pod_kameru_high_quality_deep_purple_10003741" TargetMode="External"/><Relationship Id="rId_hyperlink_3663" Type="http://schemas.openxmlformats.org/officeDocument/2006/relationships/hyperlink" Target="https://old.ukr-mobil.com/zadnyaya_kryshka_apple_iphone_14_pro_max_bolshoj_vyrez_pod_kameru_high_quality_gold_10003740" TargetMode="External"/><Relationship Id="rId_hyperlink_3664" Type="http://schemas.openxmlformats.org/officeDocument/2006/relationships/hyperlink" Target="https://old.ukr-mobil.com/zadnyaya_kryshka_apple_iphone_14_pro_max_bolshoj_vyrez_pod_kameru_high_quality_space_black_10003739" TargetMode="External"/><Relationship Id="rId_hyperlink_3665" Type="http://schemas.openxmlformats.org/officeDocument/2006/relationships/hyperlink" Target="https://old.ukr-mobil.com/zadnyaya_kryshka_apple_iphone_14_pro_max_bolshoj_vyrez_pod_kameru_high_quality_white_10003738" TargetMode="External"/><Relationship Id="rId_hyperlink_3666" Type="http://schemas.openxmlformats.org/officeDocument/2006/relationships/hyperlink" Target="https://old.ukr-mobil.com/zadnyaya_kryshka_apple_iphone_14_pro_max_bolshoj_vyrez_pod_kameru_original_deep_purple_10003073" TargetMode="External"/><Relationship Id="rId_hyperlink_3667" Type="http://schemas.openxmlformats.org/officeDocument/2006/relationships/hyperlink" Target="https://old.ukr-mobil.com/zadnyaya_kryshka_apple_iphone_14_pro_bolshoj_vyrez_pod_kameru_high_quality_gold_10003744" TargetMode="External"/><Relationship Id="rId_hyperlink_3668" Type="http://schemas.openxmlformats.org/officeDocument/2006/relationships/hyperlink" Target="https://old.ukr-mobil.com/zadnyaya_kryshka_apple_iphone_14_pro_bolshoj_vyrez_pod_kameru_high_quality_space_black_10003743" TargetMode="External"/><Relationship Id="rId_hyperlink_3669" Type="http://schemas.openxmlformats.org/officeDocument/2006/relationships/hyperlink" Target="https://old.ukr-mobil.com/zadnyaya_kryshka_apple_iphone_14_pro_bolshoj_vyrez_pod_kameru_high_quality_white_10003742" TargetMode="External"/><Relationship Id="rId_hyperlink_3670" Type="http://schemas.openxmlformats.org/officeDocument/2006/relationships/hyperlink" Target="https://old.ukr-mobil.com/zadnyaya_kryshka_apple_iphone_14_pro_bolshoj_vyrez_pod_kameru_original_deep_purple_10003313" TargetMode="External"/><Relationship Id="rId_hyperlink_3671" Type="http://schemas.openxmlformats.org/officeDocument/2006/relationships/hyperlink" Target="https://old.ukr-mobil.com/zadnyaya_kryshka_apple_iphone_14_bolshoj_vyrez_pod_kameru_high_quality_blue_10003756" TargetMode="External"/><Relationship Id="rId_hyperlink_3672" Type="http://schemas.openxmlformats.org/officeDocument/2006/relationships/hyperlink" Target="https://old.ukr-mobil.com/zadnyaya_kryshka_apple_iphone_14_bolshoj_vyrez_pod_kameru_high_quality_midnight_10003755" TargetMode="External"/><Relationship Id="rId_hyperlink_3673" Type="http://schemas.openxmlformats.org/officeDocument/2006/relationships/hyperlink" Target="https://old.ukr-mobil.com/zadnyaya_kryshka_apple_iphone_14_bolshoj_vyrez_pod_kameru_high_quality_purple_10003753" TargetMode="External"/><Relationship Id="rId_hyperlink_3674" Type="http://schemas.openxmlformats.org/officeDocument/2006/relationships/hyperlink" Target="https://old.ukr-mobil.com/zadnyaya_kryshka_apple_iphone_14_bolshoj_vyrez_pod_kameru_high_quality_red_10003752" TargetMode="External"/><Relationship Id="rId_hyperlink_3675" Type="http://schemas.openxmlformats.org/officeDocument/2006/relationships/hyperlink" Target="https://old.ukr-mobil.com/zadnyaya_kryshka_apple_iphone_14_bolshoj_vyrez_pod_kameru_high_quality_starlight_10003751" TargetMode="External"/><Relationship Id="rId_hyperlink_3676" Type="http://schemas.openxmlformats.org/officeDocument/2006/relationships/hyperlink" Target="https://old.ukr-mobil.com/zadnyaya_kryshka_apple_iphone_14_bolshoj_vyrez_pod_kameru_high_quality_yellow_10003754" TargetMode="External"/><Relationship Id="rId_hyperlink_3677" Type="http://schemas.openxmlformats.org/officeDocument/2006/relationships/hyperlink" Target="https://old.ukr-mobil.com/index.php?route=product&amp;product_id=10006090" TargetMode="External"/><Relationship Id="rId_hyperlink_3678" Type="http://schemas.openxmlformats.org/officeDocument/2006/relationships/hyperlink" Target="https://old.ukr-mobil.com/index.php?route=product&amp;product_id=10006094" TargetMode="External"/><Relationship Id="rId_hyperlink_3679" Type="http://schemas.openxmlformats.org/officeDocument/2006/relationships/hyperlink" Target="https://old.ukr-mobil.com/index.php?route=product&amp;product_id=10006092" TargetMode="External"/><Relationship Id="rId_hyperlink_3680" Type="http://schemas.openxmlformats.org/officeDocument/2006/relationships/hyperlink" Target="https://old.ukr-mobil.com/index.php?route=product&amp;product_id=10006091" TargetMode="External"/><Relationship Id="rId_hyperlink_3681" Type="http://schemas.openxmlformats.org/officeDocument/2006/relationships/hyperlink" Target="https://old.ukr-mobil.com/index.php?route=product&amp;product_id=10006093" TargetMode="External"/><Relationship Id="rId_hyperlink_3682" Type="http://schemas.openxmlformats.org/officeDocument/2006/relationships/hyperlink" Target="https://old.ukr-mobil.com/index.php?route=product&amp;product_id=10006099" TargetMode="External"/><Relationship Id="rId_hyperlink_3683" Type="http://schemas.openxmlformats.org/officeDocument/2006/relationships/hyperlink" Target="https://old.ukr-mobil.com/index.php?route=product&amp;product_id=10006100" TargetMode="External"/><Relationship Id="rId_hyperlink_3684" Type="http://schemas.openxmlformats.org/officeDocument/2006/relationships/hyperlink" Target="https://old.ukr-mobil.com/index.php?route=product&amp;product_id=10006101" TargetMode="External"/><Relationship Id="rId_hyperlink_3685" Type="http://schemas.openxmlformats.org/officeDocument/2006/relationships/hyperlink" Target="https://old.ukr-mobil.com/index.php?route=product&amp;product_id=10006102" TargetMode="External"/><Relationship Id="rId_hyperlink_3686" Type="http://schemas.openxmlformats.org/officeDocument/2006/relationships/hyperlink" Target="https://old.ukr-mobil.com/index.php?route=product&amp;product_id=10006095" TargetMode="External"/><Relationship Id="rId_hyperlink_3687" Type="http://schemas.openxmlformats.org/officeDocument/2006/relationships/hyperlink" Target="https://old.ukr-mobil.com/index.php?route=product&amp;product_id=10006096" TargetMode="External"/><Relationship Id="rId_hyperlink_3688" Type="http://schemas.openxmlformats.org/officeDocument/2006/relationships/hyperlink" Target="https://old.ukr-mobil.com/index.php?route=product&amp;product_id=10006097" TargetMode="External"/><Relationship Id="rId_hyperlink_3689" Type="http://schemas.openxmlformats.org/officeDocument/2006/relationships/hyperlink" Target="https://old.ukr-mobil.com/index.php?route=product&amp;product_id=10006098" TargetMode="External"/><Relationship Id="rId_hyperlink_3690" Type="http://schemas.openxmlformats.org/officeDocument/2006/relationships/hyperlink" Target="https://old.ukr-mobil.com/index.php?route=product&amp;product_id=10006085" TargetMode="External"/><Relationship Id="rId_hyperlink_3691" Type="http://schemas.openxmlformats.org/officeDocument/2006/relationships/hyperlink" Target="https://old.ukr-mobil.com/index.php?route=product&amp;product_id=10006089" TargetMode="External"/><Relationship Id="rId_hyperlink_3692" Type="http://schemas.openxmlformats.org/officeDocument/2006/relationships/hyperlink" Target="https://old.ukr-mobil.com/index.php?route=product&amp;product_id=10006087" TargetMode="External"/><Relationship Id="rId_hyperlink_3693" Type="http://schemas.openxmlformats.org/officeDocument/2006/relationships/hyperlink" Target="https://old.ukr-mobil.com/index.php?route=product&amp;product_id=10006086" TargetMode="External"/><Relationship Id="rId_hyperlink_3694" Type="http://schemas.openxmlformats.org/officeDocument/2006/relationships/hyperlink" Target="https://old.ukr-mobil.com/index.php?route=product&amp;product_id=10006088" TargetMode="External"/><Relationship Id="rId_hyperlink_3695" Type="http://schemas.openxmlformats.org/officeDocument/2006/relationships/hyperlink" Target="https://old.ukr-mobil.com/index.php?route=product&amp;product_id=10006103" TargetMode="External"/><Relationship Id="rId_hyperlink_3696" Type="http://schemas.openxmlformats.org/officeDocument/2006/relationships/hyperlink" Target="https://old.ukr-mobil.com/index.php?route=product&amp;product_id=10006104" TargetMode="External"/><Relationship Id="rId_hyperlink_3697" Type="http://schemas.openxmlformats.org/officeDocument/2006/relationships/hyperlink" Target="https://old.ukr-mobil.com/index.php?route=product&amp;product_id=10006105" TargetMode="External"/><Relationship Id="rId_hyperlink_3698" Type="http://schemas.openxmlformats.org/officeDocument/2006/relationships/hyperlink" Target="https://old.ukr-mobil.com/index.php?route=product&amp;product_id=10006106" TargetMode="External"/><Relationship Id="rId_hyperlink_3699" Type="http://schemas.openxmlformats.org/officeDocument/2006/relationships/hyperlink" Target="https://old.ukr-mobil.com/zadnyaya_kryshka_iphone_8_plus_dlya_zameny_bez_razborki_korpusa_black_12330" TargetMode="External"/><Relationship Id="rId_hyperlink_3700" Type="http://schemas.openxmlformats.org/officeDocument/2006/relationships/hyperlink" Target="https://old.ukr-mobil.com/zadnyaya_kryshka_iphone_8_plus_dlya_zameny_bez_razborki_korpusa_gold_12332" TargetMode="External"/><Relationship Id="rId_hyperlink_3701" Type="http://schemas.openxmlformats.org/officeDocument/2006/relationships/hyperlink" Target="https://old.ukr-mobil.com/zadnyaya_kryshka_apple_iphone_8_plus_bolshoj_vyrez_pod_kameru_red_10002575" TargetMode="External"/><Relationship Id="rId_hyperlink_3702" Type="http://schemas.openxmlformats.org/officeDocument/2006/relationships/hyperlink" Target="https://old.ukr-mobil.com/zadnyaya_kryshka_iphone_8_plus_dlya_zameny_bez_razborki_korpusa_white_12331" TargetMode="External"/><Relationship Id="rId_hyperlink_3703" Type="http://schemas.openxmlformats.org/officeDocument/2006/relationships/hyperlink" Target="https://old.ukr-mobil.com/zadnyaya_kryshka_iphone_8_dlya_zameny_bez_razborki_korpusa_gold_10000357" TargetMode="External"/><Relationship Id="rId_hyperlink_3704" Type="http://schemas.openxmlformats.org/officeDocument/2006/relationships/hyperlink" Target="https://old.ukr-mobil.com/zadnyaya_kryshka_iphone_8_s_steklom_kamery_white_10860" TargetMode="External"/><Relationship Id="rId_hyperlink_3705" Type="http://schemas.openxmlformats.org/officeDocument/2006/relationships/hyperlink" Target="https://old.ukr-mobil.com/zadnyaya_kryshka_iphone_x_dlya_zameny_bez_razborki_korpusa_black_12255" TargetMode="External"/><Relationship Id="rId_hyperlink_3706" Type="http://schemas.openxmlformats.org/officeDocument/2006/relationships/hyperlink" Target="https://old.ukr-mobil.com/zadnyaya_kryshka_iphone_xr_dlya_zameny_bez_razborki_korpusa_black_10000459" TargetMode="External"/><Relationship Id="rId_hyperlink_3707" Type="http://schemas.openxmlformats.org/officeDocument/2006/relationships/hyperlink" Target="https://old.ukr-mobil.com/zadnyaya_kryshka_apple_iphone_xr_bolshoj_vyrez_pod_kameru_red_10002576" TargetMode="External"/><Relationship Id="rId_hyperlink_3708" Type="http://schemas.openxmlformats.org/officeDocument/2006/relationships/hyperlink" Target="https://old.ukr-mobil.com/zadnyaya_kryshka_iphone_xs_max_dlya_zameny_bez_razborki_korpusa_black_12251" TargetMode="External"/><Relationship Id="rId_hyperlink_3709" Type="http://schemas.openxmlformats.org/officeDocument/2006/relationships/hyperlink" Target="https://old.ukr-mobil.com/zadnyaya_kryshka_iphone_xs_max_dlya_zameny_bez_razborki_korpusa_white_12252" TargetMode="External"/><Relationship Id="rId_hyperlink_3710" Type="http://schemas.openxmlformats.org/officeDocument/2006/relationships/hyperlink" Target="https://old.ukr-mobil.com/zadnyaya_kryshka_iphone_xs_dlya_zameny_bez_razborki_korpusa_black_12333" TargetMode="External"/><Relationship Id="rId_hyperlink_3711" Type="http://schemas.openxmlformats.org/officeDocument/2006/relationships/hyperlink" Target="https://old.ukr-mobil.com/zadnyaya_kryshka_iphone_xs_dlya_zameny_bez_razborki_korpusa_white_12253" TargetMode="External"/><Relationship Id="rId_hyperlink_3712" Type="http://schemas.openxmlformats.org/officeDocument/2006/relationships/hyperlink" Target="https://old.ukr-mobil.com/zadnyaya_kryshka_iphone_xs_s_steklom_kamery_black_12086" TargetMode="External"/><Relationship Id="rId_hyperlink_3713" Type="http://schemas.openxmlformats.org/officeDocument/2006/relationships/hyperlink" Target="https://old.ukr-mobil.com/zadnyaya_kryshka_iphone_xs_s_steklom_kamery_white_12087" TargetMode="External"/><Relationship Id="rId_hyperlink_3714" Type="http://schemas.openxmlformats.org/officeDocument/2006/relationships/hyperlink" Target="https://old.ukr-mobil.com/zadnyaya_kryshka_google_pixel_3a_original_black_10002664" TargetMode="External"/><Relationship Id="rId_hyperlink_3715" Type="http://schemas.openxmlformats.org/officeDocument/2006/relationships/hyperlink" Target="https://old.ukr-mobil.com/zadnyaya_kryshka_google_pixel_3a_so_steklom_kamery_original_black_10002663" TargetMode="External"/><Relationship Id="rId_hyperlink_3716" Type="http://schemas.openxmlformats.org/officeDocument/2006/relationships/hyperlink" Target="https://old.ukr-mobil.com/zadnyaya_kryshka_google_pixel_3a_so_steklom_kamery_original_purple_10002666" TargetMode="External"/><Relationship Id="rId_hyperlink_3717" Type="http://schemas.openxmlformats.org/officeDocument/2006/relationships/hyperlink" Target="https://old.ukr-mobil.com/zadnyaya_kryshka_google_pixel_3a_so_steklom_kamery_original_white_10002665" TargetMode="External"/><Relationship Id="rId_hyperlink_3718" Type="http://schemas.openxmlformats.org/officeDocument/2006/relationships/hyperlink" Target="https://old.ukr-mobil.com/zadnyaya_kryshka_google_pixel_4_so_steklom_kamery_original_black_10002602" TargetMode="External"/><Relationship Id="rId_hyperlink_3719" Type="http://schemas.openxmlformats.org/officeDocument/2006/relationships/hyperlink" Target="https://old.ukr-mobil.com/zadnyaya_kryshka_google_pixel_4_so_steklom_kamery_original_orange_10002604" TargetMode="External"/><Relationship Id="rId_hyperlink_3720" Type="http://schemas.openxmlformats.org/officeDocument/2006/relationships/hyperlink" Target="https://old.ukr-mobil.com/zadnyaya_kryshka_google_pixel_4_so_steklom_kamery_original_white_10002603" TargetMode="External"/><Relationship Id="rId_hyperlink_3721" Type="http://schemas.openxmlformats.org/officeDocument/2006/relationships/hyperlink" Target="https://old.ukr-mobil.com/index.php?route=product&amp;product_id=10006136" TargetMode="External"/><Relationship Id="rId_hyperlink_3722" Type="http://schemas.openxmlformats.org/officeDocument/2006/relationships/hyperlink" Target="https://old.ukr-mobil.com/zadnyaya_kryshka_google_pixel_4a_so_steklom_kamery_original_barely_blue_10002601" TargetMode="External"/><Relationship Id="rId_hyperlink_3723" Type="http://schemas.openxmlformats.org/officeDocument/2006/relationships/hyperlink" Target="https://old.ukr-mobil.com/zadnyaya_kryshka_google_pixel_4a_so_steklom_kamery_original_black_10002600" TargetMode="External"/><Relationship Id="rId_hyperlink_3724" Type="http://schemas.openxmlformats.org/officeDocument/2006/relationships/hyperlink" Target="https://old.ukr-mobil.com/zadnyaya_kryshka_google_pixel_5_so_steklom_kamery_original_black_10002598" TargetMode="External"/><Relationship Id="rId_hyperlink_3725" Type="http://schemas.openxmlformats.org/officeDocument/2006/relationships/hyperlink" Target="https://old.ukr-mobil.com/zadnyaya_kryshka_google_pixel_5_so_steklom_kamery_original_green_10002599" TargetMode="External"/><Relationship Id="rId_hyperlink_3726" Type="http://schemas.openxmlformats.org/officeDocument/2006/relationships/hyperlink" Target="https://old.ukr-mobil.com/index.php?route=product&amp;product_id=10004824" TargetMode="External"/><Relationship Id="rId_hyperlink_3727" Type="http://schemas.openxmlformats.org/officeDocument/2006/relationships/hyperlink" Target="https://old.ukr-mobil.com/index.php?route=product&amp;product_id=10004823" TargetMode="External"/><Relationship Id="rId_hyperlink_3728" Type="http://schemas.openxmlformats.org/officeDocument/2006/relationships/hyperlink" Target="https://old.ukr-mobil.com/zadnyaya_kryshka_google_pixel_6_original_black_10003087" TargetMode="External"/><Relationship Id="rId_hyperlink_3729" Type="http://schemas.openxmlformats.org/officeDocument/2006/relationships/hyperlink" Target="https://old.ukr-mobil.com/index.php?route=product&amp;product_id=10004832" TargetMode="External"/><Relationship Id="rId_hyperlink_3730" Type="http://schemas.openxmlformats.org/officeDocument/2006/relationships/hyperlink" Target="https://old.ukr-mobil.com/index.php?route=product&amp;product_id=10004831" TargetMode="External"/><Relationship Id="rId_hyperlink_3731" Type="http://schemas.openxmlformats.org/officeDocument/2006/relationships/hyperlink" Target="https://old.ukr-mobil.com/index.php?route=product&amp;product_id=10004829" TargetMode="External"/><Relationship Id="rId_hyperlink_3732" Type="http://schemas.openxmlformats.org/officeDocument/2006/relationships/hyperlink" Target="https://old.ukr-mobil.com/index.php?route=product&amp;product_id=10004828" TargetMode="External"/><Relationship Id="rId_hyperlink_3733" Type="http://schemas.openxmlformats.org/officeDocument/2006/relationships/hyperlink" Target="https://old.ukr-mobil.com/zadnyaya_kryshka_huawei_gr3_2017_honor_8_lite_nova_lite_2016_p8_lite_2017_high_copy_black_10699" TargetMode="External"/><Relationship Id="rId_hyperlink_3734" Type="http://schemas.openxmlformats.org/officeDocument/2006/relationships/hyperlink" Target="https://old.ukr-mobil.com/zadnyaya_kryshka_huawei_gr3_2017_honor_8_lite_nova_lite_2016_p8_lite_2017_high_copy_gold_10700" TargetMode="External"/><Relationship Id="rId_hyperlink_3735" Type="http://schemas.openxmlformats.org/officeDocument/2006/relationships/hyperlink" Target="https://old.ukr-mobil.com/zadnyaya_kryshka_huawei_gr3_2017_honor_8_lite_nova_lite_2016_p8_lite_2017_high_copy_white_10701" TargetMode="External"/><Relationship Id="rId_hyperlink_3736" Type="http://schemas.openxmlformats.org/officeDocument/2006/relationships/hyperlink" Target="https://old.ukr-mobil.com/zadnyaya_kryshka_huawei_honor_10_black_10704" TargetMode="External"/><Relationship Id="rId_hyperlink_3737" Type="http://schemas.openxmlformats.org/officeDocument/2006/relationships/hyperlink" Target="https://old.ukr-mobil.com/zadnyaya_kryshka_huawei_honor_10_blue_11071" TargetMode="External"/><Relationship Id="rId_hyperlink_3738" Type="http://schemas.openxmlformats.org/officeDocument/2006/relationships/hyperlink" Target="https://old.ukr-mobil.com/zadnyaya_kryshka_huawei_honor_10_glacier_gey_11070" TargetMode="External"/><Relationship Id="rId_hyperlink_3739" Type="http://schemas.openxmlformats.org/officeDocument/2006/relationships/hyperlink" Target="https://old.ukr-mobil.com/zadnyaya_kryshka_huawei_honor_10_green_11072" TargetMode="External"/><Relationship Id="rId_hyperlink_3740" Type="http://schemas.openxmlformats.org/officeDocument/2006/relationships/hyperlink" Target="https://old.ukr-mobil.com/zadnyaya_kryshka_huawei_honor_10_lite_sapphire_black_12294" TargetMode="External"/><Relationship Id="rId_hyperlink_3741" Type="http://schemas.openxmlformats.org/officeDocument/2006/relationships/hyperlink" Target="https://old.ukr-mobil.com/zadnyaya_kryshka_huawei_honor_10_lite_sapphire_blue_12293" TargetMode="External"/><Relationship Id="rId_hyperlink_3742" Type="http://schemas.openxmlformats.org/officeDocument/2006/relationships/hyperlink" Target="https://old.ukr-mobil.com/zadnyaya_kryshka_huawei_honor_20_original_prc_black_10001157" TargetMode="External"/><Relationship Id="rId_hyperlink_3743" Type="http://schemas.openxmlformats.org/officeDocument/2006/relationships/hyperlink" Target="https://old.ukr-mobil.com/zadnyaya_kryshka_huawei_honor_6a_rose_gold_10705" TargetMode="External"/><Relationship Id="rId_hyperlink_3744" Type="http://schemas.openxmlformats.org/officeDocument/2006/relationships/hyperlink" Target="https://old.ukr-mobil.com/zadnyaya_kryshka_huawei_honor_7x_blue_10708" TargetMode="External"/><Relationship Id="rId_hyperlink_3745" Type="http://schemas.openxmlformats.org/officeDocument/2006/relationships/hyperlink" Target="https://old.ukr-mobil.com/zadnyaya_kryshka_huawei_honor_7x_gold_10707" TargetMode="External"/><Relationship Id="rId_hyperlink_3746" Type="http://schemas.openxmlformats.org/officeDocument/2006/relationships/hyperlink" Target="https://old.ukr-mobil.com/zadnyaya_kryshka_huawei_honor_7x_red_10709" TargetMode="External"/><Relationship Id="rId_hyperlink_3747" Type="http://schemas.openxmlformats.org/officeDocument/2006/relationships/hyperlink" Target="https://old.ukr-mobil.com/zadnyaya_kryshka_huawei_honor_8_black_10710" TargetMode="External"/><Relationship Id="rId_hyperlink_3748" Type="http://schemas.openxmlformats.org/officeDocument/2006/relationships/hyperlink" Target="https://old.ukr-mobil.com/zadnyaya_kryshka_huawei_honor_8_blue_11073" TargetMode="External"/><Relationship Id="rId_hyperlink_3749" Type="http://schemas.openxmlformats.org/officeDocument/2006/relationships/hyperlink" Target="https://old.ukr-mobil.com/zadnyaya_kryshka_huawei_honor_8_gold_11074" TargetMode="External"/><Relationship Id="rId_hyperlink_3750" Type="http://schemas.openxmlformats.org/officeDocument/2006/relationships/hyperlink" Target="https://old.ukr-mobil.com/zadnyaya_kryshka_huawei_honor_8_pink_11075" TargetMode="External"/><Relationship Id="rId_hyperlink_3751" Type="http://schemas.openxmlformats.org/officeDocument/2006/relationships/hyperlink" Target="https://old.ukr-mobil.com/zadnyaya_kryshka_huawei_honor_8_white_11076" TargetMode="External"/><Relationship Id="rId_hyperlink_3752" Type="http://schemas.openxmlformats.org/officeDocument/2006/relationships/hyperlink" Target="https://old.ukr-mobil.com/zadnyaya_kryshka_huawei_honor_8x_original_prc_black_10001154" TargetMode="External"/><Relationship Id="rId_hyperlink_3753" Type="http://schemas.openxmlformats.org/officeDocument/2006/relationships/hyperlink" Target="https://old.ukr-mobil.com/zadnyaya_kryshka_huawei_honor_8x_original_prc_blue_10001155" TargetMode="External"/><Relationship Id="rId_hyperlink_3754" Type="http://schemas.openxmlformats.org/officeDocument/2006/relationships/hyperlink" Target="https://old.ukr-mobil.com/zadnyaya_kryshka_huawei_honor_8x_jsn-l11_jsn-l21_jsn-l22_so_steklom_kamery_high_copy_black_10002569" TargetMode="External"/><Relationship Id="rId_hyperlink_3755" Type="http://schemas.openxmlformats.org/officeDocument/2006/relationships/hyperlink" Target="https://old.ukr-mobil.com/zadnyaya_kryshka_huawei_honor_8x_jsn-l11_jsn-l21_jsn-l22_so_steklom_kamery_original_prc_blue_10002570" TargetMode="External"/><Relationship Id="rId_hyperlink_3756" Type="http://schemas.openxmlformats.org/officeDocument/2006/relationships/hyperlink" Target="https://old.ukr-mobil.com/zadnyaya_kryshka_huawei_honor_9_original_prc_gold_11060" TargetMode="External"/><Relationship Id="rId_hyperlink_3757" Type="http://schemas.openxmlformats.org/officeDocument/2006/relationships/hyperlink" Target="https://old.ukr-mobil.com/index.php?route=product&amp;product_id=10005425" TargetMode="External"/><Relationship Id="rId_hyperlink_3758" Type="http://schemas.openxmlformats.org/officeDocument/2006/relationships/hyperlink" Target="https://old.ukr-mobil.com/index.php?route=product&amp;product_id=10005426" TargetMode="External"/><Relationship Id="rId_hyperlink_3759" Type="http://schemas.openxmlformats.org/officeDocument/2006/relationships/hyperlink" Target="https://old.ukr-mobil.com/index.php?route=product&amp;product_id=10005427" TargetMode="External"/><Relationship Id="rId_hyperlink_3760" Type="http://schemas.openxmlformats.org/officeDocument/2006/relationships/hyperlink" Target="https://old.ukr-mobil.com/index.php?route=product&amp;product_id=10005436" TargetMode="External"/><Relationship Id="rId_hyperlink_3761" Type="http://schemas.openxmlformats.org/officeDocument/2006/relationships/hyperlink" Target="https://old.ukr-mobil.com/index.php?route=product&amp;product_id=10005440" TargetMode="External"/><Relationship Id="rId_hyperlink_3762" Type="http://schemas.openxmlformats.org/officeDocument/2006/relationships/hyperlink" Target="https://old.ukr-mobil.com/index.php?route=product&amp;product_id=10005439" TargetMode="External"/><Relationship Id="rId_hyperlink_3763" Type="http://schemas.openxmlformats.org/officeDocument/2006/relationships/hyperlink" Target="https://old.ukr-mobil.com/zadnyaya_kryshka_huawei_mate_10_blue_12079" TargetMode="External"/><Relationship Id="rId_hyperlink_3764" Type="http://schemas.openxmlformats.org/officeDocument/2006/relationships/hyperlink" Target="https://old.ukr-mobil.com/zadnyaya_kryshka_huawei_mate_10_gold_12080" TargetMode="External"/><Relationship Id="rId_hyperlink_3765" Type="http://schemas.openxmlformats.org/officeDocument/2006/relationships/hyperlink" Target="https://old.ukr-mobil.com/zadnyaya_kryshka_huawei_mate_10_lite_blue_10714" TargetMode="External"/><Relationship Id="rId_hyperlink_3766" Type="http://schemas.openxmlformats.org/officeDocument/2006/relationships/hyperlink" Target="https://old.ukr-mobil.com/zadnyaya_kryshka_huawei_mate_10_lite_gold_10715" TargetMode="External"/><Relationship Id="rId_hyperlink_3767" Type="http://schemas.openxmlformats.org/officeDocument/2006/relationships/hyperlink" Target="https://old.ukr-mobil.com/zadnyaya_kryshka_huawei_mate_10_lite_graphite_black_10713" TargetMode="External"/><Relationship Id="rId_hyperlink_3768" Type="http://schemas.openxmlformats.org/officeDocument/2006/relationships/hyperlink" Target="https://old.ukr-mobil.com/zadnyaya_kryshka_huawei_mate_8_gold_11059" TargetMode="External"/><Relationship Id="rId_hyperlink_3769" Type="http://schemas.openxmlformats.org/officeDocument/2006/relationships/hyperlink" Target="https://old.ukr-mobil.com/zadnyaya_kryshka_huawei_mate_8_mocha_gold_10716" TargetMode="External"/><Relationship Id="rId_hyperlink_3770" Type="http://schemas.openxmlformats.org/officeDocument/2006/relationships/hyperlink" Target="https://old.ukr-mobil.com/zadnyaya_kryshka_huawei_nova_can-l11_gold_10717" TargetMode="External"/><Relationship Id="rId_hyperlink_3771" Type="http://schemas.openxmlformats.org/officeDocument/2006/relationships/hyperlink" Target="https://old.ukr-mobil.com/zadnyaya_kryshka_huawei_nova_3i_p_smart_plus_original_prc_black_11578" TargetMode="External"/><Relationship Id="rId_hyperlink_3772" Type="http://schemas.openxmlformats.org/officeDocument/2006/relationships/hyperlink" Target="https://old.ukr-mobil.com/zadnyaya_kryshka_huawei_p_smart_fig-lx1_p_smart_dual_sim_fig-l21_original_prc_black_10835" TargetMode="External"/><Relationship Id="rId_hyperlink_3773" Type="http://schemas.openxmlformats.org/officeDocument/2006/relationships/hyperlink" Target="https://old.ukr-mobil.com/zadnyaya_kryshka_huawei_p_smart_fig-lx1_p_smart_dual_sim_fig-l21_original_prc_blue_10837" TargetMode="External"/><Relationship Id="rId_hyperlink_3774" Type="http://schemas.openxmlformats.org/officeDocument/2006/relationships/hyperlink" Target="https://old.ukr-mobil.com/zadnyaya_kryshka_huawei_p_smart_fig-lx1_p_smart_dual_sim_fig-l21_original_prc_gold_10836" TargetMode="External"/><Relationship Id="rId_hyperlink_3775" Type="http://schemas.openxmlformats.org/officeDocument/2006/relationships/hyperlink" Target="https://old.ukr-mobil.com/zadnyaya_kryshka_huawei_p_smart_2019_aurora_blue_11645" TargetMode="External"/><Relationship Id="rId_hyperlink_3776" Type="http://schemas.openxmlformats.org/officeDocument/2006/relationships/hyperlink" Target="https://old.ukr-mobil.com/zadnyaya_kryshka_huawei_p_smart_2019_black_11580" TargetMode="External"/><Relationship Id="rId_hyperlink_3777" Type="http://schemas.openxmlformats.org/officeDocument/2006/relationships/hyperlink" Target="https://old.ukr-mobil.com/zadnyaya_kryshka_huawei_p_smart_2021_ppa-lx2_original_prc_midnight_black_10002084" TargetMode="External"/><Relationship Id="rId_hyperlink_3778" Type="http://schemas.openxmlformats.org/officeDocument/2006/relationships/hyperlink" Target="https://old.ukr-mobil.com/zadnyaya_kryshka_huawei_p_smart_z_original_prc_green_10001312" TargetMode="External"/><Relationship Id="rId_hyperlink_3779" Type="http://schemas.openxmlformats.org/officeDocument/2006/relationships/hyperlink" Target="https://old.ukr-mobil.com/zadnyaya_kryshka_huawei_p10_vtr-l29_black_10838" TargetMode="External"/><Relationship Id="rId_hyperlink_3780" Type="http://schemas.openxmlformats.org/officeDocument/2006/relationships/hyperlink" Target="https://old.ukr-mobil.com/zadnyaya_kryshka_huawei_p10_vtr-l29_gold_10840" TargetMode="External"/><Relationship Id="rId_hyperlink_3781" Type="http://schemas.openxmlformats.org/officeDocument/2006/relationships/hyperlink" Target="https://old.ukr-mobil.com/zadnyaya_kryshka_huawei_p10_vtr-l29_white_10839" TargetMode="External"/><Relationship Id="rId_hyperlink_3782" Type="http://schemas.openxmlformats.org/officeDocument/2006/relationships/hyperlink" Target="https://old.ukr-mobil.com/zadnyaya_kryshka_huawei_p10_lite_was-l21_high_copy_black_10693" TargetMode="External"/><Relationship Id="rId_hyperlink_3783" Type="http://schemas.openxmlformats.org/officeDocument/2006/relationships/hyperlink" Target="https://old.ukr-mobil.com/zadnyaya_kryshka_huawei_p10_lite_was-l21_high_copy_blue_10251" TargetMode="External"/><Relationship Id="rId_hyperlink_3784" Type="http://schemas.openxmlformats.org/officeDocument/2006/relationships/hyperlink" Target="https://old.ukr-mobil.com/zadnyaya_kryshka_huawei_p10_lite_was-l21_high_copy_gold_10695" TargetMode="External"/><Relationship Id="rId_hyperlink_3785" Type="http://schemas.openxmlformats.org/officeDocument/2006/relationships/hyperlink" Target="https://old.ukr-mobil.com/zadnyaya_kryshka_huawei_p10_lite_was-l21_high_copy_white_10694" TargetMode="External"/><Relationship Id="rId_hyperlink_3786" Type="http://schemas.openxmlformats.org/officeDocument/2006/relationships/hyperlink" Target="https://old.ukr-mobil.com/zadnyaya_kryshka_huawei_p20_lite_nova_3e_high_copy_gold_10843" TargetMode="External"/><Relationship Id="rId_hyperlink_3787" Type="http://schemas.openxmlformats.org/officeDocument/2006/relationships/hyperlink" Target="https://old.ukr-mobil.com/zadnyaya_kryshka_huawei_p20_lite_nova_3e_high_copy_klein_blue_11065" TargetMode="External"/><Relationship Id="rId_hyperlink_3788" Type="http://schemas.openxmlformats.org/officeDocument/2006/relationships/hyperlink" Target="https://old.ukr-mobil.com/zadnyaya_kryshka_huawei_p20_lite_nova_3e_high_copy_midnight_black_10841" TargetMode="External"/><Relationship Id="rId_hyperlink_3789" Type="http://schemas.openxmlformats.org/officeDocument/2006/relationships/hyperlink" Target="https://old.ukr-mobil.com/zadnyaya_kryshka_huawei_p20_lite_nova_3e_high_copy_sakura_pink_10842" TargetMode="External"/><Relationship Id="rId_hyperlink_3790" Type="http://schemas.openxmlformats.org/officeDocument/2006/relationships/hyperlink" Target="https://old.ukr-mobil.com/zadnyaya_kryshka_huawei_p20_pro_original_prc_black_10865" TargetMode="External"/><Relationship Id="rId_hyperlink_3791" Type="http://schemas.openxmlformats.org/officeDocument/2006/relationships/hyperlink" Target="https://old.ukr-mobil.com/zadnyaya_kryshka_huawei_p20_pro_original_prc_midnight_blue_10000338" TargetMode="External"/><Relationship Id="rId_hyperlink_3792" Type="http://schemas.openxmlformats.org/officeDocument/2006/relationships/hyperlink" Target="https://old.ukr-mobil.com/zadnyaya_kryshka_huawei_p20_pro_original_prc_morho_aurora_10000794" TargetMode="External"/><Relationship Id="rId_hyperlink_3793" Type="http://schemas.openxmlformats.org/officeDocument/2006/relationships/hyperlink" Target="https://old.ukr-mobil.com/zadnyaya_kryshka_huawei_p30_lite_original_prc_black_10001161" TargetMode="External"/><Relationship Id="rId_hyperlink_3794" Type="http://schemas.openxmlformats.org/officeDocument/2006/relationships/hyperlink" Target="https://old.ukr-mobil.com/zadnyaya_kryshka_huawei_p30_lite_high_copy_blue_10001081" TargetMode="External"/><Relationship Id="rId_hyperlink_3795" Type="http://schemas.openxmlformats.org/officeDocument/2006/relationships/hyperlink" Target="https://old.ukr-mobil.com/zadnyaya_kryshka_huawei_p40_lite_e_high_copy_aurora_blue_10002571" TargetMode="External"/><Relationship Id="rId_hyperlink_3796" Type="http://schemas.openxmlformats.org/officeDocument/2006/relationships/hyperlink" Target="https://old.ukr-mobil.com/zadnyaya_kryshka_huawei_p9_lite_original_prc_black_10696" TargetMode="External"/><Relationship Id="rId_hyperlink_3797" Type="http://schemas.openxmlformats.org/officeDocument/2006/relationships/hyperlink" Target="https://old.ukr-mobil.com/zadnyaya_kryshka_huawei_p9_lite_original_prc_gold_10697" TargetMode="External"/><Relationship Id="rId_hyperlink_3798" Type="http://schemas.openxmlformats.org/officeDocument/2006/relationships/hyperlink" Target="https://old.ukr-mobil.com/zadnyaya_kryshka_huawei_p9_lite_original_prc_white_10698" TargetMode="External"/><Relationship Id="rId_hyperlink_3799" Type="http://schemas.openxmlformats.org/officeDocument/2006/relationships/hyperlink" Target="https://old.ukr-mobil.com/zadnyaya_kryshka_huawei_y5_2017_mya-u29_y6_2017_nova_young_4g_mya-l11_high_copy_black_10856" TargetMode="External"/><Relationship Id="rId_hyperlink_3800" Type="http://schemas.openxmlformats.org/officeDocument/2006/relationships/hyperlink" Target="https://old.ukr-mobil.com/zadnyaya_kryshka_huawei_y5_2017_mya-u29_y6_2017_nova_young_4g_mya-l11_high_copy_gold_10857" TargetMode="External"/><Relationship Id="rId_hyperlink_3801" Type="http://schemas.openxmlformats.org/officeDocument/2006/relationships/hyperlink" Target="https://old.ukr-mobil.com/zadnyaya_kryshka_huawei_y5_2017_mya-u29_y6_2017_nova_young_4g_mya-l11_high_copy_white_10858" TargetMode="External"/><Relationship Id="rId_hyperlink_3802" Type="http://schemas.openxmlformats.org/officeDocument/2006/relationships/hyperlink" Target="https://old.ukr-mobil.com/zadnyaya_kryshka_huawei_y5_2018_y5_prime_2018_original_prc_black_12081" TargetMode="External"/><Relationship Id="rId_hyperlink_3803" Type="http://schemas.openxmlformats.org/officeDocument/2006/relationships/hyperlink" Target="https://old.ukr-mobil.com/zadnyaya_kryshka_huawei_y5_2018_y5_prime_2018_original_prc_blue_12082" TargetMode="External"/><Relationship Id="rId_hyperlink_3804" Type="http://schemas.openxmlformats.org/officeDocument/2006/relationships/hyperlink" Target="https://old.ukr-mobil.com/zadnyaya_kryshka_huawei_y5_2018_y5_prime_2018_original_prc_gold_12083" TargetMode="External"/><Relationship Id="rId_hyperlink_3805" Type="http://schemas.openxmlformats.org/officeDocument/2006/relationships/hyperlink" Target="https://old.ukr-mobil.com/zadnyaya_kryshka_huawei_y6_2018_black_11581" TargetMode="External"/><Relationship Id="rId_hyperlink_3806" Type="http://schemas.openxmlformats.org/officeDocument/2006/relationships/hyperlink" Target="https://old.ukr-mobil.com/zadnyaya_kryshka_huawei_y6_2018_blue_12217" TargetMode="External"/><Relationship Id="rId_hyperlink_3807" Type="http://schemas.openxmlformats.org/officeDocument/2006/relationships/hyperlink" Target="https://old.ukr-mobil.com/zadnyaya_kryshka_huawei_y6_2018_gold_12218" TargetMode="External"/><Relationship Id="rId_hyperlink_3808" Type="http://schemas.openxmlformats.org/officeDocument/2006/relationships/hyperlink" Target="https://old.ukr-mobil.com/zadnyaya_kryshka_huawei_y6_ii_cam-l21_black_10847" TargetMode="External"/><Relationship Id="rId_hyperlink_3809" Type="http://schemas.openxmlformats.org/officeDocument/2006/relationships/hyperlink" Target="https://old.ukr-mobil.com/zadnyaya_kryshka_huawei_y6_ii_cam-l21_gold_10848" TargetMode="External"/><Relationship Id="rId_hyperlink_3810" Type="http://schemas.openxmlformats.org/officeDocument/2006/relationships/hyperlink" Target="https://old.ukr-mobil.com/zadnyaya_kryshka_huawei_y6_ii_cam-l21_white_10849" TargetMode="External"/><Relationship Id="rId_hyperlink_3811" Type="http://schemas.openxmlformats.org/officeDocument/2006/relationships/hyperlink" Target="https://old.ukr-mobil.com/zadnyaya_kryshka_huawei_y6_prime_2018_black_10000488" TargetMode="External"/><Relationship Id="rId_hyperlink_3812" Type="http://schemas.openxmlformats.org/officeDocument/2006/relationships/hyperlink" Target="https://old.ukr-mobil.com/zadnyaya_kryshka_huawei_y6_prime_2018_blue_12085" TargetMode="External"/><Relationship Id="rId_hyperlink_3813" Type="http://schemas.openxmlformats.org/officeDocument/2006/relationships/hyperlink" Target="https://old.ukr-mobil.com/zadnyaya_kryshka_huawei_y6_prime_2018_gold_12084" TargetMode="External"/><Relationship Id="rId_hyperlink_3814" Type="http://schemas.openxmlformats.org/officeDocument/2006/relationships/hyperlink" Target="https://old.ukr-mobil.com/zadnyaya_kryshka_huawei_y6_prime_2019_so_steklom_kamery_original_prc_black_10001165" TargetMode="External"/><Relationship Id="rId_hyperlink_3815" Type="http://schemas.openxmlformats.org/officeDocument/2006/relationships/hyperlink" Target="https://old.ukr-mobil.com/zadnyaya_kryshka_huawei_y6_pro_tit-u02_honor_4c_pro_tit-l01_black_10850" TargetMode="External"/><Relationship Id="rId_hyperlink_3816" Type="http://schemas.openxmlformats.org/officeDocument/2006/relationships/hyperlink" Target="https://old.ukr-mobil.com/zadnyaya_kryshka_huawei_y6_pro_tit-u02_honor_4c_pro_tit-l01_gold_10851" TargetMode="External"/><Relationship Id="rId_hyperlink_3817" Type="http://schemas.openxmlformats.org/officeDocument/2006/relationships/hyperlink" Target="https://old.ukr-mobil.com/zadnyaya_kryshka_huawei_y6_pro_tit-u02_honor_4c_pro_tit-l01_white_10852" TargetMode="External"/><Relationship Id="rId_hyperlink_3818" Type="http://schemas.openxmlformats.org/officeDocument/2006/relationships/hyperlink" Target="https://old.ukr-mobil.com/zadnyaya_kryshka_huawei_y6p_2020_med-lx9_moa-lx9n_original_prc_black_10002574" TargetMode="External"/><Relationship Id="rId_hyperlink_3819" Type="http://schemas.openxmlformats.org/officeDocument/2006/relationships/hyperlink" Target="https://old.ukr-mobil.com/zadnyaya_kryshka_huawei_y6p_2020_med-lx9_moa-lx9n_so_steklom_kamery_original_prc_black_10002643" TargetMode="External"/><Relationship Id="rId_hyperlink_3820" Type="http://schemas.openxmlformats.org/officeDocument/2006/relationships/hyperlink" Target="https://old.ukr-mobil.com/zadnyaya_kryshka_huawei_y6p_2020_med-lx9_moa-lx9n_so_steklom_kamery_original_prc_emerald_green_10002572" TargetMode="External"/><Relationship Id="rId_hyperlink_3821" Type="http://schemas.openxmlformats.org/officeDocument/2006/relationships/hyperlink" Target="https://old.ukr-mobil.com/zadnyaya_kryshka_huawei_y6p_2020_med-lx9_moa-lx9n_so_steklom_kamery_original_prc_phantom_purple_10002573" TargetMode="External"/><Relationship Id="rId_hyperlink_3822" Type="http://schemas.openxmlformats.org/officeDocument/2006/relationships/hyperlink" Target="https://old.ukr-mobil.com/zadnyaya_kryshka_huawei_y7_2017_holly_4_plus_nova_lite_plus_trt-l21_black_10853" TargetMode="External"/><Relationship Id="rId_hyperlink_3823" Type="http://schemas.openxmlformats.org/officeDocument/2006/relationships/hyperlink" Target="https://old.ukr-mobil.com/zadnyaya_kryshka_huawei_y7_2017_holly_4_plus_nova_lite_plus_trt-l21_gold_10855" TargetMode="External"/><Relationship Id="rId_hyperlink_3824" Type="http://schemas.openxmlformats.org/officeDocument/2006/relationships/hyperlink" Target="https://old.ukr-mobil.com/zadnyaya_kryshka_huawei_y7_2017_holly_4_plus_nova_lite_plus_trt-l21_white_10854" TargetMode="External"/><Relationship Id="rId_hyperlink_3825" Type="http://schemas.openxmlformats.org/officeDocument/2006/relationships/hyperlink" Target="https://old.ukr-mobil.com/zadnyaya_kryshka_lenovo_a6020a40_vibe_k5_black_10718" TargetMode="External"/><Relationship Id="rId_hyperlink_3826" Type="http://schemas.openxmlformats.org/officeDocument/2006/relationships/hyperlink" Target="https://old.ukr-mobil.com/index.php?route=product&amp;product_id=10005486" TargetMode="External"/><Relationship Id="rId_hyperlink_3827" Type="http://schemas.openxmlformats.org/officeDocument/2006/relationships/hyperlink" Target="https://old.ukr-mobil.com/index.php?route=product&amp;product_id=10005487" TargetMode="External"/><Relationship Id="rId_hyperlink_3828" Type="http://schemas.openxmlformats.org/officeDocument/2006/relationships/hyperlink" Target="https://old.ukr-mobil.com/index.php?route=product&amp;product_id=10005488" TargetMode="External"/><Relationship Id="rId_hyperlink_3829" Type="http://schemas.openxmlformats.org/officeDocument/2006/relationships/hyperlink" Target="https://old.ukr-mobil.com/index.php?route=product&amp;product_id=10005489" TargetMode="External"/><Relationship Id="rId_hyperlink_3830" Type="http://schemas.openxmlformats.org/officeDocument/2006/relationships/hyperlink" Target="https://old.ukr-mobil.com/index.php?route=product&amp;product_id=10005490" TargetMode="External"/><Relationship Id="rId_hyperlink_3831" Type="http://schemas.openxmlformats.org/officeDocument/2006/relationships/hyperlink" Target="https://old.ukr-mobil.com/zadnyaya_kryshka_meizu_m3_note_l681h_high_copy_black_12106" TargetMode="External"/><Relationship Id="rId_hyperlink_3832" Type="http://schemas.openxmlformats.org/officeDocument/2006/relationships/hyperlink" Target="https://old.ukr-mobil.com/zadnyaya_kryshka_meizu_m3_note_m681h_high_copy_black_12107" TargetMode="External"/><Relationship Id="rId_hyperlink_3833" Type="http://schemas.openxmlformats.org/officeDocument/2006/relationships/hyperlink" Target="https://old.ukr-mobil.com/zadnyaya_kryshka_meizu_m5_high_copy_black_10350" TargetMode="External"/><Relationship Id="rId_hyperlink_3834" Type="http://schemas.openxmlformats.org/officeDocument/2006/relationships/hyperlink" Target="https://old.ukr-mobil.com/zadnyaya_kryshka_meizu_m5_note_high_copy_black_10351" TargetMode="External"/><Relationship Id="rId_hyperlink_3835" Type="http://schemas.openxmlformats.org/officeDocument/2006/relationships/hyperlink" Target="https://old.ukr-mobil.com/zadnyaya_kryshka_meizu_m5c_m710_high_copy_black_12103" TargetMode="External"/><Relationship Id="rId_hyperlink_3836" Type="http://schemas.openxmlformats.org/officeDocument/2006/relationships/hyperlink" Target="https://old.ukr-mobil.com/zadnyaya_kryshka_meizu_m5s_high_copy_black_10241" TargetMode="External"/><Relationship Id="rId_hyperlink_3837" Type="http://schemas.openxmlformats.org/officeDocument/2006/relationships/hyperlink" Target="https://old.ukr-mobil.com/zadnyaya_kryshka_meizu_m6_high_copy_black_10349" TargetMode="External"/><Relationship Id="rId_hyperlink_3838" Type="http://schemas.openxmlformats.org/officeDocument/2006/relationships/hyperlink" Target="https://old.ukr-mobil.com/zadnyaya_kryshka_meizu_m6_note_m721h_high_copy_black_12102" TargetMode="External"/><Relationship Id="rId_hyperlink_3839" Type="http://schemas.openxmlformats.org/officeDocument/2006/relationships/hyperlink" Target="https://old.ukr-mobil.com/zadnyaya_kryshka_meizu_m6t_high_copy_black_12104" TargetMode="External"/><Relationship Id="rId_hyperlink_3840" Type="http://schemas.openxmlformats.org/officeDocument/2006/relationships/hyperlink" Target="https://old.ukr-mobil.com/zadnyaya_kryshka_meizu_m8c_m810h_high_copy_black_12105" TargetMode="External"/><Relationship Id="rId_hyperlink_3841" Type="http://schemas.openxmlformats.org/officeDocument/2006/relationships/hyperlink" Target="https://old.ukr-mobil.com/zadnyaya_kryshka_meizu_u10_high_copy_black_10720" TargetMode="External"/><Relationship Id="rId_hyperlink_3842" Type="http://schemas.openxmlformats.org/officeDocument/2006/relationships/hyperlink" Target="https://old.ukr-mobil.com/zadnyaya_kryshka_meizu_u10_high_copy_white_10719" TargetMode="External"/><Relationship Id="rId_hyperlink_3843" Type="http://schemas.openxmlformats.org/officeDocument/2006/relationships/hyperlink" Target="https://old.ukr-mobil.com/zadnyaya_kryshka_meizu_u20_high_copy_black_10352" TargetMode="External"/><Relationship Id="rId_hyperlink_3844" Type="http://schemas.openxmlformats.org/officeDocument/2006/relationships/hyperlink" Target="https://old.ukr-mobil.com/zadnyaya_kryshka_meizu_u20_high_copy_white_10353" TargetMode="External"/><Relationship Id="rId_hyperlink_3845" Type="http://schemas.openxmlformats.org/officeDocument/2006/relationships/hyperlink" Target="https://old.ukr-mobil.com/index.php?route=product&amp;product_id=10005381" TargetMode="External"/><Relationship Id="rId_hyperlink_3846" Type="http://schemas.openxmlformats.org/officeDocument/2006/relationships/hyperlink" Target="https://old.ukr-mobil.com/index.php?route=product&amp;product_id=10005380" TargetMode="External"/><Relationship Id="rId_hyperlink_3847" Type="http://schemas.openxmlformats.org/officeDocument/2006/relationships/hyperlink" Target="https://old.ukr-mobil.com/zadnyaya_kryshka_motorola_e6s_xt2053_e6i_so_steklom_kamery_meteor_grey_10002505" TargetMode="External"/><Relationship Id="rId_hyperlink_3848" Type="http://schemas.openxmlformats.org/officeDocument/2006/relationships/hyperlink" Target="https://old.ukr-mobil.com/zadnyaya_kryshka_motorola_e7_plus_xt2081_misty_blue_10002512" TargetMode="External"/><Relationship Id="rId_hyperlink_3849" Type="http://schemas.openxmlformats.org/officeDocument/2006/relationships/hyperlink" Target="https://old.ukr-mobil.com/zadnyaya_kryshka_motorola_e7_power_e7i_power_so_steklom_kamery_coral_red_10002504" TargetMode="External"/><Relationship Id="rId_hyperlink_3850" Type="http://schemas.openxmlformats.org/officeDocument/2006/relationships/hyperlink" Target="https://old.ukr-mobil.com/zadnyaya_kryshka_motorola_e7_power_e7i_power_so_steklom_kamery_tahiti_blue_10002503" TargetMode="External"/><Relationship Id="rId_hyperlink_3851" Type="http://schemas.openxmlformats.org/officeDocument/2006/relationships/hyperlink" Target="https://old.ukr-mobil.com/index.php?route=product&amp;product_id=10005403" TargetMode="External"/><Relationship Id="rId_hyperlink_3852" Type="http://schemas.openxmlformats.org/officeDocument/2006/relationships/hyperlink" Target="https://old.ukr-mobil.com/index.php?route=product&amp;product_id=10005409" TargetMode="External"/><Relationship Id="rId_hyperlink_3853" Type="http://schemas.openxmlformats.org/officeDocument/2006/relationships/hyperlink" Target="https://old.ukr-mobil.com/index.php?route=product&amp;product_id=10005410" TargetMode="External"/><Relationship Id="rId_hyperlink_3854" Type="http://schemas.openxmlformats.org/officeDocument/2006/relationships/hyperlink" Target="https://old.ukr-mobil.com/index.php?route=product&amp;product_id=10005404" TargetMode="External"/><Relationship Id="rId_hyperlink_3855" Type="http://schemas.openxmlformats.org/officeDocument/2006/relationships/hyperlink" Target="https://old.ukr-mobil.com/index.php?route=product&amp;product_id=10005405" TargetMode="External"/><Relationship Id="rId_hyperlink_3856" Type="http://schemas.openxmlformats.org/officeDocument/2006/relationships/hyperlink" Target="https://old.ukr-mobil.com/index.php?route=product&amp;product_id=10005406" TargetMode="External"/><Relationship Id="rId_hyperlink_3857" Type="http://schemas.openxmlformats.org/officeDocument/2006/relationships/hyperlink" Target="https://old.ukr-mobil.com/zadnyaya_kryshka_motorola_g10_xt2127_misty_blue_10002513" TargetMode="External"/><Relationship Id="rId_hyperlink_3858" Type="http://schemas.openxmlformats.org/officeDocument/2006/relationships/hyperlink" Target="https://old.ukr-mobil.com/index.php?route=product&amp;product_id=10005389" TargetMode="External"/><Relationship Id="rId_hyperlink_3859" Type="http://schemas.openxmlformats.org/officeDocument/2006/relationships/hyperlink" Target="https://old.ukr-mobil.com/index.php?route=product&amp;product_id=10005387" TargetMode="External"/><Relationship Id="rId_hyperlink_3860" Type="http://schemas.openxmlformats.org/officeDocument/2006/relationships/hyperlink" Target="https://old.ukr-mobil.com/zadnyaya_kryshka_motorola_g20_xt2128_breeze_blue_10002506" TargetMode="External"/><Relationship Id="rId_hyperlink_3861" Type="http://schemas.openxmlformats.org/officeDocument/2006/relationships/hyperlink" Target="https://old.ukr-mobil.com/index.php?route=product&amp;product_id=10005395" TargetMode="External"/><Relationship Id="rId_hyperlink_3862" Type="http://schemas.openxmlformats.org/officeDocument/2006/relationships/hyperlink" Target="https://old.ukr-mobil.com/index.php?route=product&amp;product_id=10005396" TargetMode="External"/><Relationship Id="rId_hyperlink_3863" Type="http://schemas.openxmlformats.org/officeDocument/2006/relationships/hyperlink" Target="https://old.ukr-mobil.com/zadnyaya_kryshka_motorola_g30_pastel_sky_10002509" TargetMode="External"/><Relationship Id="rId_hyperlink_3864" Type="http://schemas.openxmlformats.org/officeDocument/2006/relationships/hyperlink" Target="https://old.ukr-mobil.com/index.php?route=product&amp;product_id=10004881" TargetMode="External"/><Relationship Id="rId_hyperlink_3865" Type="http://schemas.openxmlformats.org/officeDocument/2006/relationships/hyperlink" Target="https://old.ukr-mobil.com/index.php?route=product&amp;product_id=10004880" TargetMode="External"/><Relationship Id="rId_hyperlink_3866" Type="http://schemas.openxmlformats.org/officeDocument/2006/relationships/hyperlink" Target="https://old.ukr-mobil.com/index.php?route=product&amp;product_id=10004879" TargetMode="External"/><Relationship Id="rId_hyperlink_3867" Type="http://schemas.openxmlformats.org/officeDocument/2006/relationships/hyperlink" Target="https://old.ukr-mobil.com/index.php?route=product&amp;product_id=10005398" TargetMode="External"/><Relationship Id="rId_hyperlink_3868" Type="http://schemas.openxmlformats.org/officeDocument/2006/relationships/hyperlink" Target="https://old.ukr-mobil.com/index.php?route=product&amp;product_id=10005397" TargetMode="External"/><Relationship Id="rId_hyperlink_3869" Type="http://schemas.openxmlformats.org/officeDocument/2006/relationships/hyperlink" Target="https://old.ukr-mobil.com/zadnyaya_kryshka_motorola_g60_xt2135-2_xt2135_haze_gray_10003239" TargetMode="External"/><Relationship Id="rId_hyperlink_3870" Type="http://schemas.openxmlformats.org/officeDocument/2006/relationships/hyperlink" Target="https://old.ukr-mobil.com/zadnyaya_kryshka_motorola_g60_xt2135-2_xt2135_moonless_black_10003238" TargetMode="External"/><Relationship Id="rId_hyperlink_3871" Type="http://schemas.openxmlformats.org/officeDocument/2006/relationships/hyperlink" Target="https://old.ukr-mobil.com/index.php?route=product&amp;product_id=10005401" TargetMode="External"/><Relationship Id="rId_hyperlink_3872" Type="http://schemas.openxmlformats.org/officeDocument/2006/relationships/hyperlink" Target="https://old.ukr-mobil.com/index.php?route=product&amp;product_id=10005402" TargetMode="External"/><Relationship Id="rId_hyperlink_3873" Type="http://schemas.openxmlformats.org/officeDocument/2006/relationships/hyperlink" Target="https://old.ukr-mobil.com/zadnyaya_kryshka_motorola_g8_xt2045_pearl_white_10002507" TargetMode="External"/><Relationship Id="rId_hyperlink_3874" Type="http://schemas.openxmlformats.org/officeDocument/2006/relationships/hyperlink" Target="https://old.ukr-mobil.com/zadnyaya_kryshka_motorola_g8_power_xt2041_smoke_black_10002508" TargetMode="External"/><Relationship Id="rId_hyperlink_3875" Type="http://schemas.openxmlformats.org/officeDocument/2006/relationships/hyperlink" Target="https://old.ukr-mobil.com/index.php?route=product&amp;product_id=10005399" TargetMode="External"/><Relationship Id="rId_hyperlink_3876" Type="http://schemas.openxmlformats.org/officeDocument/2006/relationships/hyperlink" Target="https://old.ukr-mobil.com/index.php?route=product&amp;product_id=10005400" TargetMode="External"/><Relationship Id="rId_hyperlink_3877" Type="http://schemas.openxmlformats.org/officeDocument/2006/relationships/hyperlink" Target="https://old.ukr-mobil.com/zadnyaya_kryshka_motorola_g9_play_xt2083_forest_green_10002510" TargetMode="External"/><Relationship Id="rId_hyperlink_3878" Type="http://schemas.openxmlformats.org/officeDocument/2006/relationships/hyperlink" Target="https://old.ukr-mobil.com/zadnyaya_kryshka_motorola_g9_play_xt2083_sapphire_blue_10002511" TargetMode="External"/><Relationship Id="rId_hyperlink_3879" Type="http://schemas.openxmlformats.org/officeDocument/2006/relationships/hyperlink" Target="https://old.ukr-mobil.com/zadnyaya_kryshka_motorola_g9_plus_xt2087_navy_blue_10002515" TargetMode="External"/><Relationship Id="rId_hyperlink_3880" Type="http://schemas.openxmlformats.org/officeDocument/2006/relationships/hyperlink" Target="https://old.ukr-mobil.com/zadnyaya_kryshka_motorola_g9_power_xt2091-3_metallic_sage_10002514" TargetMode="External"/><Relationship Id="rId_hyperlink_3881" Type="http://schemas.openxmlformats.org/officeDocument/2006/relationships/hyperlink" Target="https://old.ukr-mobil.com/zadnyaya_kryshka_motorola_one_action_xt2013_one_vision_xt1970_green_10002516" TargetMode="External"/><Relationship Id="rId_hyperlink_3882" Type="http://schemas.openxmlformats.org/officeDocument/2006/relationships/hyperlink" Target="https://old.ukr-mobil.com/zadnyaya_kryshka_motorola_xt1620_moto_g4_xt1621_moto_g4_xt1622_moto_g4_xt1624_moto_g4_xt1625_moto_g4_xt1626_moto_g4_black_12136" TargetMode="External"/><Relationship Id="rId_hyperlink_3883" Type="http://schemas.openxmlformats.org/officeDocument/2006/relationships/hyperlink" Target="https://old.ukr-mobil.com/zadnyaya_kryshka_motorola_xt1620_moto_g4_xt1621_moto_g4_xt1622_moto_g4_xt1624_moto_g4_xt1625_moto_g4_xt1626_moto_g4_gold_12137" TargetMode="External"/><Relationship Id="rId_hyperlink_3884" Type="http://schemas.openxmlformats.org/officeDocument/2006/relationships/hyperlink" Target="https://old.ukr-mobil.com/zadnyaya_kryshka_motorola_xt1635-02_moto_z_play_black_12139" TargetMode="External"/><Relationship Id="rId_hyperlink_3885" Type="http://schemas.openxmlformats.org/officeDocument/2006/relationships/hyperlink" Target="https://old.ukr-mobil.com/zadnyaya_kryshka_motorola_xt1635-02_moto_z_play_white_12140" TargetMode="External"/><Relationship Id="rId_hyperlink_3886" Type="http://schemas.openxmlformats.org/officeDocument/2006/relationships/hyperlink" Target="https://old.ukr-mobil.com/zadnyaya_kryshka_motorola_xt1641_moto_g4_plus_xt1642_moto_g4_plus_xt1644_moto_g4_plus_black_12138" TargetMode="External"/><Relationship Id="rId_hyperlink_3887" Type="http://schemas.openxmlformats.org/officeDocument/2006/relationships/hyperlink" Target="https://old.ukr-mobil.com/zadnyaya_kryshka_motorola_xt1676_moto_g5_gold_12142" TargetMode="External"/><Relationship Id="rId_hyperlink_3888" Type="http://schemas.openxmlformats.org/officeDocument/2006/relationships/hyperlink" Target="https://old.ukr-mobil.com/zadnyaya_kryshka_motorola_xt1676_moto_g5_gray_12141" TargetMode="External"/><Relationship Id="rId_hyperlink_3889" Type="http://schemas.openxmlformats.org/officeDocument/2006/relationships/hyperlink" Target="https://old.ukr-mobil.com/zadnyaya_kryshka_motorola_xt1685_moto_g5_plus_gold_12144" TargetMode="External"/><Relationship Id="rId_hyperlink_3890" Type="http://schemas.openxmlformats.org/officeDocument/2006/relationships/hyperlink" Target="https://old.ukr-mobil.com/zadnyaya_kryshka_motorola_xt1685_moto_g5_plus_gray_12143" TargetMode="External"/><Relationship Id="rId_hyperlink_3891" Type="http://schemas.openxmlformats.org/officeDocument/2006/relationships/hyperlink" Target="https://old.ukr-mobil.com/zadnyaya_kryshka_motorola_xt1723_moto_c_plus_black_12145" TargetMode="External"/><Relationship Id="rId_hyperlink_3892" Type="http://schemas.openxmlformats.org/officeDocument/2006/relationships/hyperlink" Target="https://old.ukr-mobil.com/zadnyaya_kryshka_motorola_xt1723_moto_c_plus_white_12146" TargetMode="External"/><Relationship Id="rId_hyperlink_3893" Type="http://schemas.openxmlformats.org/officeDocument/2006/relationships/hyperlink" Target="https://old.ukr-mobil.com/zadnyaya_kryshka_motorola_xt1750_moto_c_black_12147" TargetMode="External"/><Relationship Id="rId_hyperlink_3894" Type="http://schemas.openxmlformats.org/officeDocument/2006/relationships/hyperlink" Target="https://old.ukr-mobil.com/zadnyaya_kryshka_motorola_xt1750_moto_c_white_12148" TargetMode="External"/><Relationship Id="rId_hyperlink_3895" Type="http://schemas.openxmlformats.org/officeDocument/2006/relationships/hyperlink" Target="https://old.ukr-mobil.com/zadnyaya_kryshka_motorola_xt1794_moto_g5s_black_12149" TargetMode="External"/><Relationship Id="rId_hyperlink_3896" Type="http://schemas.openxmlformats.org/officeDocument/2006/relationships/hyperlink" Target="https://old.ukr-mobil.com/zadnyaya_kryshka_motorola_xt1794_moto_g5s_gold_12150" TargetMode="External"/><Relationship Id="rId_hyperlink_3897" Type="http://schemas.openxmlformats.org/officeDocument/2006/relationships/hyperlink" Target="https://old.ukr-mobil.com/zadnyaya_kryshka_motorola_xt1922_moto_g6_play_blue_12152" TargetMode="External"/><Relationship Id="rId_hyperlink_3898" Type="http://schemas.openxmlformats.org/officeDocument/2006/relationships/hyperlink" Target="https://old.ukr-mobil.com/zadnyaya_kryshka_motorola_xt1925_moto_g6_blue_12151" TargetMode="External"/><Relationship Id="rId_hyperlink_3899" Type="http://schemas.openxmlformats.org/officeDocument/2006/relationships/hyperlink" Target="https://old.ukr-mobil.com/zadnyaya_kryshka_motorola_xt1926_moto_g6_plus_blue_12153" TargetMode="External"/><Relationship Id="rId_hyperlink_3900" Type="http://schemas.openxmlformats.org/officeDocument/2006/relationships/hyperlink" Target="https://old.ukr-mobil.com/zadnyaya_kryshka_motorola_xt1926_moto_g6_plus_gold_12154" TargetMode="External"/><Relationship Id="rId_hyperlink_3901" Type="http://schemas.openxmlformats.org/officeDocument/2006/relationships/hyperlink" Target="https://old.ukr-mobil.com/zadnyaya_kryshka_motorola_xt1944_moto_e5_gold_12156" TargetMode="External"/><Relationship Id="rId_hyperlink_3902" Type="http://schemas.openxmlformats.org/officeDocument/2006/relationships/hyperlink" Target="https://old.ukr-mobil.com/zadnyaya_kryshka_motorola_xt1944_moto_e5_gray_12155" TargetMode="External"/><Relationship Id="rId_hyperlink_3903" Type="http://schemas.openxmlformats.org/officeDocument/2006/relationships/hyperlink" Target="https://old.ukr-mobil.com/zadnyaya_kryshka_nokia_2_3_ta-1211_ta-1214_ta-1206_ta-1209_so_steklom_kamery_original_prc_gray_10002655" TargetMode="External"/><Relationship Id="rId_hyperlink_3904" Type="http://schemas.openxmlformats.org/officeDocument/2006/relationships/hyperlink" Target="https://old.ukr-mobil.com/zadnyaya_kryshka_nokia_2_4_ta-1277_ta-1275_ta-1274_ta-1270_so_steklom_kamery_original_prc_grey_10002656" TargetMode="External"/><Relationship Id="rId_hyperlink_3905" Type="http://schemas.openxmlformats.org/officeDocument/2006/relationships/hyperlink" Target="https://old.ukr-mobil.com/zadnyaya_kryshka_nokia_3_1_plus_s_steklom_kamery_original_prc_black_10000682" TargetMode="External"/><Relationship Id="rId_hyperlink_3906" Type="http://schemas.openxmlformats.org/officeDocument/2006/relationships/hyperlink" Target="https://old.ukr-mobil.com/zadnyaya_kryshka_nokia_3_4_ta-1283_original_prc_grey_10002657" TargetMode="External"/><Relationship Id="rId_hyperlink_3907" Type="http://schemas.openxmlformats.org/officeDocument/2006/relationships/hyperlink" Target="https://old.ukr-mobil.com/zadnyaya_kryshka_nokia_5_1_plus_ta-1105_black_12340" TargetMode="External"/><Relationship Id="rId_hyperlink_3908" Type="http://schemas.openxmlformats.org/officeDocument/2006/relationships/hyperlink" Target="https://old.ukr-mobil.com/zadnyaya_kryshka_nokia_5_3_ta-1234_ta-1223_ta-1227_original_prc_blue_10002659" TargetMode="External"/><Relationship Id="rId_hyperlink_3909" Type="http://schemas.openxmlformats.org/officeDocument/2006/relationships/hyperlink" Target="https://old.ukr-mobil.com/zadnyaya_kryshka_nokia_5_3_ta-1234_ta-1223_ta-1227_original_prc_graphite_10002658" TargetMode="External"/><Relationship Id="rId_hyperlink_3910" Type="http://schemas.openxmlformats.org/officeDocument/2006/relationships/hyperlink" Target="https://old.ukr-mobil.com/zadnyaya_kryshka_nokia_6_1_plus_original_prc_black_12341" TargetMode="External"/><Relationship Id="rId_hyperlink_3911" Type="http://schemas.openxmlformats.org/officeDocument/2006/relationships/hyperlink" Target="https://old.ukr-mobil.com/zadnyaya_kryshka_nokia_g10_ta-1334_ta-1351_original_prc_blue_10002660" TargetMode="External"/><Relationship Id="rId_hyperlink_3912" Type="http://schemas.openxmlformats.org/officeDocument/2006/relationships/hyperlink" Target="https://old.ukr-mobil.com/zadnyaya_kryshka_oneplus_8_pro_in2023_in2020_in2021_in2025_so_steklom_kamery_original_black_10003338" TargetMode="External"/><Relationship Id="rId_hyperlink_3913" Type="http://schemas.openxmlformats.org/officeDocument/2006/relationships/hyperlink" Target="https://old.ukr-mobil.com/index.php?route=product&amp;product_id=10005411" TargetMode="External"/><Relationship Id="rId_hyperlink_3914" Type="http://schemas.openxmlformats.org/officeDocument/2006/relationships/hyperlink" Target="https://old.ukr-mobil.com/index.php?route=product&amp;product_id=10005412" TargetMode="External"/><Relationship Id="rId_hyperlink_3915" Type="http://schemas.openxmlformats.org/officeDocument/2006/relationships/hyperlink" Target="https://old.ukr-mobil.com/zadnyaya_kryshka_oppo_a53_original_prc_green_10001239" TargetMode="External"/><Relationship Id="rId_hyperlink_3916" Type="http://schemas.openxmlformats.org/officeDocument/2006/relationships/hyperlink" Target="https://old.ukr-mobil.com/index.php?route=product&amp;product_id=10005416" TargetMode="External"/><Relationship Id="rId_hyperlink_3917" Type="http://schemas.openxmlformats.org/officeDocument/2006/relationships/hyperlink" Target="https://old.ukr-mobil.com/index.php?route=product&amp;product_id=10005417" TargetMode="External"/><Relationship Id="rId_hyperlink_3918" Type="http://schemas.openxmlformats.org/officeDocument/2006/relationships/hyperlink" Target="https://old.ukr-mobil.com/index.php?route=product&amp;product_id=10005421" TargetMode="External"/><Relationship Id="rId_hyperlink_3919" Type="http://schemas.openxmlformats.org/officeDocument/2006/relationships/hyperlink" Target="https://old.ukr-mobil.com/index.php?route=product&amp;product_id=10005418" TargetMode="External"/><Relationship Id="rId_hyperlink_3920" Type="http://schemas.openxmlformats.org/officeDocument/2006/relationships/hyperlink" Target="https://old.ukr-mobil.com/index.php?route=product&amp;product_id=10005419" TargetMode="External"/><Relationship Id="rId_hyperlink_3921" Type="http://schemas.openxmlformats.org/officeDocument/2006/relationships/hyperlink" Target="https://old.ukr-mobil.com/index.php?route=product&amp;product_id=10005414" TargetMode="External"/><Relationship Id="rId_hyperlink_3922" Type="http://schemas.openxmlformats.org/officeDocument/2006/relationships/hyperlink" Target="https://old.ukr-mobil.com/index.php?route=product&amp;product_id=10005415" TargetMode="External"/><Relationship Id="rId_hyperlink_3923" Type="http://schemas.openxmlformats.org/officeDocument/2006/relationships/hyperlink" Target="https://old.ukr-mobil.com/index.php?route=product&amp;product_id=10005422" TargetMode="External"/><Relationship Id="rId_hyperlink_3924" Type="http://schemas.openxmlformats.org/officeDocument/2006/relationships/hyperlink" Target="https://old.ukr-mobil.com/index.php?route=product&amp;product_id=10005420" TargetMode="External"/><Relationship Id="rId_hyperlink_3925" Type="http://schemas.openxmlformats.org/officeDocument/2006/relationships/hyperlink" Target="https://old.ukr-mobil.com/zadnyaya_kryshka_oppo_realme_6_pro_original_prc_blue_10002199" TargetMode="External"/><Relationship Id="rId_hyperlink_3926" Type="http://schemas.openxmlformats.org/officeDocument/2006/relationships/hyperlink" Target="https://old.ukr-mobil.com/zadnyaya_kryshka_oppo_realme_c11_original_prc_grey_10002202" TargetMode="External"/><Relationship Id="rId_hyperlink_3927" Type="http://schemas.openxmlformats.org/officeDocument/2006/relationships/hyperlink" Target="https://old.ukr-mobil.com/zadnyaya_kryshka_oppo_realme_c3_original_prc_black_10001245" TargetMode="External"/><Relationship Id="rId_hyperlink_3928" Type="http://schemas.openxmlformats.org/officeDocument/2006/relationships/hyperlink" Target="https://old.ukr-mobil.com/index.php?route=product&amp;product_id=10005423" TargetMode="External"/><Relationship Id="rId_hyperlink_3929" Type="http://schemas.openxmlformats.org/officeDocument/2006/relationships/hyperlink" Target="https://old.ukr-mobil.com/index.php?route=product&amp;product_id=10005229" TargetMode="External"/><Relationship Id="rId_hyperlink_3930" Type="http://schemas.openxmlformats.org/officeDocument/2006/relationships/hyperlink" Target="https://old.ukr-mobil.com/zadnyaya_kryshka_redmi_note_10_pro_original_prc_glacier_blue_10002103" TargetMode="External"/><Relationship Id="rId_hyperlink_3931" Type="http://schemas.openxmlformats.org/officeDocument/2006/relationships/hyperlink" Target="https://old.ukr-mobil.com/zadnyaya_kryshka_redmi_note_10_pro_original_prc_gradient_bronze_10002104" TargetMode="External"/><Relationship Id="rId_hyperlink_3932" Type="http://schemas.openxmlformats.org/officeDocument/2006/relationships/hyperlink" Target="https://old.ukr-mobil.com/zadnyaya_kryshka_redmi_note_10_pro_original_prc_onyx_gray_10002102" TargetMode="External"/><Relationship Id="rId_hyperlink_3933" Type="http://schemas.openxmlformats.org/officeDocument/2006/relationships/hyperlink" Target="https://old.ukr-mobil.com/zadnyaya_kryshka_redmi_note_10_redmi_note_10s_original_prc_green_10002930" TargetMode="External"/><Relationship Id="rId_hyperlink_3934" Type="http://schemas.openxmlformats.org/officeDocument/2006/relationships/hyperlink" Target="https://old.ukr-mobil.com/zadnyaya_kryshka_redmi_note_10_redmi_note_10s_original_prc_ocean_blue_10002101" TargetMode="External"/><Relationship Id="rId_hyperlink_3935" Type="http://schemas.openxmlformats.org/officeDocument/2006/relationships/hyperlink" Target="https://old.ukr-mobil.com/zadnyaya_kryshka_xiaomi_redmi_note_10s_original_prc_onyx_gray_10002094" TargetMode="External"/><Relationship Id="rId_hyperlink_3936" Type="http://schemas.openxmlformats.org/officeDocument/2006/relationships/hyperlink" Target="https://old.ukr-mobil.com/index.php?route=product&amp;product_id=10004846" TargetMode="External"/><Relationship Id="rId_hyperlink_3937" Type="http://schemas.openxmlformats.org/officeDocument/2006/relationships/hyperlink" Target="https://old.ukr-mobil.com/zadnyaya_kryshka_samsung_a025_galaxy_a02s_original_prc_black_10001857" TargetMode="External"/><Relationship Id="rId_hyperlink_3938" Type="http://schemas.openxmlformats.org/officeDocument/2006/relationships/hyperlink" Target="https://old.ukr-mobil.com/index.php?route=product&amp;product_id=10004616" TargetMode="External"/><Relationship Id="rId_hyperlink_3939" Type="http://schemas.openxmlformats.org/officeDocument/2006/relationships/hyperlink" Target="https://old.ukr-mobil.com/index.php?route=product&amp;product_id=10004617" TargetMode="External"/><Relationship Id="rId_hyperlink_3940" Type="http://schemas.openxmlformats.org/officeDocument/2006/relationships/hyperlink" Target="https://old.ukr-mobil.com/index.php?route=product&amp;product_id=10004618" TargetMode="External"/><Relationship Id="rId_hyperlink_3941" Type="http://schemas.openxmlformats.org/officeDocument/2006/relationships/hyperlink" Target="https://old.ukr-mobil.com/index.php?route=product&amp;product_id=10004610" TargetMode="External"/><Relationship Id="rId_hyperlink_3942" Type="http://schemas.openxmlformats.org/officeDocument/2006/relationships/hyperlink" Target="https://old.ukr-mobil.com/index.php?route=product&amp;product_id=10004611" TargetMode="External"/><Relationship Id="rId_hyperlink_3943" Type="http://schemas.openxmlformats.org/officeDocument/2006/relationships/hyperlink" Target="https://old.ukr-mobil.com/index.php?route=product&amp;product_id=10004612" TargetMode="External"/><Relationship Id="rId_hyperlink_3944" Type="http://schemas.openxmlformats.org/officeDocument/2006/relationships/hyperlink" Target="https://old.ukr-mobil.com/index.php?route=product&amp;product_id=10004613" TargetMode="External"/><Relationship Id="rId_hyperlink_3945" Type="http://schemas.openxmlformats.org/officeDocument/2006/relationships/hyperlink" Target="https://old.ukr-mobil.com/index.php?route=product&amp;product_id=10004614" TargetMode="External"/><Relationship Id="rId_hyperlink_3946" Type="http://schemas.openxmlformats.org/officeDocument/2006/relationships/hyperlink" Target="https://old.ukr-mobil.com/index.php?route=product&amp;product_id=10004615" TargetMode="External"/><Relationship Id="rId_hyperlink_3947" Type="http://schemas.openxmlformats.org/officeDocument/2006/relationships/hyperlink" Target="https://old.ukr-mobil.com/zadnyaya_kryshka_samsung_a105_galaxy_a10_2019_original_blue_12212" TargetMode="External"/><Relationship Id="rId_hyperlink_3948" Type="http://schemas.openxmlformats.org/officeDocument/2006/relationships/hyperlink" Target="https://old.ukr-mobil.com/zadnyaya_kryshka_samsung_a105_galaxy_a10_2019_original_red_12213" TargetMode="External"/><Relationship Id="rId_hyperlink_3949" Type="http://schemas.openxmlformats.org/officeDocument/2006/relationships/hyperlink" Target="https://old.ukr-mobil.com/zadnyaya_kryshka_samsung_a105_galaxy_a10_2019_original_black_12108" TargetMode="External"/><Relationship Id="rId_hyperlink_3950" Type="http://schemas.openxmlformats.org/officeDocument/2006/relationships/hyperlink" Target="https://old.ukr-mobil.com/zadnyaya_kryshka_samsung_a125_galaxy_a12_original_prc_black_10001858" TargetMode="External"/><Relationship Id="rId_hyperlink_3951" Type="http://schemas.openxmlformats.org/officeDocument/2006/relationships/hyperlink" Target="https://old.ukr-mobil.com/zadnyaya_kryshka_samsung_a125_galaxy_a12_original_prc_blue_10001859" TargetMode="External"/><Relationship Id="rId_hyperlink_3952" Type="http://schemas.openxmlformats.org/officeDocument/2006/relationships/hyperlink" Target="https://old.ukr-mobil.com/index.php?route=product&amp;product_id=10004622" TargetMode="External"/><Relationship Id="rId_hyperlink_3953" Type="http://schemas.openxmlformats.org/officeDocument/2006/relationships/hyperlink" Target="https://old.ukr-mobil.com/index.php?route=product&amp;product_id=10004623" TargetMode="External"/><Relationship Id="rId_hyperlink_3954" Type="http://schemas.openxmlformats.org/officeDocument/2006/relationships/hyperlink" Target="https://old.ukr-mobil.com/index.php?route=product&amp;product_id=10004624" TargetMode="External"/><Relationship Id="rId_hyperlink_3955" Type="http://schemas.openxmlformats.org/officeDocument/2006/relationships/hyperlink" Target="https://old.ukr-mobil.com/index.php?route=product&amp;product_id=10004619" TargetMode="External"/><Relationship Id="rId_hyperlink_3956" Type="http://schemas.openxmlformats.org/officeDocument/2006/relationships/hyperlink" Target="https://old.ukr-mobil.com/index.php?route=product&amp;product_id=10004620" TargetMode="External"/><Relationship Id="rId_hyperlink_3957" Type="http://schemas.openxmlformats.org/officeDocument/2006/relationships/hyperlink" Target="https://old.ukr-mobil.com/index.php?route=product&amp;product_id=10004621" TargetMode="External"/><Relationship Id="rId_hyperlink_3958" Type="http://schemas.openxmlformats.org/officeDocument/2006/relationships/hyperlink" Target="https://old.ukr-mobil.com/zadnyaya_kryshka_samsung_a205_galaxy_a20_2019_original_black_12109" TargetMode="External"/><Relationship Id="rId_hyperlink_3959" Type="http://schemas.openxmlformats.org/officeDocument/2006/relationships/hyperlink" Target="https://old.ukr-mobil.com/zadnyaya_kryshka_samsung_a205_galaxy_a20_2019_original_blue_12223" TargetMode="External"/><Relationship Id="rId_hyperlink_3960" Type="http://schemas.openxmlformats.org/officeDocument/2006/relationships/hyperlink" Target="https://old.ukr-mobil.com/zadnyaya_kryshka_samsung_a217_galaxy_a21s_original_prc_blue_10001864" TargetMode="External"/><Relationship Id="rId_hyperlink_3961" Type="http://schemas.openxmlformats.org/officeDocument/2006/relationships/hyperlink" Target="https://old.ukr-mobil.com/zadnyaya_kryshka_samsung_a217_galaxy_a21s_original_prc_red_10002632" TargetMode="External"/><Relationship Id="rId_hyperlink_3962" Type="http://schemas.openxmlformats.org/officeDocument/2006/relationships/hyperlink" Target="https://old.ukr-mobil.com/index.php?route=product&amp;product_id=10004625" TargetMode="External"/><Relationship Id="rId_hyperlink_3963" Type="http://schemas.openxmlformats.org/officeDocument/2006/relationships/hyperlink" Target="https://old.ukr-mobil.com/index.php?route=product&amp;product_id=10004626" TargetMode="External"/><Relationship Id="rId_hyperlink_3964" Type="http://schemas.openxmlformats.org/officeDocument/2006/relationships/hyperlink" Target="https://old.ukr-mobil.com/index.php?route=product&amp;product_id=10004627" TargetMode="External"/><Relationship Id="rId_hyperlink_3965" Type="http://schemas.openxmlformats.org/officeDocument/2006/relationships/hyperlink" Target="https://old.ukr-mobil.com/zadnyaya_kryshka_samsung_a305_galaxy_a30_2019_original_prc_black_12110" TargetMode="External"/><Relationship Id="rId_hyperlink_3966" Type="http://schemas.openxmlformats.org/officeDocument/2006/relationships/hyperlink" Target="https://old.ukr-mobil.com/zadnyaya_kryshka_samsung_a305_galaxy_a30_2019_original_prc_blue_12221" TargetMode="External"/><Relationship Id="rId_hyperlink_3967" Type="http://schemas.openxmlformats.org/officeDocument/2006/relationships/hyperlink" Target="https://old.ukr-mobil.com/zadnyaya_kryshka_samsung_a305_galaxy_a30_2019_original_prc_white_12222" TargetMode="External"/><Relationship Id="rId_hyperlink_3968" Type="http://schemas.openxmlformats.org/officeDocument/2006/relationships/hyperlink" Target="https://old.ukr-mobil.com/index.php?route=product&amp;product_id=10004896" TargetMode="External"/><Relationship Id="rId_hyperlink_3969" Type="http://schemas.openxmlformats.org/officeDocument/2006/relationships/hyperlink" Target="https://old.ukr-mobil.com/index.php?route=product&amp;product_id=10004897" TargetMode="External"/><Relationship Id="rId_hyperlink_3970" Type="http://schemas.openxmlformats.org/officeDocument/2006/relationships/hyperlink" Target="https://old.ukr-mobil.com/index.php?route=product&amp;product_id=10004898" TargetMode="External"/><Relationship Id="rId_hyperlink_3971" Type="http://schemas.openxmlformats.org/officeDocument/2006/relationships/hyperlink" Target="https://old.ukr-mobil.com/index.php?route=product&amp;product_id=10004885" TargetMode="External"/><Relationship Id="rId_hyperlink_3972" Type="http://schemas.openxmlformats.org/officeDocument/2006/relationships/hyperlink" Target="https://old.ukr-mobil.com/index.php?route=product&amp;product_id=10004886" TargetMode="External"/><Relationship Id="rId_hyperlink_3973" Type="http://schemas.openxmlformats.org/officeDocument/2006/relationships/hyperlink" Target="https://old.ukr-mobil.com/index.php?route=product&amp;product_id=10004887" TargetMode="External"/><Relationship Id="rId_hyperlink_3974" Type="http://schemas.openxmlformats.org/officeDocument/2006/relationships/hyperlink" Target="https://old.ukr-mobil.com/index.php?route=product&amp;product_id=10004888" TargetMode="External"/><Relationship Id="rId_hyperlink_3975" Type="http://schemas.openxmlformats.org/officeDocument/2006/relationships/hyperlink" Target="https://old.ukr-mobil.com/zadnyaya_kryshka_samsung_a505_galaxy_a50_2019_original_black_12111" TargetMode="External"/><Relationship Id="rId_hyperlink_3976" Type="http://schemas.openxmlformats.org/officeDocument/2006/relationships/hyperlink" Target="https://old.ukr-mobil.com/zadnyaya_kryshka_samsung_a505_galaxy_a50_2019_original_blue_12224" TargetMode="External"/><Relationship Id="rId_hyperlink_3977" Type="http://schemas.openxmlformats.org/officeDocument/2006/relationships/hyperlink" Target="https://old.ukr-mobil.com/zadnyaya_kryshka_samsung_a505_galaxy_a50_2019_original_white_12225" TargetMode="External"/><Relationship Id="rId_hyperlink_3978" Type="http://schemas.openxmlformats.org/officeDocument/2006/relationships/hyperlink" Target="https://old.ukr-mobil.com/zadnyaya_kryshka_samsung_a515_galaxy_a51_original_prc_blue_10002579" TargetMode="External"/><Relationship Id="rId_hyperlink_3979" Type="http://schemas.openxmlformats.org/officeDocument/2006/relationships/hyperlink" Target="https://old.ukr-mobil.com/zadnyaya_kryshka_samsung_a515_galaxy_a51_original_prc_pink_10002631" TargetMode="External"/><Relationship Id="rId_hyperlink_3980" Type="http://schemas.openxmlformats.org/officeDocument/2006/relationships/hyperlink" Target="https://old.ukr-mobil.com/zadnyaya_kryshka_samsung_a515_galaxy_a51_original_prc_white_10002580" TargetMode="External"/><Relationship Id="rId_hyperlink_3981" Type="http://schemas.openxmlformats.org/officeDocument/2006/relationships/hyperlink" Target="https://old.ukr-mobil.com/zadnyaya_kryshka_samsung_a515_galaxy_a51_so_steklom_kamery_original_prc_black_10002581" TargetMode="External"/><Relationship Id="rId_hyperlink_3982" Type="http://schemas.openxmlformats.org/officeDocument/2006/relationships/hyperlink" Target="https://old.ukr-mobil.com/zadnyaya_kryshka_samsung_a530_galaxy_a8_2018_black_10823" TargetMode="External"/><Relationship Id="rId_hyperlink_3983" Type="http://schemas.openxmlformats.org/officeDocument/2006/relationships/hyperlink" Target="https://old.ukr-mobil.com/zadnyaya_kryshka_samsung_a530_galaxy_a8_2018_blue_11381" TargetMode="External"/><Relationship Id="rId_hyperlink_3984" Type="http://schemas.openxmlformats.org/officeDocument/2006/relationships/hyperlink" Target="https://old.ukr-mobil.com/zadnyaya_kryshka_samsung_a530_galaxy_a8_2018_gold_10822" TargetMode="External"/><Relationship Id="rId_hyperlink_3985" Type="http://schemas.openxmlformats.org/officeDocument/2006/relationships/hyperlink" Target="https://old.ukr-mobil.com/zadnyaya_kryshka_samsung_a530_galaxy_a8_2018_orchid_gray_10824" TargetMode="External"/><Relationship Id="rId_hyperlink_3986" Type="http://schemas.openxmlformats.org/officeDocument/2006/relationships/hyperlink" Target="https://old.ukr-mobil.com/zadnyaya_kryshka_samsung_a600_galaxy_a6_original_black_12113" TargetMode="External"/><Relationship Id="rId_hyperlink_3987" Type="http://schemas.openxmlformats.org/officeDocument/2006/relationships/hyperlink" Target="https://old.ukr-mobil.com/zadnyaya_kryshka_samsung_a600_galaxy_a6_original_blue_12220" TargetMode="External"/><Relationship Id="rId_hyperlink_3988" Type="http://schemas.openxmlformats.org/officeDocument/2006/relationships/hyperlink" Target="https://old.ukr-mobil.com/zadnyaya_kryshka_samsung_a600_galaxy_a6_original_gold_12219" TargetMode="External"/><Relationship Id="rId_hyperlink_3989" Type="http://schemas.openxmlformats.org/officeDocument/2006/relationships/hyperlink" Target="https://old.ukr-mobil.com/zadnyaya_kryshka_samsung_a605_galaxy_a6_plus_2018_original_black_12114" TargetMode="External"/><Relationship Id="rId_hyperlink_3990" Type="http://schemas.openxmlformats.org/officeDocument/2006/relationships/hyperlink" Target="https://old.ukr-mobil.com/zadnyaya_kryshka_samsung_a605_galaxy_a6_plus_2018_original_blue_12214" TargetMode="External"/><Relationship Id="rId_hyperlink_3991" Type="http://schemas.openxmlformats.org/officeDocument/2006/relationships/hyperlink" Target="https://old.ukr-mobil.com/zadnyaya_kryshka_samsung_a605_galaxy_a6_plus_2018_original_gold_109" TargetMode="External"/><Relationship Id="rId_hyperlink_3992" Type="http://schemas.openxmlformats.org/officeDocument/2006/relationships/hyperlink" Target="https://old.ukr-mobil.com/zadnyaya_kryshka_samsung_a750_galaxy_a7_2018_original_black_12112" TargetMode="External"/><Relationship Id="rId_hyperlink_3993" Type="http://schemas.openxmlformats.org/officeDocument/2006/relationships/hyperlink" Target="https://old.ukr-mobil.com/zadnyaya_kryshka_samsung_a750_galaxy_a7_2018_original_blue_12179" TargetMode="External"/><Relationship Id="rId_hyperlink_3994" Type="http://schemas.openxmlformats.org/officeDocument/2006/relationships/hyperlink" Target="https://old.ukr-mobil.com/zadnyaya_kryshka_samsung_a750_galaxy_a7_2018_original_gold_12180" TargetMode="External"/><Relationship Id="rId_hyperlink_3995" Type="http://schemas.openxmlformats.org/officeDocument/2006/relationships/hyperlink" Target="https://old.ukr-mobil.com/zadnyaya_kryshka_samsung_a750_galaxy_a7_2018_original_pink_12181" TargetMode="External"/><Relationship Id="rId_hyperlink_3996" Type="http://schemas.openxmlformats.org/officeDocument/2006/relationships/hyperlink" Target="https://old.ukr-mobil.com/index.php?route=product&amp;product_id=10005502" TargetMode="External"/><Relationship Id="rId_hyperlink_3997" Type="http://schemas.openxmlformats.org/officeDocument/2006/relationships/hyperlink" Target="https://old.ukr-mobil.com/index.php?route=product&amp;product_id=10005501" TargetMode="External"/><Relationship Id="rId_hyperlink_3998" Type="http://schemas.openxmlformats.org/officeDocument/2006/relationships/hyperlink" Target="https://old.ukr-mobil.com/index.php?route=product&amp;product_id=10005503" TargetMode="External"/><Relationship Id="rId_hyperlink_3999" Type="http://schemas.openxmlformats.org/officeDocument/2006/relationships/hyperlink" Target="https://old.ukr-mobil.com/index.php?route=product&amp;product_id=10005500" TargetMode="External"/><Relationship Id="rId_hyperlink_4000" Type="http://schemas.openxmlformats.org/officeDocument/2006/relationships/hyperlink" Target="https://old.ukr-mobil.com/index.php?route=product&amp;product_id=10005492" TargetMode="External"/><Relationship Id="rId_hyperlink_4001" Type="http://schemas.openxmlformats.org/officeDocument/2006/relationships/hyperlink" Target="https://old.ukr-mobil.com/index.php?route=product&amp;product_id=10005493" TargetMode="External"/><Relationship Id="rId_hyperlink_4002" Type="http://schemas.openxmlformats.org/officeDocument/2006/relationships/hyperlink" Target="https://old.ukr-mobil.com/index.php?route=product&amp;product_id=10005494" TargetMode="External"/><Relationship Id="rId_hyperlink_4003" Type="http://schemas.openxmlformats.org/officeDocument/2006/relationships/hyperlink" Target="https://old.ukr-mobil.com/index.php?route=product&amp;product_id=10005496" TargetMode="External"/><Relationship Id="rId_hyperlink_4004" Type="http://schemas.openxmlformats.org/officeDocument/2006/relationships/hyperlink" Target="https://old.ukr-mobil.com/index.php?route=product&amp;product_id=10005497" TargetMode="External"/><Relationship Id="rId_hyperlink_4005" Type="http://schemas.openxmlformats.org/officeDocument/2006/relationships/hyperlink" Target="https://old.ukr-mobil.com/index.php?route=product&amp;product_id=10005499" TargetMode="External"/><Relationship Id="rId_hyperlink_4006" Type="http://schemas.openxmlformats.org/officeDocument/2006/relationships/hyperlink" Target="https://old.ukr-mobil.com/index.php?route=product&amp;product_id=10005498" TargetMode="External"/><Relationship Id="rId_hyperlink_4007" Type="http://schemas.openxmlformats.org/officeDocument/2006/relationships/hyperlink" Target="https://old.ukr-mobil.com/zadnyaya_kryshka_samsung_g532_galaxy_j2_prime_black_10817" TargetMode="External"/><Relationship Id="rId_hyperlink_4008" Type="http://schemas.openxmlformats.org/officeDocument/2006/relationships/hyperlink" Target="https://old.ukr-mobil.com/zadnyaya_kryshka_samsung_g532_galaxy_j2_prime_gold_10820" TargetMode="External"/><Relationship Id="rId_hyperlink_4009" Type="http://schemas.openxmlformats.org/officeDocument/2006/relationships/hyperlink" Target="https://old.ukr-mobil.com/zadnyaya_kryshka_samsung_g532_galaxy_j2_prime_pink_10000371" TargetMode="External"/><Relationship Id="rId_hyperlink_4010" Type="http://schemas.openxmlformats.org/officeDocument/2006/relationships/hyperlink" Target="https://old.ukr-mobil.com/zadnyaya_kryshka_samsung_g532_galaxy_j2_prime_silver_10000373" TargetMode="External"/><Relationship Id="rId_hyperlink_4011" Type="http://schemas.openxmlformats.org/officeDocument/2006/relationships/hyperlink" Target="https://old.ukr-mobil.com/zadnyaya_kryshka_samsung_g532_galaxy_j2_prime_white_10819" TargetMode="External"/><Relationship Id="rId_hyperlink_4012" Type="http://schemas.openxmlformats.org/officeDocument/2006/relationships/hyperlink" Target="https://old.ukr-mobil.com/zadnyaya_kryshka_samsung_g780_galaxy_s20_fe_original_prc_blue_10002582" TargetMode="External"/><Relationship Id="rId_hyperlink_4013" Type="http://schemas.openxmlformats.org/officeDocument/2006/relationships/hyperlink" Target="https://old.ukr-mobil.com/zadnyaya_kryshka_samsung_g780_galaxy_s20_fe_original_prc_green_10002587" TargetMode="External"/><Relationship Id="rId_hyperlink_4014" Type="http://schemas.openxmlformats.org/officeDocument/2006/relationships/hyperlink" Target="https://old.ukr-mobil.com/zadnyaya_kryshka_samsung_g780_galaxy_s20_fe_original_prc_light_violet_10002590" TargetMode="External"/><Relationship Id="rId_hyperlink_4015" Type="http://schemas.openxmlformats.org/officeDocument/2006/relationships/hyperlink" Target="https://old.ukr-mobil.com/zadnyaya_kryshka_samsung_g780_galaxy_s20_fe_original_prc_orange_10002588" TargetMode="External"/><Relationship Id="rId_hyperlink_4016" Type="http://schemas.openxmlformats.org/officeDocument/2006/relationships/hyperlink" Target="https://old.ukr-mobil.com/zadnyaya_kryshka_samsung_g780_galaxy_s20_fe_original_prc_red_10002589" TargetMode="External"/><Relationship Id="rId_hyperlink_4017" Type="http://schemas.openxmlformats.org/officeDocument/2006/relationships/hyperlink" Target="https://old.ukr-mobil.com/zadnyaya_kryshka_samsung_g780_galaxy_s20_fe_original_prc_white_10002591" TargetMode="External"/><Relationship Id="rId_hyperlink_4018" Type="http://schemas.openxmlformats.org/officeDocument/2006/relationships/hyperlink" Target="https://old.ukr-mobil.com/zadnyaya_kryshka_samsung_g928_galaxy_s6_edge_plus_original_prc_blue_8664" TargetMode="External"/><Relationship Id="rId_hyperlink_4019" Type="http://schemas.openxmlformats.org/officeDocument/2006/relationships/hyperlink" Target="https://old.ukr-mobil.com/zadnyaya_kryshka_samsung_g928_galaxy_s6_edge_plus_original_prc_gold_8666" TargetMode="External"/><Relationship Id="rId_hyperlink_4020" Type="http://schemas.openxmlformats.org/officeDocument/2006/relationships/hyperlink" Target="https://old.ukr-mobil.com/zadnyaya_kryshka_samsung_g928_galaxy_s6_edge_plus_original_prc_white_8665" TargetMode="External"/><Relationship Id="rId_hyperlink_4021" Type="http://schemas.openxmlformats.org/officeDocument/2006/relationships/hyperlink" Target="https://old.ukr-mobil.com/zadnyaya_kryshka_samsung_g930_galaxy_s7_original_prc_black_100" TargetMode="External"/><Relationship Id="rId_hyperlink_4022" Type="http://schemas.openxmlformats.org/officeDocument/2006/relationships/hyperlink" Target="https://old.ukr-mobil.com/zadnyaya_kryshka_samsung_g930_galaxy_s7_original_prc_gold_7586" TargetMode="External"/><Relationship Id="rId_hyperlink_4023" Type="http://schemas.openxmlformats.org/officeDocument/2006/relationships/hyperlink" Target="https://old.ukr-mobil.com/zadnyaya_kryshka_samsung_g930_galaxy_s7_original_prc_silver_8668" TargetMode="External"/><Relationship Id="rId_hyperlink_4024" Type="http://schemas.openxmlformats.org/officeDocument/2006/relationships/hyperlink" Target="https://old.ukr-mobil.com/zadnyaya_kryshka_samsung_g930_galaxy_s7_original_prc_white_7585" TargetMode="External"/><Relationship Id="rId_hyperlink_4025" Type="http://schemas.openxmlformats.org/officeDocument/2006/relationships/hyperlink" Target="https://old.ukr-mobil.com/zadnyaya_kryshka_samsung_g935_galaxy_s7_edge_high_copy_black_7587" TargetMode="External"/><Relationship Id="rId_hyperlink_4026" Type="http://schemas.openxmlformats.org/officeDocument/2006/relationships/hyperlink" Target="https://old.ukr-mobil.com/zadnyaya_kryshka_samsung_g935_galaxy_s7_edge_high_copy_gold_7589" TargetMode="External"/><Relationship Id="rId_hyperlink_4027" Type="http://schemas.openxmlformats.org/officeDocument/2006/relationships/hyperlink" Target="https://old.ukr-mobil.com/zadnyaya_kryshka_samsung_g935_galaxy_s7_edge_high_copy_silver_8667" TargetMode="External"/><Relationship Id="rId_hyperlink_4028" Type="http://schemas.openxmlformats.org/officeDocument/2006/relationships/hyperlink" Target="https://old.ukr-mobil.com/zadnyaya_kryshka_samsung_g935_galaxy_s7_edge_high_copy_white_7588" TargetMode="External"/><Relationship Id="rId_hyperlink_4029" Type="http://schemas.openxmlformats.org/officeDocument/2006/relationships/hyperlink" Target="https://old.ukr-mobil.com/zadnyaya_kryshka_samsung_g950_galaxy_s8_high_copy_blue_11383" TargetMode="External"/><Relationship Id="rId_hyperlink_4030" Type="http://schemas.openxmlformats.org/officeDocument/2006/relationships/hyperlink" Target="https://old.ukr-mobil.com/zadnyaya_kryshka_samsung_g950_galaxy_s8_high_copy_gold_8671" TargetMode="External"/><Relationship Id="rId_hyperlink_4031" Type="http://schemas.openxmlformats.org/officeDocument/2006/relationships/hyperlink" Target="https://old.ukr-mobil.com/zadnyaya_kryshka_samsung_g950_galaxy_s8_high_copy_midnight_black_8669" TargetMode="External"/><Relationship Id="rId_hyperlink_4032" Type="http://schemas.openxmlformats.org/officeDocument/2006/relationships/hyperlink" Target="https://old.ukr-mobil.com/zadnyaya_kryshka_samsung_g950_galaxy_s8_high_copy_silver_8670" TargetMode="External"/><Relationship Id="rId_hyperlink_4033" Type="http://schemas.openxmlformats.org/officeDocument/2006/relationships/hyperlink" Target="https://old.ukr-mobil.com/zadnyaya_kryshka_samsung_g955_galaxy_s8_plus_high_copy_arctic_silver_8673" TargetMode="External"/><Relationship Id="rId_hyperlink_4034" Type="http://schemas.openxmlformats.org/officeDocument/2006/relationships/hyperlink" Target="https://old.ukr-mobil.com/zadnyaya_kryshka_samsung_g955_galaxy_s8_plus_high_copy_maple_gold_8674" TargetMode="External"/><Relationship Id="rId_hyperlink_4035" Type="http://schemas.openxmlformats.org/officeDocument/2006/relationships/hyperlink" Target="https://old.ukr-mobil.com/zadnyaya_kryshka_samsung_g955_galaxy_s8_plus_high_copy_midnight_black_8672" TargetMode="External"/><Relationship Id="rId_hyperlink_4036" Type="http://schemas.openxmlformats.org/officeDocument/2006/relationships/hyperlink" Target="https://old.ukr-mobil.com/zadnyaya_kryshka_samsung_g955_galaxy_s8_plus_so_steklom_kamery_high_copy_orchid_gray_10002452" TargetMode="External"/><Relationship Id="rId_hyperlink_4037" Type="http://schemas.openxmlformats.org/officeDocument/2006/relationships/hyperlink" Target="https://old.ukr-mobil.com/zadnyaya_kryshka_samsung_g960_galaxy_s9_blue_10829" TargetMode="External"/><Relationship Id="rId_hyperlink_4038" Type="http://schemas.openxmlformats.org/officeDocument/2006/relationships/hyperlink" Target="https://old.ukr-mobil.com/zadnyaya_kryshka_samsung_g960_galaxy_s9_lilac_purple_10828" TargetMode="External"/><Relationship Id="rId_hyperlink_4039" Type="http://schemas.openxmlformats.org/officeDocument/2006/relationships/hyperlink" Target="https://old.ukr-mobil.com/zadnyaya_kryshka_samsung_g960_galaxy_s9_midnight_black_10825" TargetMode="External"/><Relationship Id="rId_hyperlink_4040" Type="http://schemas.openxmlformats.org/officeDocument/2006/relationships/hyperlink" Target="https://old.ukr-mobil.com/zadnyaya_kryshka_samsung_g960_galaxy_s9_sunrise_gold_10826" TargetMode="External"/><Relationship Id="rId_hyperlink_4041" Type="http://schemas.openxmlformats.org/officeDocument/2006/relationships/hyperlink" Target="https://old.ukr-mobil.com/zadnyaya_kryshka_samsung_g960_galaxy_s9_titanium_gray_10827" TargetMode="External"/><Relationship Id="rId_hyperlink_4042" Type="http://schemas.openxmlformats.org/officeDocument/2006/relationships/hyperlink" Target="https://old.ukr-mobil.com/zadnyaya_kryshka_samsung_g960_galaxy_s9_so_steklom_kamery_midnight_black_10002455" TargetMode="External"/><Relationship Id="rId_hyperlink_4043" Type="http://schemas.openxmlformats.org/officeDocument/2006/relationships/hyperlink" Target="https://old.ukr-mobil.com/zadnyaya_kryshka_samsung_g965_galaxy_s9_plus_blue_10834" TargetMode="External"/><Relationship Id="rId_hyperlink_4044" Type="http://schemas.openxmlformats.org/officeDocument/2006/relationships/hyperlink" Target="https://old.ukr-mobil.com/zadnyaya_kryshka_samsung_g965_galaxy_s9_plus_lilac_purple_10833" TargetMode="External"/><Relationship Id="rId_hyperlink_4045" Type="http://schemas.openxmlformats.org/officeDocument/2006/relationships/hyperlink" Target="https://old.ukr-mobil.com/zadnyaya_kryshka_samsung_g965_galaxy_s9_plus_midnight_black_10830" TargetMode="External"/><Relationship Id="rId_hyperlink_4046" Type="http://schemas.openxmlformats.org/officeDocument/2006/relationships/hyperlink" Target="https://old.ukr-mobil.com/zadnyaya_kryshka_samsung_g965_galaxy_s9_plus_sunrise_gold_10832" TargetMode="External"/><Relationship Id="rId_hyperlink_4047" Type="http://schemas.openxmlformats.org/officeDocument/2006/relationships/hyperlink" Target="https://old.ukr-mobil.com/zadnyaya_kryshka_samsung_g965_galaxy_s9_plus_titanium_gray_10831" TargetMode="External"/><Relationship Id="rId_hyperlink_4048" Type="http://schemas.openxmlformats.org/officeDocument/2006/relationships/hyperlink" Target="https://old.ukr-mobil.com/zadnyaya_kryshka_samsung_g965_galaxy_s9_plus_so_steklom_kamery_blue_10002453" TargetMode="External"/><Relationship Id="rId_hyperlink_4049" Type="http://schemas.openxmlformats.org/officeDocument/2006/relationships/hyperlink" Target="https://old.ukr-mobil.com/zadnyaya_kryshka_samsung_g965_galaxy_s9_plus_so_steklom_kamery_titanium_gray_10002454" TargetMode="External"/><Relationship Id="rId_hyperlink_4050" Type="http://schemas.openxmlformats.org/officeDocument/2006/relationships/hyperlink" Target="https://old.ukr-mobil.com/zadnyaya_kryshka_samsung_g970_galaxy_s10e_high_copy_black_12172" TargetMode="External"/><Relationship Id="rId_hyperlink_4051" Type="http://schemas.openxmlformats.org/officeDocument/2006/relationships/hyperlink" Target="https://old.ukr-mobil.com/zadnyaya_kryshka_samsung_g970_galaxy_s10e_high_copy_blue_12174" TargetMode="External"/><Relationship Id="rId_hyperlink_4052" Type="http://schemas.openxmlformats.org/officeDocument/2006/relationships/hyperlink" Target="https://old.ukr-mobil.com/zadnyaya_kryshka_samsung_g970_galaxy_s10e_high_copy_green_12173" TargetMode="External"/><Relationship Id="rId_hyperlink_4053" Type="http://schemas.openxmlformats.org/officeDocument/2006/relationships/hyperlink" Target="https://old.ukr-mobil.com/zadnyaya_kryshka_samsung_g970_galaxy_s10e_high_copy_white_10000362" TargetMode="External"/><Relationship Id="rId_hyperlink_4054" Type="http://schemas.openxmlformats.org/officeDocument/2006/relationships/hyperlink" Target="https://old.ukr-mobil.com/zadnyaya_kryshka_samsung_g970_galaxy_s10e_high_copy_yellow_12176" TargetMode="External"/><Relationship Id="rId_hyperlink_4055" Type="http://schemas.openxmlformats.org/officeDocument/2006/relationships/hyperlink" Target="https://old.ukr-mobil.com/zadnyaya_kryshka_samsung_g970_galaxy_s10e_so_steklom_kamery_high_copy_black_10002450" TargetMode="External"/><Relationship Id="rId_hyperlink_4056" Type="http://schemas.openxmlformats.org/officeDocument/2006/relationships/hyperlink" Target="https://old.ukr-mobil.com/zadnyaya_kryshka_samsung_g970_galaxy_s10e_so_steklom_kamery_high_copy_blue_10002451" TargetMode="External"/><Relationship Id="rId_hyperlink_4057" Type="http://schemas.openxmlformats.org/officeDocument/2006/relationships/hyperlink" Target="https://old.ukr-mobil.com/zadnyaya_kryshka_samsung_g973_galaxy_s10_high_copy_black_12162" TargetMode="External"/><Relationship Id="rId_hyperlink_4058" Type="http://schemas.openxmlformats.org/officeDocument/2006/relationships/hyperlink" Target="https://old.ukr-mobil.com/zadnyaya_kryshka_samsung_g973_galaxy_s10_high_copy_blue_12166" TargetMode="External"/><Relationship Id="rId_hyperlink_4059" Type="http://schemas.openxmlformats.org/officeDocument/2006/relationships/hyperlink" Target="https://old.ukr-mobil.com/zadnyaya_kryshka_samsung_g973_galaxy_s10_high_copy_green_12164" TargetMode="External"/><Relationship Id="rId_hyperlink_4060" Type="http://schemas.openxmlformats.org/officeDocument/2006/relationships/hyperlink" Target="https://old.ukr-mobil.com/zadnyaya_kryshka_samsung_g973_galaxy_s10_high_copy_red_12165" TargetMode="External"/><Relationship Id="rId_hyperlink_4061" Type="http://schemas.openxmlformats.org/officeDocument/2006/relationships/hyperlink" Target="https://old.ukr-mobil.com/zadnyaya_kryshka_samsung_g973_galaxy_s10_high_copy_white_12163" TargetMode="External"/><Relationship Id="rId_hyperlink_4062" Type="http://schemas.openxmlformats.org/officeDocument/2006/relationships/hyperlink" Target="https://old.ukr-mobil.com/zadnyaya_kryshka_samsung_g973_galaxy_s10_so_steklom_kamery_high_copy_black_10002583" TargetMode="External"/><Relationship Id="rId_hyperlink_4063" Type="http://schemas.openxmlformats.org/officeDocument/2006/relationships/hyperlink" Target="https://old.ukr-mobil.com/zadnyaya_kryshka_samsung_g973_galaxy_s10_so_steklom_kamery_high_copy_blue_10002584" TargetMode="External"/><Relationship Id="rId_hyperlink_4064" Type="http://schemas.openxmlformats.org/officeDocument/2006/relationships/hyperlink" Target="https://old.ukr-mobil.com/zadnyaya_kryshka_samsung_g973_galaxy_s10_so_steklom_kamery_high_copy_green_10002449" TargetMode="External"/><Relationship Id="rId_hyperlink_4065" Type="http://schemas.openxmlformats.org/officeDocument/2006/relationships/hyperlink" Target="https://old.ukr-mobil.com/zadnyaya_kryshka_samsung_g975_galaxy_s10_plus_high_copy_black_12167" TargetMode="External"/><Relationship Id="rId_hyperlink_4066" Type="http://schemas.openxmlformats.org/officeDocument/2006/relationships/hyperlink" Target="https://old.ukr-mobil.com/zadnyaya_kryshka_samsung_g975_galaxy_s10_plus_high_copy_blue_12169" TargetMode="External"/><Relationship Id="rId_hyperlink_4067" Type="http://schemas.openxmlformats.org/officeDocument/2006/relationships/hyperlink" Target="https://old.ukr-mobil.com/zadnyaya_kryshka_samsung_g975_galaxy_s10_plus_high_copy_green_12170" TargetMode="External"/><Relationship Id="rId_hyperlink_4068" Type="http://schemas.openxmlformats.org/officeDocument/2006/relationships/hyperlink" Target="https://old.ukr-mobil.com/zadnyaya_kryshka_samsung_g975_galaxy_s10_plus_high_copy_red_12171" TargetMode="External"/><Relationship Id="rId_hyperlink_4069" Type="http://schemas.openxmlformats.org/officeDocument/2006/relationships/hyperlink" Target="https://old.ukr-mobil.com/zadnyaya_kryshka_samsung_g975_galaxy_s10_plus_high_copy_white_12168" TargetMode="External"/><Relationship Id="rId_hyperlink_4070" Type="http://schemas.openxmlformats.org/officeDocument/2006/relationships/hyperlink" Target="https://old.ukr-mobil.com/index.php?route=product&amp;product_id=10006138" TargetMode="External"/><Relationship Id="rId_hyperlink_4071" Type="http://schemas.openxmlformats.org/officeDocument/2006/relationships/hyperlink" Target="https://old.ukr-mobil.com/zadnyaya_kryshka_samsung_g996_galaxy_s21_plus_original_prc_phantom_black_10002585" TargetMode="External"/><Relationship Id="rId_hyperlink_4072" Type="http://schemas.openxmlformats.org/officeDocument/2006/relationships/hyperlink" Target="https://old.ukr-mobil.com/zadnyaya_kryshka_samsung_g996_galaxy_s21_plus_so_steklom_kamery_original_prc_phantom_black_10002586" TargetMode="External"/><Relationship Id="rId_hyperlink_4073" Type="http://schemas.openxmlformats.org/officeDocument/2006/relationships/hyperlink" Target="https://old.ukr-mobil.com/zadnyaya_kryshka_samsung_j330_galaxy_j3_2017_black_10813" TargetMode="External"/><Relationship Id="rId_hyperlink_4074" Type="http://schemas.openxmlformats.org/officeDocument/2006/relationships/hyperlink" Target="https://old.ukr-mobil.com/zadnyaya_kryshka_samsung_j330_galaxy_j3_2017_blue_10815" TargetMode="External"/><Relationship Id="rId_hyperlink_4075" Type="http://schemas.openxmlformats.org/officeDocument/2006/relationships/hyperlink" Target="https://old.ukr-mobil.com/zadnyaya_kryshka_samsung_j330_galaxy_j3_2017_gold_10814" TargetMode="External"/><Relationship Id="rId_hyperlink_4076" Type="http://schemas.openxmlformats.org/officeDocument/2006/relationships/hyperlink" Target="https://old.ukr-mobil.com/zadnyaya_kryshka_samsung_j330_galaxy_j3_2017_pink_10816" TargetMode="External"/><Relationship Id="rId_hyperlink_4077" Type="http://schemas.openxmlformats.org/officeDocument/2006/relationships/hyperlink" Target="https://old.ukr-mobil.com/zadnyaya_kryshka_samsung_j400_galaxy_j4_2018_high_copy_black_11310" TargetMode="External"/><Relationship Id="rId_hyperlink_4078" Type="http://schemas.openxmlformats.org/officeDocument/2006/relationships/hyperlink" Target="https://old.ukr-mobil.com/zadnyaya_kryshka_samsung_j510_galaxy_j5_2016_high_copy_black_11585" TargetMode="External"/><Relationship Id="rId_hyperlink_4079" Type="http://schemas.openxmlformats.org/officeDocument/2006/relationships/hyperlink" Target="https://old.ukr-mobil.com/zadnyaya_kryshka_samsung_j510_galaxy_j5_2016_high_copy_gold_11586" TargetMode="External"/><Relationship Id="rId_hyperlink_4080" Type="http://schemas.openxmlformats.org/officeDocument/2006/relationships/hyperlink" Target="https://old.ukr-mobil.com/zadnyaya_kryshka_samsung_j510_galaxy_j5_2016_high_copy_white_11587" TargetMode="External"/><Relationship Id="rId_hyperlink_4081" Type="http://schemas.openxmlformats.org/officeDocument/2006/relationships/hyperlink" Target="https://old.ukr-mobil.com/zadnyaya_kryshka_samsung_j610_galaxy_j6_plus_2018_black_11708" TargetMode="External"/><Relationship Id="rId_hyperlink_4082" Type="http://schemas.openxmlformats.org/officeDocument/2006/relationships/hyperlink" Target="https://old.ukr-mobil.com/zadnyaya_kryshka_samsung_j710_galaxy_j7_2016_high_copy_black_10808" TargetMode="External"/><Relationship Id="rId_hyperlink_4083" Type="http://schemas.openxmlformats.org/officeDocument/2006/relationships/hyperlink" Target="https://old.ukr-mobil.com/zadnyaya_kryshka_samsung_j730_galaxy_j7_2017_black_10811" TargetMode="External"/><Relationship Id="rId_hyperlink_4084" Type="http://schemas.openxmlformats.org/officeDocument/2006/relationships/hyperlink" Target="https://old.ukr-mobil.com/zadnyaya_kryshka_samsung_j730_galaxy_j7_2017_gold_10812" TargetMode="External"/><Relationship Id="rId_hyperlink_4085" Type="http://schemas.openxmlformats.org/officeDocument/2006/relationships/hyperlink" Target="https://old.ukr-mobil.com/index.php?route=product&amp;product_id=10004893" TargetMode="External"/><Relationship Id="rId_hyperlink_4086" Type="http://schemas.openxmlformats.org/officeDocument/2006/relationships/hyperlink" Target="https://old.ukr-mobil.com/index.php?route=product&amp;product_id=10004895" TargetMode="External"/><Relationship Id="rId_hyperlink_4087" Type="http://schemas.openxmlformats.org/officeDocument/2006/relationships/hyperlink" Target="https://old.ukr-mobil.com/index.php?route=product&amp;product_id=10004894" TargetMode="External"/><Relationship Id="rId_hyperlink_4088" Type="http://schemas.openxmlformats.org/officeDocument/2006/relationships/hyperlink" Target="https://old.ukr-mobil.com/zadnyaya_kryshka_samsung_n950_galaxy_note_8_blue_9979" TargetMode="External"/><Relationship Id="rId_hyperlink_4089" Type="http://schemas.openxmlformats.org/officeDocument/2006/relationships/hyperlink" Target="https://old.ukr-mobil.com/zadnyaya_kryshka_samsung_n950_galaxy_note_8_gold_9981" TargetMode="External"/><Relationship Id="rId_hyperlink_4090" Type="http://schemas.openxmlformats.org/officeDocument/2006/relationships/hyperlink" Target="https://old.ukr-mobil.com/zadnyaya_kryshka_samsung_n960_galaxy_note_9_lavender_purple_12159" TargetMode="External"/><Relationship Id="rId_hyperlink_4091" Type="http://schemas.openxmlformats.org/officeDocument/2006/relationships/hyperlink" Target="https://old.ukr-mobil.com/zadnyaya_kryshka_samsung_n960_galaxy_note_9_metallic_copper_12161" TargetMode="External"/><Relationship Id="rId_hyperlink_4092" Type="http://schemas.openxmlformats.org/officeDocument/2006/relationships/hyperlink" Target="https://old.ukr-mobil.com/index.php?route=product&amp;product_id=10005445" TargetMode="External"/><Relationship Id="rId_hyperlink_4093" Type="http://schemas.openxmlformats.org/officeDocument/2006/relationships/hyperlink" Target="https://old.ukr-mobil.com/index.php?route=product&amp;product_id=10005443" TargetMode="External"/><Relationship Id="rId_hyperlink_4094" Type="http://schemas.openxmlformats.org/officeDocument/2006/relationships/hyperlink" Target="https://old.ukr-mobil.com/index.php?route=product&amp;product_id=10005442" TargetMode="External"/><Relationship Id="rId_hyperlink_4095" Type="http://schemas.openxmlformats.org/officeDocument/2006/relationships/hyperlink" Target="https://old.ukr-mobil.com/index.php?route=product&amp;product_id=10005444" TargetMode="External"/><Relationship Id="rId_hyperlink_4096" Type="http://schemas.openxmlformats.org/officeDocument/2006/relationships/hyperlink" Target="https://old.ukr-mobil.com/index.php?route=product&amp;product_id=10005472" TargetMode="External"/><Relationship Id="rId_hyperlink_4097" Type="http://schemas.openxmlformats.org/officeDocument/2006/relationships/hyperlink" Target="https://old.ukr-mobil.com/index.php?route=product&amp;product_id=10005470" TargetMode="External"/><Relationship Id="rId_hyperlink_4098" Type="http://schemas.openxmlformats.org/officeDocument/2006/relationships/hyperlink" Target="https://old.ukr-mobil.com/index.php?route=product&amp;product_id=10005469" TargetMode="External"/><Relationship Id="rId_hyperlink_4099" Type="http://schemas.openxmlformats.org/officeDocument/2006/relationships/hyperlink" Target="https://old.ukr-mobil.com/index.php?route=product&amp;product_id=10005471" TargetMode="External"/><Relationship Id="rId_hyperlink_4100" Type="http://schemas.openxmlformats.org/officeDocument/2006/relationships/hyperlink" Target="https://old.ukr-mobil.com/index.php?route=product&amp;product_id=10005449" TargetMode="External"/><Relationship Id="rId_hyperlink_4101" Type="http://schemas.openxmlformats.org/officeDocument/2006/relationships/hyperlink" Target="https://old.ukr-mobil.com/index.php?route=product&amp;product_id=10005446" TargetMode="External"/><Relationship Id="rId_hyperlink_4102" Type="http://schemas.openxmlformats.org/officeDocument/2006/relationships/hyperlink" Target="https://old.ukr-mobil.com/index.php?route=product&amp;product_id=10005448" TargetMode="External"/><Relationship Id="rId_hyperlink_4103" Type="http://schemas.openxmlformats.org/officeDocument/2006/relationships/hyperlink" Target="https://old.ukr-mobil.com/index.php?route=product&amp;product_id=10005474" TargetMode="External"/><Relationship Id="rId_hyperlink_4104" Type="http://schemas.openxmlformats.org/officeDocument/2006/relationships/hyperlink" Target="https://old.ukr-mobil.com/index.php?route=product&amp;product_id=10005447" TargetMode="External"/><Relationship Id="rId_hyperlink_4105" Type="http://schemas.openxmlformats.org/officeDocument/2006/relationships/hyperlink" Target="https://old.ukr-mobil.com/index.php?route=product&amp;product_id=10005473" TargetMode="External"/><Relationship Id="rId_hyperlink_4106" Type="http://schemas.openxmlformats.org/officeDocument/2006/relationships/hyperlink" Target="https://old.ukr-mobil.com/index.php?route=product&amp;product_id=10005452" TargetMode="External"/><Relationship Id="rId_hyperlink_4107" Type="http://schemas.openxmlformats.org/officeDocument/2006/relationships/hyperlink" Target="https://old.ukr-mobil.com/index.php?route=product&amp;product_id=10005450" TargetMode="External"/><Relationship Id="rId_hyperlink_4108" Type="http://schemas.openxmlformats.org/officeDocument/2006/relationships/hyperlink" Target="https://old.ukr-mobil.com/index.php?route=product&amp;product_id=10005451" TargetMode="External"/><Relationship Id="rId_hyperlink_4109" Type="http://schemas.openxmlformats.org/officeDocument/2006/relationships/hyperlink" Target="https://old.ukr-mobil.com/index.php?route=product&amp;product_id=10005468" TargetMode="External"/><Relationship Id="rId_hyperlink_4110" Type="http://schemas.openxmlformats.org/officeDocument/2006/relationships/hyperlink" Target="https://old.ukr-mobil.com/index.php?route=product&amp;product_id=10005477" TargetMode="External"/><Relationship Id="rId_hyperlink_4111" Type="http://schemas.openxmlformats.org/officeDocument/2006/relationships/hyperlink" Target="https://old.ukr-mobil.com/index.php?route=product&amp;product_id=10005476" TargetMode="External"/><Relationship Id="rId_hyperlink_4112" Type="http://schemas.openxmlformats.org/officeDocument/2006/relationships/hyperlink" Target="https://old.ukr-mobil.com/index.php?route=product&amp;product_id=10005478" TargetMode="External"/><Relationship Id="rId_hyperlink_4113" Type="http://schemas.openxmlformats.org/officeDocument/2006/relationships/hyperlink" Target="https://old.ukr-mobil.com/index.php?route=product&amp;product_id=10005475" TargetMode="External"/><Relationship Id="rId_hyperlink_4114" Type="http://schemas.openxmlformats.org/officeDocument/2006/relationships/hyperlink" Target="https://old.ukr-mobil.com/index.php?route=product&amp;product_id=10005460" TargetMode="External"/><Relationship Id="rId_hyperlink_4115" Type="http://schemas.openxmlformats.org/officeDocument/2006/relationships/hyperlink" Target="https://old.ukr-mobil.com/index.php?route=product&amp;product_id=10005461" TargetMode="External"/><Relationship Id="rId_hyperlink_4116" Type="http://schemas.openxmlformats.org/officeDocument/2006/relationships/hyperlink" Target="https://old.ukr-mobil.com/index.php?route=product&amp;product_id=10005459" TargetMode="External"/><Relationship Id="rId_hyperlink_4117" Type="http://schemas.openxmlformats.org/officeDocument/2006/relationships/hyperlink" Target="https://old.ukr-mobil.com/index.php?route=product&amp;product_id=10005480" TargetMode="External"/><Relationship Id="rId_hyperlink_4118" Type="http://schemas.openxmlformats.org/officeDocument/2006/relationships/hyperlink" Target="https://old.ukr-mobil.com/index.php?route=product&amp;product_id=10005481" TargetMode="External"/><Relationship Id="rId_hyperlink_4119" Type="http://schemas.openxmlformats.org/officeDocument/2006/relationships/hyperlink" Target="https://old.ukr-mobil.com/index.php?route=product&amp;product_id=10005479" TargetMode="External"/><Relationship Id="rId_hyperlink_4120" Type="http://schemas.openxmlformats.org/officeDocument/2006/relationships/hyperlink" Target="https://old.ukr-mobil.com/index.php?route=product&amp;product_id=10005467" TargetMode="External"/><Relationship Id="rId_hyperlink_4121" Type="http://schemas.openxmlformats.org/officeDocument/2006/relationships/hyperlink" Target="https://old.ukr-mobil.com/index.php?route=product&amp;product_id=10005466" TargetMode="External"/><Relationship Id="rId_hyperlink_4122" Type="http://schemas.openxmlformats.org/officeDocument/2006/relationships/hyperlink" Target="https://old.ukr-mobil.com/index.php?route=product&amp;product_id=10005465" TargetMode="External"/><Relationship Id="rId_hyperlink_4123" Type="http://schemas.openxmlformats.org/officeDocument/2006/relationships/hyperlink" Target="https://old.ukr-mobil.com/index.php?route=product&amp;product_id=10005464" TargetMode="External"/><Relationship Id="rId_hyperlink_4124" Type="http://schemas.openxmlformats.org/officeDocument/2006/relationships/hyperlink" Target="https://old.ukr-mobil.com/index.php?route=product&amp;product_id=10005485" TargetMode="External"/><Relationship Id="rId_hyperlink_4125" Type="http://schemas.openxmlformats.org/officeDocument/2006/relationships/hyperlink" Target="https://old.ukr-mobil.com/index.php?route=product&amp;product_id=10005483" TargetMode="External"/><Relationship Id="rId_hyperlink_4126" Type="http://schemas.openxmlformats.org/officeDocument/2006/relationships/hyperlink" Target="https://old.ukr-mobil.com/index.php?route=product&amp;product_id=10005484" TargetMode="External"/><Relationship Id="rId_hyperlink_4127" Type="http://schemas.openxmlformats.org/officeDocument/2006/relationships/hyperlink" Target="https://old.ukr-mobil.com/index.php?route=product&amp;product_id=10005482" TargetMode="External"/><Relationship Id="rId_hyperlink_4128" Type="http://schemas.openxmlformats.org/officeDocument/2006/relationships/hyperlink" Target="https://old.ukr-mobil.com/zadnyaya_kryshka_sony_c6602_xperia_z_c6603_xperia_z_black_4849" TargetMode="External"/><Relationship Id="rId_hyperlink_4129" Type="http://schemas.openxmlformats.org/officeDocument/2006/relationships/hyperlink" Target="https://old.ukr-mobil.com/zadnyaya_kryshka_sony_c6602_xperia_z_c6603_xperia_z_white_4848" TargetMode="External"/><Relationship Id="rId_hyperlink_4130" Type="http://schemas.openxmlformats.org/officeDocument/2006/relationships/hyperlink" Target="https://old.ukr-mobil.com/zadnyaya_kryshka_sony_d5503_xperia_z1_compact_white_6804" TargetMode="External"/><Relationship Id="rId_hyperlink_4131" Type="http://schemas.openxmlformats.org/officeDocument/2006/relationships/hyperlink" Target="https://old.ukr-mobil.com/zadnyaya_kryshka_sony_d6603_xperia_z3_d6633_xperia_z3_d6643_xperia_z3_d6653_xperia_z3_white_6033" TargetMode="External"/><Relationship Id="rId_hyperlink_4132" Type="http://schemas.openxmlformats.org/officeDocument/2006/relationships/hyperlink" Target="https://old.ukr-mobil.com/zadnyaya_kryshka_sony_e6533_xperia_z3_ds_e6553_xperia_z3_xperia_z4_black_8085" TargetMode="External"/><Relationship Id="rId_hyperlink_4133" Type="http://schemas.openxmlformats.org/officeDocument/2006/relationships/hyperlink" Target="https://old.ukr-mobil.com/zadnyaya_kryshka_sony_e6533_xperia_z3_ds_e6553_xperia_z3_xperia_z4_white_8084" TargetMode="External"/><Relationship Id="rId_hyperlink_4134" Type="http://schemas.openxmlformats.org/officeDocument/2006/relationships/hyperlink" Target="https://old.ukr-mobil.com/zadnyaya_kryshka_sony_e6833_xperia_z5_premium_dual_e6853_xperia_z5_premium_e6883_xperia_z5_premium_dual_white_9297" TargetMode="External"/><Relationship Id="rId_hyperlink_4135" Type="http://schemas.openxmlformats.org/officeDocument/2006/relationships/hyperlink" Target="https://old.ukr-mobil.com/zadnyaya_kryshka_sony_f3111_xperia_xa_f3112_xperia_xa_dual_f3113_xperia_xa_f3115_xperia_xa_f3116_xperia_xa_dual_gold_9300" TargetMode="External"/><Relationship Id="rId_hyperlink_4136" Type="http://schemas.openxmlformats.org/officeDocument/2006/relationships/hyperlink" Target="https://old.ukr-mobil.com/zadnyaya_kryshka_sony_f3111_xperia_xa_f3112_xperia_xa_dual_f3113_xperia_xa_f3115_xperia_xa_f3116_xperia_xa_dual_pink_9301" TargetMode="External"/><Relationship Id="rId_hyperlink_4137" Type="http://schemas.openxmlformats.org/officeDocument/2006/relationships/hyperlink" Target="https://old.ukr-mobil.com/zadnyaya_kryshka_sony_f3111_xperia_xa_f3112_xperia_xa_dual_f3113_xperia_xa_f3115_xperia_xa_f3116_xperia_xa_dual_white_9299" TargetMode="External"/><Relationship Id="rId_hyperlink_4138" Type="http://schemas.openxmlformats.org/officeDocument/2006/relationships/hyperlink" Target="https://old.ukr-mobil.com/zadnyaya_kryshka_sony_f5121_xperia_x_f5122_xperia_x_dual_f8131_xperia_x_performance_f8132_xperia_x_performance_dual_black_12115" TargetMode="External"/><Relationship Id="rId_hyperlink_4139" Type="http://schemas.openxmlformats.org/officeDocument/2006/relationships/hyperlink" Target="https://old.ukr-mobil.com/zadnyaya_kryshka_sony_f5321_xperia_x_compact_black_12120" TargetMode="External"/><Relationship Id="rId_hyperlink_4140" Type="http://schemas.openxmlformats.org/officeDocument/2006/relationships/hyperlink" Target="https://old.ukr-mobil.com/zadnyaya_kryshka_sony_f8332_xperia_xz_black_12119" TargetMode="External"/><Relationship Id="rId_hyperlink_4141" Type="http://schemas.openxmlformats.org/officeDocument/2006/relationships/hyperlink" Target="https://old.ukr-mobil.com/zadnyaya_kryshka_sony_g3112_xperia_xa1_dual_g3116_xperia_xa1_g3121_xperia_xa1_g3125_xperia_xa1_s_tachskrinom_black_12116" TargetMode="External"/><Relationship Id="rId_hyperlink_4142" Type="http://schemas.openxmlformats.org/officeDocument/2006/relationships/hyperlink" Target="https://old.ukr-mobil.com/zadnyaya_kryshka_sony_h3113_xperia_xa2_h3123_xperia_xa2_h3133_xperia_xa2_h4113_xperia_xa2_h4133_xperia_xa2_black_12117" TargetMode="External"/><Relationship Id="rId_hyperlink_4143" Type="http://schemas.openxmlformats.org/officeDocument/2006/relationships/hyperlink" Target="https://old.ukr-mobil.com/zadnyaya_kryshka_sony_h4311_xperia_l2_black_12118" TargetMode="External"/><Relationship Id="rId_hyperlink_4144" Type="http://schemas.openxmlformats.org/officeDocument/2006/relationships/hyperlink" Target="https://old.ukr-mobil.com/zadnyaya_kryshka_tecno_camon_17p_cg7n_frost_silver_10002494" TargetMode="External"/><Relationship Id="rId_hyperlink_4145" Type="http://schemas.openxmlformats.org/officeDocument/2006/relationships/hyperlink" Target="https://old.ukr-mobil.com/zadnyaya_kryshka_tecno_camon_17p_cg7n_magnet_black_10002493" TargetMode="External"/><Relationship Id="rId_hyperlink_4146" Type="http://schemas.openxmlformats.org/officeDocument/2006/relationships/hyperlink" Target="https://old.ukr-mobil.com/zadnyaya_kryshka_tecno_camon_17p_cg7n_spruce_green_10002495" TargetMode="External"/><Relationship Id="rId_hyperlink_4147" Type="http://schemas.openxmlformats.org/officeDocument/2006/relationships/hyperlink" Target="https://old.ukr-mobil.com/index.php?route=product&amp;product_id=10004900" TargetMode="External"/><Relationship Id="rId_hyperlink_4148" Type="http://schemas.openxmlformats.org/officeDocument/2006/relationships/hyperlink" Target="https://old.ukr-mobil.com/zadnyaya_kryshka_tecno_pop_5_bd2p_ice_blue_10002499" TargetMode="External"/><Relationship Id="rId_hyperlink_4149" Type="http://schemas.openxmlformats.org/officeDocument/2006/relationships/hyperlink" Target="https://old.ukr-mobil.com/zadnyaya_kryshka_tecno_pop_5_bd2p_ice_lake_green_10002497" TargetMode="External"/><Relationship Id="rId_hyperlink_4150" Type="http://schemas.openxmlformats.org/officeDocument/2006/relationships/hyperlink" Target="https://old.ukr-mobil.com/zadnyaya_kryshka_tecno_pop_5_bd2p_obsidian_black_10002498" TargetMode="External"/><Relationship Id="rId_hyperlink_4151" Type="http://schemas.openxmlformats.org/officeDocument/2006/relationships/hyperlink" Target="https://old.ukr-mobil.com/zadnyaya_kryshka_tecno_pova_2_le7n_dazzle_black_10002496" TargetMode="External"/><Relationship Id="rId_hyperlink_4152" Type="http://schemas.openxmlformats.org/officeDocument/2006/relationships/hyperlink" Target="https://old.ukr-mobil.com/index.php?route=product&amp;product_id=10004883" TargetMode="External"/><Relationship Id="rId_hyperlink_4153" Type="http://schemas.openxmlformats.org/officeDocument/2006/relationships/hyperlink" Target="https://old.ukr-mobil.com/index.php?route=product&amp;product_id=10004882" TargetMode="External"/><Relationship Id="rId_hyperlink_4154" Type="http://schemas.openxmlformats.org/officeDocument/2006/relationships/hyperlink" Target="https://old.ukr-mobil.com/index.php?route=product&amp;product_id=10004904" TargetMode="External"/><Relationship Id="rId_hyperlink_4155" Type="http://schemas.openxmlformats.org/officeDocument/2006/relationships/hyperlink" Target="https://old.ukr-mobil.com/index.php?route=product&amp;product_id=10004903" TargetMode="External"/><Relationship Id="rId_hyperlink_4156" Type="http://schemas.openxmlformats.org/officeDocument/2006/relationships/hyperlink" Target="https://old.ukr-mobil.com/zadnyaya_kryshka_tecno_spark_6_ke7_comet_black_10002500" TargetMode="External"/><Relationship Id="rId_hyperlink_4157" Type="http://schemas.openxmlformats.org/officeDocument/2006/relationships/hyperlink" Target="https://old.ukr-mobil.com/zadnyaya_kryshka_tecno_spark_6_ke7_ocean_blue_10002501" TargetMode="External"/><Relationship Id="rId_hyperlink_4158" Type="http://schemas.openxmlformats.org/officeDocument/2006/relationships/hyperlink" Target="https://old.ukr-mobil.com/zadnyaya_kryshka_tecno_spark_6_ke7_purple_10002502" TargetMode="External"/><Relationship Id="rId_hyperlink_4159" Type="http://schemas.openxmlformats.org/officeDocument/2006/relationships/hyperlink" Target="https://old.ukr-mobil.com/zadnyaya_kryshka_tecno_spark_7_kf6n_magnet_black_10002490" TargetMode="External"/><Relationship Id="rId_hyperlink_4160" Type="http://schemas.openxmlformats.org/officeDocument/2006/relationships/hyperlink" Target="https://old.ukr-mobil.com/zadnyaya_kryshka_tecno_spark_7_kf6n_morpheus_blue_10002491" TargetMode="External"/><Relationship Id="rId_hyperlink_4161" Type="http://schemas.openxmlformats.org/officeDocument/2006/relationships/hyperlink" Target="https://old.ukr-mobil.com/zadnyaya_kryshka_tecno_spark_7_kf6n_spruce_green_10002492" TargetMode="External"/><Relationship Id="rId_hyperlink_4162" Type="http://schemas.openxmlformats.org/officeDocument/2006/relationships/hyperlink" Target="https://old.ukr-mobil.com/index.php?route=product&amp;product_id=10004891" TargetMode="External"/><Relationship Id="rId_hyperlink_4163" Type="http://schemas.openxmlformats.org/officeDocument/2006/relationships/hyperlink" Target="https://old.ukr-mobil.com/index.php?route=product&amp;product_id=10005413" TargetMode="External"/><Relationship Id="rId_hyperlink_4164" Type="http://schemas.openxmlformats.org/officeDocument/2006/relationships/hyperlink" Target="https://old.ukr-mobil.com/index.php?route=product&amp;product_id=10004906" TargetMode="External"/><Relationship Id="rId_hyperlink_4165" Type="http://schemas.openxmlformats.org/officeDocument/2006/relationships/hyperlink" Target="https://old.ukr-mobil.com/index.php?route=product&amp;product_id=10004905" TargetMode="External"/><Relationship Id="rId_hyperlink_4166" Type="http://schemas.openxmlformats.org/officeDocument/2006/relationships/hyperlink" Target="https://old.ukr-mobil.com/index.php?route=product&amp;product_id=10004884" TargetMode="External"/><Relationship Id="rId_hyperlink_4167" Type="http://schemas.openxmlformats.org/officeDocument/2006/relationships/hyperlink" Target="https://old.ukr-mobil.com/index.php?route=product&amp;product_id=10004890" TargetMode="External"/><Relationship Id="rId_hyperlink_4168" Type="http://schemas.openxmlformats.org/officeDocument/2006/relationships/hyperlink" Target="https://old.ukr-mobil.com/index.php?route=product&amp;product_id=10004889" TargetMode="External"/><Relationship Id="rId_hyperlink_4169" Type="http://schemas.openxmlformats.org/officeDocument/2006/relationships/hyperlink" Target="https://old.ukr-mobil.com/zadnyaya_kryshka_xiaomi_11t_11t_pro_original_prc_celestial_blue_10003210" TargetMode="External"/><Relationship Id="rId_hyperlink_4170" Type="http://schemas.openxmlformats.org/officeDocument/2006/relationships/hyperlink" Target="https://old.ukr-mobil.com/zadnyaya_kryshka_xiaomi_11t_11t_pro_original_prc_meteorite_gray_10003211" TargetMode="External"/><Relationship Id="rId_hyperlink_4171" Type="http://schemas.openxmlformats.org/officeDocument/2006/relationships/hyperlink" Target="https://old.ukr-mobil.com/zadnyaya_kryshka_xiaomi_11t_11t_pro_original_prc_moonlight_white_10003213" TargetMode="External"/><Relationship Id="rId_hyperlink_4172" Type="http://schemas.openxmlformats.org/officeDocument/2006/relationships/hyperlink" Target="https://old.ukr-mobil.com/index.php?route=product&amp;product_id=10005230" TargetMode="External"/><Relationship Id="rId_hyperlink_4173" Type="http://schemas.openxmlformats.org/officeDocument/2006/relationships/hyperlink" Target="https://old.ukr-mobil.com/index.php?route=product&amp;product_id=10005231" TargetMode="External"/><Relationship Id="rId_hyperlink_4174" Type="http://schemas.openxmlformats.org/officeDocument/2006/relationships/hyperlink" Target="https://old.ukr-mobil.com/index.php?route=product&amp;product_id=10005358" TargetMode="External"/><Relationship Id="rId_hyperlink_4175" Type="http://schemas.openxmlformats.org/officeDocument/2006/relationships/hyperlink" Target="https://old.ukr-mobil.com/index.php?route=product&amp;product_id=10005359" TargetMode="External"/><Relationship Id="rId_hyperlink_4176" Type="http://schemas.openxmlformats.org/officeDocument/2006/relationships/hyperlink" Target="https://old.ukr-mobil.com/index.php?route=product&amp;product_id=10004847" TargetMode="External"/><Relationship Id="rId_hyperlink_4177" Type="http://schemas.openxmlformats.org/officeDocument/2006/relationships/hyperlink" Target="https://old.ukr-mobil.com/index.php?route=product&amp;product_id=10004833" TargetMode="External"/><Relationship Id="rId_hyperlink_4178" Type="http://schemas.openxmlformats.org/officeDocument/2006/relationships/hyperlink" Target="https://old.ukr-mobil.com/zadnyaya_kryshka_xiaomi_mi_11_lite_original_prc_black_10003196" TargetMode="External"/><Relationship Id="rId_hyperlink_4179" Type="http://schemas.openxmlformats.org/officeDocument/2006/relationships/hyperlink" Target="https://old.ukr-mobil.com/zadnyaya_kryshka_xiaomi_mi_11_lite_original_prc_blue_10003197" TargetMode="External"/><Relationship Id="rId_hyperlink_4180" Type="http://schemas.openxmlformats.org/officeDocument/2006/relationships/hyperlink" Target="https://old.ukr-mobil.com/zadnyaya_kryshka_xiaomi_mi_11_lite_so_steklom_kamery_original_prc_black_10003199" TargetMode="External"/><Relationship Id="rId_hyperlink_4181" Type="http://schemas.openxmlformats.org/officeDocument/2006/relationships/hyperlink" Target="https://old.ukr-mobil.com/zadnyaya_kryshka_xiaomi_mi_11_lite_so_steklom_kamery_original_prc_blue_10003200" TargetMode="External"/><Relationship Id="rId_hyperlink_4182" Type="http://schemas.openxmlformats.org/officeDocument/2006/relationships/hyperlink" Target="https://old.ukr-mobil.com/zadnyaya_kryshka_xiaomi_mi_11_lite_so_steklom_kamery_original_prc_pink_10003201" TargetMode="External"/><Relationship Id="rId_hyperlink_4183" Type="http://schemas.openxmlformats.org/officeDocument/2006/relationships/hyperlink" Target="https://old.ukr-mobil.com/index.php?route=product&amp;product_id=10005357" TargetMode="External"/><Relationship Id="rId_hyperlink_4184" Type="http://schemas.openxmlformats.org/officeDocument/2006/relationships/hyperlink" Target="https://old.ukr-mobil.com/index.php?route=product&amp;product_id=10005356" TargetMode="External"/><Relationship Id="rId_hyperlink_4185" Type="http://schemas.openxmlformats.org/officeDocument/2006/relationships/hyperlink" Target="https://old.ukr-mobil.com/index.php?route=product&amp;product_id=10005355" TargetMode="External"/><Relationship Id="rId_hyperlink_4186" Type="http://schemas.openxmlformats.org/officeDocument/2006/relationships/hyperlink" Target="https://old.ukr-mobil.com/index.php?route=product&amp;product_id=10005354" TargetMode="External"/><Relationship Id="rId_hyperlink_4187" Type="http://schemas.openxmlformats.org/officeDocument/2006/relationships/hyperlink" Target="https://old.ukr-mobil.com/zadnyaya_kryshka_xiaomi_mi_11i_original_prc_cosmic_black_10003219" TargetMode="External"/><Relationship Id="rId_hyperlink_4188" Type="http://schemas.openxmlformats.org/officeDocument/2006/relationships/hyperlink" Target="https://old.ukr-mobil.com/zadnyaya_kryshka_xiaomi_mi_8_lite_aurora_blue_10001194" TargetMode="External"/><Relationship Id="rId_hyperlink_4189" Type="http://schemas.openxmlformats.org/officeDocument/2006/relationships/hyperlink" Target="https://old.ukr-mobil.com/zadnyaya_kryshka_xiaomi_mi_8_lite_black_12124" TargetMode="External"/><Relationship Id="rId_hyperlink_4190" Type="http://schemas.openxmlformats.org/officeDocument/2006/relationships/hyperlink" Target="https://old.ukr-mobil.com/zadnyaya_kryshka_xiaomi_mi_8_lite_so_steklom_kamery_black_10002456" TargetMode="External"/><Relationship Id="rId_hyperlink_4191" Type="http://schemas.openxmlformats.org/officeDocument/2006/relationships/hyperlink" Target="https://old.ukr-mobil.com/zadnyaya_kryshka_xiaomi_mi_8_black_12123" TargetMode="External"/><Relationship Id="rId_hyperlink_4192" Type="http://schemas.openxmlformats.org/officeDocument/2006/relationships/hyperlink" Target="https://old.ukr-mobil.com/zadnyaya_kryshka_xiaomi_mi_9_se_black_12135" TargetMode="External"/><Relationship Id="rId_hyperlink_4193" Type="http://schemas.openxmlformats.org/officeDocument/2006/relationships/hyperlink" Target="https://old.ukr-mobil.com/zadnyaya_kryshka_xiaomi_mi_9_black_12134" TargetMode="External"/><Relationship Id="rId_hyperlink_4194" Type="http://schemas.openxmlformats.org/officeDocument/2006/relationships/hyperlink" Target="https://old.ukr-mobil.com/zadnyaya_kryshka_xiaomi_mi_9_so_steklom_kamery_black_10002458" TargetMode="External"/><Relationship Id="rId_hyperlink_4195" Type="http://schemas.openxmlformats.org/officeDocument/2006/relationships/hyperlink" Target="https://old.ukr-mobil.com/zadnyaya_kryshka_xiaomi_mi_a1_mi_5x_original_prc_black_10788" TargetMode="External"/><Relationship Id="rId_hyperlink_4196" Type="http://schemas.openxmlformats.org/officeDocument/2006/relationships/hyperlink" Target="https://old.ukr-mobil.com/zadnyaya_kryshka_xiaomi_mi_a1_mi_5x_original_prc_gold_10861" TargetMode="External"/><Relationship Id="rId_hyperlink_4197" Type="http://schemas.openxmlformats.org/officeDocument/2006/relationships/hyperlink" Target="https://old.ukr-mobil.com/zadnyaya_kryshka_xiaomi_mi_a2_lite_redmi_6_pro_black_12125" TargetMode="External"/><Relationship Id="rId_hyperlink_4198" Type="http://schemas.openxmlformats.org/officeDocument/2006/relationships/hyperlink" Target="https://old.ukr-mobil.com/zadnyaya_kryshka_xiaomi_mi_a2_redmi_6x_black_12126" TargetMode="External"/><Relationship Id="rId_hyperlink_4199" Type="http://schemas.openxmlformats.org/officeDocument/2006/relationships/hyperlink" Target="https://old.ukr-mobil.com/zadnyaya_kryshka_xiaomi_mi_play_black_12127" TargetMode="External"/><Relationship Id="rId_hyperlink_4200" Type="http://schemas.openxmlformats.org/officeDocument/2006/relationships/hyperlink" Target="https://old.ukr-mobil.com/zadnyaya_kryshka_xiaomi_mi4c_black_10000381" TargetMode="External"/><Relationship Id="rId_hyperlink_4201" Type="http://schemas.openxmlformats.org/officeDocument/2006/relationships/hyperlink" Target="https://old.ukr-mobil.com/zadnyaya_kryshka_xiaomi_pocophone_f1_black_12122" TargetMode="External"/><Relationship Id="rId_hyperlink_4202" Type="http://schemas.openxmlformats.org/officeDocument/2006/relationships/hyperlink" Target="https://old.ukr-mobil.com/zadnyaya_kryshka_xiaomi_redmi_10_original_prc_blue_10003203" TargetMode="External"/><Relationship Id="rId_hyperlink_4203" Type="http://schemas.openxmlformats.org/officeDocument/2006/relationships/hyperlink" Target="https://old.ukr-mobil.com/zadnyaya_kryshka_xiaomi_redmi_10_original_prc_grey_10003202" TargetMode="External"/><Relationship Id="rId_hyperlink_4204" Type="http://schemas.openxmlformats.org/officeDocument/2006/relationships/hyperlink" Target="https://old.ukr-mobil.com/zadnyaya_kryshka_xiaomi_redmi_10_original_prc_white_10003204" TargetMode="External"/><Relationship Id="rId_hyperlink_4205" Type="http://schemas.openxmlformats.org/officeDocument/2006/relationships/hyperlink" Target="https://old.ukr-mobil.com/zadnyaya_kryshka_xiaomi_redmi_10c_high_copy_gray_10003205" TargetMode="External"/><Relationship Id="rId_hyperlink_4206" Type="http://schemas.openxmlformats.org/officeDocument/2006/relationships/hyperlink" Target="https://old.ukr-mobil.com/zadnyaya_kryshka_xiaomi_redmi_10c_high_copy_mint_green_10003207" TargetMode="External"/><Relationship Id="rId_hyperlink_4207" Type="http://schemas.openxmlformats.org/officeDocument/2006/relationships/hyperlink" Target="https://old.ukr-mobil.com/zadnyaya_kryshka_xiaomi_redmi_10c_high_copy_ocean_blue_10003206" TargetMode="External"/><Relationship Id="rId_hyperlink_4208" Type="http://schemas.openxmlformats.org/officeDocument/2006/relationships/hyperlink" Target="https://old.ukr-mobil.com/index.php?route=product&amp;product_id=10004844" TargetMode="External"/><Relationship Id="rId_hyperlink_4209" Type="http://schemas.openxmlformats.org/officeDocument/2006/relationships/hyperlink" Target="https://old.ukr-mobil.com/index.php?route=product&amp;product_id=10004845" TargetMode="External"/><Relationship Id="rId_hyperlink_4210" Type="http://schemas.openxmlformats.org/officeDocument/2006/relationships/hyperlink" Target="https://old.ukr-mobil.com/index.php?route=product&amp;product_id=10004644" TargetMode="External"/><Relationship Id="rId_hyperlink_4211" Type="http://schemas.openxmlformats.org/officeDocument/2006/relationships/hyperlink" Target="https://old.ukr-mobil.com/index.php?route=product&amp;product_id=10004643" TargetMode="External"/><Relationship Id="rId_hyperlink_4212" Type="http://schemas.openxmlformats.org/officeDocument/2006/relationships/hyperlink" Target="https://old.ukr-mobil.com/index.php?route=product&amp;product_id=10004642" TargetMode="External"/><Relationship Id="rId_hyperlink_4213" Type="http://schemas.openxmlformats.org/officeDocument/2006/relationships/hyperlink" Target="https://old.ukr-mobil.com/index.php?route=product&amp;product_id=10004645" TargetMode="External"/><Relationship Id="rId_hyperlink_4214" Type="http://schemas.openxmlformats.org/officeDocument/2006/relationships/hyperlink" Target="https://old.ukr-mobil.com/zadnyaya_kryshka_xiaomi_redmi_4_black_10794" TargetMode="External"/><Relationship Id="rId_hyperlink_4215" Type="http://schemas.openxmlformats.org/officeDocument/2006/relationships/hyperlink" Target="https://old.ukr-mobil.com/zadnyaya_kryshka_xiaomi_redmi_4_white_10795" TargetMode="External"/><Relationship Id="rId_hyperlink_4216" Type="http://schemas.openxmlformats.org/officeDocument/2006/relationships/hyperlink" Target="https://old.ukr-mobil.com/zadnyaya_kryshka_xiaomi_redmi_4a_black_10790" TargetMode="External"/><Relationship Id="rId_hyperlink_4217" Type="http://schemas.openxmlformats.org/officeDocument/2006/relationships/hyperlink" Target="https://old.ukr-mobil.com/zadnyaya_kryshka_xiaomi_redmi_4a_gold_10792" TargetMode="External"/><Relationship Id="rId_hyperlink_4218" Type="http://schemas.openxmlformats.org/officeDocument/2006/relationships/hyperlink" Target="https://old.ukr-mobil.com/zadnyaya_kryshka_xiaomi_redmi_4a_white_10791" TargetMode="External"/><Relationship Id="rId_hyperlink_4219" Type="http://schemas.openxmlformats.org/officeDocument/2006/relationships/hyperlink" Target="https://old.ukr-mobil.com/zadnyaya_kryshka_xiaomi_redmi_4x_black_10240" TargetMode="External"/><Relationship Id="rId_hyperlink_4220" Type="http://schemas.openxmlformats.org/officeDocument/2006/relationships/hyperlink" Target="https://old.ukr-mobil.com/zadnyaya_kryshka_xiaomi_redmi_4x_gold_10793" TargetMode="External"/><Relationship Id="rId_hyperlink_4221" Type="http://schemas.openxmlformats.org/officeDocument/2006/relationships/hyperlink" Target="https://old.ukr-mobil.com/zadnyaya_kryshka_xiaomi_redmi_5_pink_10801" TargetMode="External"/><Relationship Id="rId_hyperlink_4222" Type="http://schemas.openxmlformats.org/officeDocument/2006/relationships/hyperlink" Target="https://old.ukr-mobil.com/zadnyaya_kryshka_xiaomi_redmi_6_black_12128" TargetMode="External"/><Relationship Id="rId_hyperlink_4223" Type="http://schemas.openxmlformats.org/officeDocument/2006/relationships/hyperlink" Target="https://old.ukr-mobil.com/zadnyaya_kryshka_xiaomi_redmi_7_black_12129" TargetMode="External"/><Relationship Id="rId_hyperlink_4224" Type="http://schemas.openxmlformats.org/officeDocument/2006/relationships/hyperlink" Target="https://old.ukr-mobil.com/zadnyaya_kryshka_xiaomi_redmi_7a_so_steklom_kamery_original_prc_black_10000668" TargetMode="External"/><Relationship Id="rId_hyperlink_4225" Type="http://schemas.openxmlformats.org/officeDocument/2006/relationships/hyperlink" Target="https://old.ukr-mobil.com/zadnyaya_kryshka_xiaomi_redmi_8_original_prc_black_10001166" TargetMode="External"/><Relationship Id="rId_hyperlink_4226" Type="http://schemas.openxmlformats.org/officeDocument/2006/relationships/hyperlink" Target="https://old.ukr-mobil.com/zadnyaya_kryshka_xiaomi_redmi_8a_original_prc_black_10002518" TargetMode="External"/><Relationship Id="rId_hyperlink_4227" Type="http://schemas.openxmlformats.org/officeDocument/2006/relationships/hyperlink" Target="https://old.ukr-mobil.com/zadnyaya_kryshka_xiaomi_redmi_9_original_prc_carbon_grey_10001167" TargetMode="External"/><Relationship Id="rId_hyperlink_4228" Type="http://schemas.openxmlformats.org/officeDocument/2006/relationships/hyperlink" Target="https://old.ukr-mobil.com/zadnyaya_kryshka_xiaomi_redmi_9_original_prc_ocean_green_10001168" TargetMode="External"/><Relationship Id="rId_hyperlink_4229" Type="http://schemas.openxmlformats.org/officeDocument/2006/relationships/hyperlink" Target="https://old.ukr-mobil.com/zadnyaya_kryshka_xiaomi_redmi_9_original_prc_sunset_purple_10001169" TargetMode="External"/><Relationship Id="rId_hyperlink_4230" Type="http://schemas.openxmlformats.org/officeDocument/2006/relationships/hyperlink" Target="https://old.ukr-mobil.com/zadnyaya_kryshka_xiaomi_redmi_9a_original_prc_blue_10002088" TargetMode="External"/><Relationship Id="rId_hyperlink_4231" Type="http://schemas.openxmlformats.org/officeDocument/2006/relationships/hyperlink" Target="https://old.ukr-mobil.com/zadnyaya_kryshka_xiaomi_redmi_9a_original_prc_granite_gray_10001868" TargetMode="External"/><Relationship Id="rId_hyperlink_4232" Type="http://schemas.openxmlformats.org/officeDocument/2006/relationships/hyperlink" Target="https://old.ukr-mobil.com/zadnyaya_kryshka_xiaomi_redmi_9a_original_prc_green_10002087" TargetMode="External"/><Relationship Id="rId_hyperlink_4233" Type="http://schemas.openxmlformats.org/officeDocument/2006/relationships/hyperlink" Target="https://old.ukr-mobil.com/zadnyaya_kryshka_xiaomi_redmi_9c_original_prc_blue_10002093" TargetMode="External"/><Relationship Id="rId_hyperlink_4234" Type="http://schemas.openxmlformats.org/officeDocument/2006/relationships/hyperlink" Target="https://old.ukr-mobil.com/zadnyaya_kryshka_xiaomi_redmi_9c_original_prc_midnight_gray_10002092" TargetMode="External"/><Relationship Id="rId_hyperlink_4235" Type="http://schemas.openxmlformats.org/officeDocument/2006/relationships/hyperlink" Target="https://old.ukr-mobil.com/zadnyaya_kryshka_xiaomi_redmi_9t_original_prc_carbon_gray_10002089" TargetMode="External"/><Relationship Id="rId_hyperlink_4236" Type="http://schemas.openxmlformats.org/officeDocument/2006/relationships/hyperlink" Target="https://old.ukr-mobil.com/zadnyaya_kryshka_xiaomi_redmi_9t_original_prc_green_10002091" TargetMode="External"/><Relationship Id="rId_hyperlink_4237" Type="http://schemas.openxmlformats.org/officeDocument/2006/relationships/hyperlink" Target="https://old.ukr-mobil.com/zadnyaya_kryshka_xiaomi_redmi_note_11_redmi_note_11s_original_prc_graphite_grey_10003215" TargetMode="External"/><Relationship Id="rId_hyperlink_4238" Type="http://schemas.openxmlformats.org/officeDocument/2006/relationships/hyperlink" Target="https://old.ukr-mobil.com/zadnyaya_kryshka_xiaomi_redmi_note_11_redmi_note_11s_original_prc_star_blue_10003217" TargetMode="External"/><Relationship Id="rId_hyperlink_4239" Type="http://schemas.openxmlformats.org/officeDocument/2006/relationships/hyperlink" Target="https://old.ukr-mobil.com/zadnyaya_kryshka_xiaomi_redmi_note_11_redmi_note_11s_original_prc_twilight_blue_10003216" TargetMode="External"/><Relationship Id="rId_hyperlink_4240" Type="http://schemas.openxmlformats.org/officeDocument/2006/relationships/hyperlink" Target="https://old.ukr-mobil.com/index.php?route=product&amp;product_id=10005353" TargetMode="External"/><Relationship Id="rId_hyperlink_4241" Type="http://schemas.openxmlformats.org/officeDocument/2006/relationships/hyperlink" Target="https://old.ukr-mobil.com/index.php?route=product&amp;product_id=10005351" TargetMode="External"/><Relationship Id="rId_hyperlink_4242" Type="http://schemas.openxmlformats.org/officeDocument/2006/relationships/hyperlink" Target="https://old.ukr-mobil.com/index.php?route=product&amp;product_id=10005408" TargetMode="External"/><Relationship Id="rId_hyperlink_4243" Type="http://schemas.openxmlformats.org/officeDocument/2006/relationships/hyperlink" Target="https://old.ukr-mobil.com/index.php?route=product&amp;product_id=10005352" TargetMode="External"/><Relationship Id="rId_hyperlink_4244" Type="http://schemas.openxmlformats.org/officeDocument/2006/relationships/hyperlink" Target="https://old.ukr-mobil.com/index.php?route=product&amp;product_id=10005360" TargetMode="External"/><Relationship Id="rId_hyperlink_4245" Type="http://schemas.openxmlformats.org/officeDocument/2006/relationships/hyperlink" Target="https://old.ukr-mobil.com/index.php?route=product&amp;product_id=10005361" TargetMode="External"/><Relationship Id="rId_hyperlink_4246" Type="http://schemas.openxmlformats.org/officeDocument/2006/relationships/hyperlink" Target="https://old.ukr-mobil.com/index.php?route=product&amp;product_id=10005363" TargetMode="External"/><Relationship Id="rId_hyperlink_4247" Type="http://schemas.openxmlformats.org/officeDocument/2006/relationships/hyperlink" Target="https://old.ukr-mobil.com/index.php?route=product&amp;product_id=10005362" TargetMode="External"/><Relationship Id="rId_hyperlink_4248" Type="http://schemas.openxmlformats.org/officeDocument/2006/relationships/hyperlink" Target="https://old.ukr-mobil.com/index.php?route=product&amp;product_id=10004877" TargetMode="External"/><Relationship Id="rId_hyperlink_4249" Type="http://schemas.openxmlformats.org/officeDocument/2006/relationships/hyperlink" Target="https://old.ukr-mobil.com/index.php?route=product&amp;product_id=10004876" TargetMode="External"/><Relationship Id="rId_hyperlink_4250" Type="http://schemas.openxmlformats.org/officeDocument/2006/relationships/hyperlink" Target="https://old.ukr-mobil.com/index.php?route=product&amp;product_id=10004878" TargetMode="External"/><Relationship Id="rId_hyperlink_4251" Type="http://schemas.openxmlformats.org/officeDocument/2006/relationships/hyperlink" Target="https://old.ukr-mobil.com/zadnyaya_kryshka_xiaomi_redmi_note_4_global_redmi_note_4x_mtk_high_copy_rose_gold_11079" TargetMode="External"/><Relationship Id="rId_hyperlink_4252" Type="http://schemas.openxmlformats.org/officeDocument/2006/relationships/hyperlink" Target="https://old.ukr-mobil.com/zadnyaya_kryshka_xiaomi_redmi_note_4_global_redmi_note_4x_snapdragon_high_copy_black_10239" TargetMode="External"/><Relationship Id="rId_hyperlink_4253" Type="http://schemas.openxmlformats.org/officeDocument/2006/relationships/hyperlink" Target="https://old.ukr-mobil.com/zadnyaya_kryshka_xiaomi_redmi_note_4_global_redmi_note_4x_snapdragon_high_copy_gold_10319" TargetMode="External"/><Relationship Id="rId_hyperlink_4254" Type="http://schemas.openxmlformats.org/officeDocument/2006/relationships/hyperlink" Target="https://old.ukr-mobil.com/zadnyaya_kryshka_xiaomi_redmi_note_5_grey_12133" TargetMode="External"/><Relationship Id="rId_hyperlink_4255" Type="http://schemas.openxmlformats.org/officeDocument/2006/relationships/hyperlink" Target="https://old.ukr-mobil.com/zadnyaya_kryshka_xiaomi_redmi_note_5a_prime_gold_11584" TargetMode="External"/><Relationship Id="rId_hyperlink_4256" Type="http://schemas.openxmlformats.org/officeDocument/2006/relationships/hyperlink" Target="https://old.ukr-mobil.com/zadnyaya_kryshka_xiaomi_redmi_note_5a_prime_grey_11583" TargetMode="External"/><Relationship Id="rId_hyperlink_4257" Type="http://schemas.openxmlformats.org/officeDocument/2006/relationships/hyperlink" Target="https://old.ukr-mobil.com/zadnyaya_kryshka_xiaomi_redmi_note_5a_gold_10806" TargetMode="External"/><Relationship Id="rId_hyperlink_4258" Type="http://schemas.openxmlformats.org/officeDocument/2006/relationships/hyperlink" Target="https://old.ukr-mobil.com/zadnyaya_kryshka_xiaomi_redmi_note_5a_grey_10805" TargetMode="External"/><Relationship Id="rId_hyperlink_4259" Type="http://schemas.openxmlformats.org/officeDocument/2006/relationships/hyperlink" Target="https://old.ukr-mobil.com/zadnyaya_kryshka_xiaomi_redmi_note_5a_pink_10807" TargetMode="External"/><Relationship Id="rId_hyperlink_4260" Type="http://schemas.openxmlformats.org/officeDocument/2006/relationships/hyperlink" Target="https://old.ukr-mobil.com/zadnyaya_kryshka_xiaomi_redmi_note_6_pro_black_12131" TargetMode="External"/><Relationship Id="rId_hyperlink_4261" Type="http://schemas.openxmlformats.org/officeDocument/2006/relationships/hyperlink" Target="https://old.ukr-mobil.com/zadnyaya_kryshka_xiaomi_redmi_note_6_pro_so_steklom_kamery_original_black_10002517" TargetMode="External"/><Relationship Id="rId_hyperlink_4262" Type="http://schemas.openxmlformats.org/officeDocument/2006/relationships/hyperlink" Target="https://old.ukr-mobil.com/zadnyaya_kryshka_xiaomi_redmi_note_7_black_12130" TargetMode="External"/><Relationship Id="rId_hyperlink_4263" Type="http://schemas.openxmlformats.org/officeDocument/2006/relationships/hyperlink" Target="https://old.ukr-mobil.com/zadnyaya_kryshka_xiaomi_redmi_note_7_moonlight_white_10002606" TargetMode="External"/><Relationship Id="rId_hyperlink_4264" Type="http://schemas.openxmlformats.org/officeDocument/2006/relationships/hyperlink" Target="https://old.ukr-mobil.com/zadnyaya_kryshka_xiaomi_redmi_note_7_neptune_blue_10002605" TargetMode="External"/><Relationship Id="rId_hyperlink_4265" Type="http://schemas.openxmlformats.org/officeDocument/2006/relationships/hyperlink" Target="https://old.ukr-mobil.com/zadnyaya_kryshka_xiaomi_redmi_note_7_so_steklom_kamery_black_10002467" TargetMode="External"/><Relationship Id="rId_hyperlink_4266" Type="http://schemas.openxmlformats.org/officeDocument/2006/relationships/hyperlink" Target="https://old.ukr-mobil.com/zadnyaya_kryshka_xiaomi_redmi_note_8_pro_original_prc_blue_10001172" TargetMode="External"/><Relationship Id="rId_hyperlink_4267" Type="http://schemas.openxmlformats.org/officeDocument/2006/relationships/hyperlink" Target="https://old.ukr-mobil.com/zadnyaya_kryshka_xiaomi_redmi_note_8_pro_original_prc_green_10001173" TargetMode="External"/><Relationship Id="rId_hyperlink_4268" Type="http://schemas.openxmlformats.org/officeDocument/2006/relationships/hyperlink" Target="https://old.ukr-mobil.com/zadnyaya_kryshka_xiaomi_redmi_note_8_pro_original_prc_grey_10001171" TargetMode="External"/><Relationship Id="rId_hyperlink_4269" Type="http://schemas.openxmlformats.org/officeDocument/2006/relationships/hyperlink" Target="https://old.ukr-mobil.com/zadnyaya_kryshka_xiaomi_redmi_note_8_pro_white_10001075" TargetMode="External"/><Relationship Id="rId_hyperlink_4270" Type="http://schemas.openxmlformats.org/officeDocument/2006/relationships/hyperlink" Target="https://old.ukr-mobil.com/zadnyaya_kryshka_xiaomi_redmi_note_8_pro_so_steklom_kamery_blue_10002468" TargetMode="External"/><Relationship Id="rId_hyperlink_4271" Type="http://schemas.openxmlformats.org/officeDocument/2006/relationships/hyperlink" Target="https://old.ukr-mobil.com/zadnyaya_kryshka_xiaomi_redmi_note_8_pro_so_steklom_kamery_grey_10002470" TargetMode="External"/><Relationship Id="rId_hyperlink_4272" Type="http://schemas.openxmlformats.org/officeDocument/2006/relationships/hyperlink" Target="https://old.ukr-mobil.com/zadnyaya_kryshka_xiaomi_redmi_note_8_original_prc_black_10001174" TargetMode="External"/><Relationship Id="rId_hyperlink_4273" Type="http://schemas.openxmlformats.org/officeDocument/2006/relationships/hyperlink" Target="https://old.ukr-mobil.com/zadnyaya_kryshka_xiaomi_redmi_note_8_original_prc_blue_10001175" TargetMode="External"/><Relationship Id="rId_hyperlink_4274" Type="http://schemas.openxmlformats.org/officeDocument/2006/relationships/hyperlink" Target="https://old.ukr-mobil.com/zadnyaya_kryshka_xiaomi_redmi_note_8_redmi_note_8t_original_prc_white_10001377" TargetMode="External"/><Relationship Id="rId_hyperlink_4275" Type="http://schemas.openxmlformats.org/officeDocument/2006/relationships/hyperlink" Target="https://old.ukr-mobil.com/zadnyaya_kryshka_xiaomi_redmi_note_8_so_steklom_kamery_black_10002471" TargetMode="External"/><Relationship Id="rId_hyperlink_4276" Type="http://schemas.openxmlformats.org/officeDocument/2006/relationships/hyperlink" Target="https://old.ukr-mobil.com/zadnyaya_kryshka_xiaomi_redmi_note_9_pro_redmi_note_9s_original_prc_green_10001177" TargetMode="External"/><Relationship Id="rId_hyperlink_4277" Type="http://schemas.openxmlformats.org/officeDocument/2006/relationships/hyperlink" Target="https://old.ukr-mobil.com/zadnyaya_kryshka_xiaomi_redmi_note_9_pro_redmi_note_9s_original_prc_interstellar_grey_10002107" TargetMode="External"/><Relationship Id="rId_hyperlink_4278" Type="http://schemas.openxmlformats.org/officeDocument/2006/relationships/hyperlink" Target="https://old.ukr-mobil.com/zadnyaya_kryshka_xiaomi_redmi_note_9_pro_redmi_note_9s_original_prc_white_10001176" TargetMode="External"/><Relationship Id="rId_hyperlink_4279" Type="http://schemas.openxmlformats.org/officeDocument/2006/relationships/hyperlink" Target="https://old.ukr-mobil.com/zadnyaya_kryshka_xiaomi_redmi_note_9_pro_redmi_note_9s_so_steklom_kamery_blue_10002473" TargetMode="External"/><Relationship Id="rId_hyperlink_4280" Type="http://schemas.openxmlformats.org/officeDocument/2006/relationships/hyperlink" Target="https://old.ukr-mobil.com/zadnyaya_kryshka_xiaomi_redmi_note_9_pro_redmi_note_9s_so_steklom_kamery_interstellar_grey_10002474" TargetMode="External"/><Relationship Id="rId_hyperlink_4281" Type="http://schemas.openxmlformats.org/officeDocument/2006/relationships/hyperlink" Target="https://old.ukr-mobil.com/zadnyaya_kryshka_xiaomi_redmi_note_9_pro_redmi_note_9s_so_steklom_kamery_white_10002475" TargetMode="External"/><Relationship Id="rId_hyperlink_4282" Type="http://schemas.openxmlformats.org/officeDocument/2006/relationships/hyperlink" Target="https://old.ukr-mobil.com/zadnyaya_kryshka_xiaomi_redmi_note_9_high_quality_midnight_grey_10004540" TargetMode="External"/><Relationship Id="rId_hyperlink_4283" Type="http://schemas.openxmlformats.org/officeDocument/2006/relationships/hyperlink" Target="https://old.ukr-mobil.com/zadnyaya_kryshka_xiaomi_redmi_note_9_high_copy_onyx_black_10002519" TargetMode="External"/><Relationship Id="rId_hyperlink_4284" Type="http://schemas.openxmlformats.org/officeDocument/2006/relationships/hyperlink" Target="https://old.ukr-mobil.com/zadnyaya_kryshka_xiaomi_redmi_note_9_original_prc_midnight_grey_10002520" TargetMode="External"/><Relationship Id="rId_hyperlink_4285" Type="http://schemas.openxmlformats.org/officeDocument/2006/relationships/hyperlink" Target="https://old.ukr-mobil.com/zadnyaya_kryshka_xiaomi_redmi_s2_black_12132" TargetMode="External"/><Relationship Id="rId_hyperlink_4286" Type="http://schemas.openxmlformats.org/officeDocument/2006/relationships/hyperlink" Target="https://old.ukr-mobil.com/index.php?route=product&amp;product_id=10005424" TargetMode="External"/><Relationship Id="rId_hyperlink_4287" Type="http://schemas.openxmlformats.org/officeDocument/2006/relationships/hyperlink" Target="https://old.ukr-mobil.com/index.php?route=product&amp;product_id=10005368" TargetMode="External"/><Relationship Id="rId_hyperlink_4288" Type="http://schemas.openxmlformats.org/officeDocument/2006/relationships/hyperlink" Target="https://old.ukr-mobil.com/index.php?route=product&amp;product_id=10005367" TargetMode="External"/><Relationship Id="rId_hyperlink_4289" Type="http://schemas.openxmlformats.org/officeDocument/2006/relationships/hyperlink" Target="https://old.ukr-mobil.com/index.php?route=product&amp;product_id=10005369" TargetMode="External"/><Relationship Id="rId_hyperlink_4290" Type="http://schemas.openxmlformats.org/officeDocument/2006/relationships/hyperlink" Target="https://old.ukr-mobil.com/index.php?route=product&amp;product_id=10005364" TargetMode="External"/><Relationship Id="rId_hyperlink_4291" Type="http://schemas.openxmlformats.org/officeDocument/2006/relationships/hyperlink" Target="https://old.ukr-mobil.com/index.php?route=product&amp;product_id=10005366" TargetMode="External"/><Relationship Id="rId_hyperlink_4292" Type="http://schemas.openxmlformats.org/officeDocument/2006/relationships/hyperlink" Target="https://old.ukr-mobil.com/index.php?route=product&amp;product_id=10005365" TargetMode="External"/><Relationship Id="rId_hyperlink_4293" Type="http://schemas.openxmlformats.org/officeDocument/2006/relationships/hyperlink" Target="https://old.ukr-mobil.com/korpus_apple_iphone_11_pro_v_sbore_original_prc_silver_10001289" TargetMode="External"/><Relationship Id="rId_hyperlink_4294" Type="http://schemas.openxmlformats.org/officeDocument/2006/relationships/hyperlink" Target="https://old.ukr-mobil.com/korpus_apple_iphone_11_v_sbore_original_prc_green_10003780" TargetMode="External"/><Relationship Id="rId_hyperlink_4295" Type="http://schemas.openxmlformats.org/officeDocument/2006/relationships/hyperlink" Target="https://old.ukr-mobil.com/korpus_apple_iphone_11_v_sbore_original_prc_red_10003781" TargetMode="External"/><Relationship Id="rId_hyperlink_4296" Type="http://schemas.openxmlformats.org/officeDocument/2006/relationships/hyperlink" Target="https://old.ukr-mobil.com/korpus_apple_iphone_12_pro_max_v_sbore_high_quality_gold_10003803" TargetMode="External"/><Relationship Id="rId_hyperlink_4297" Type="http://schemas.openxmlformats.org/officeDocument/2006/relationships/hyperlink" Target="https://old.ukr-mobil.com/korpus_apple_iphone_12_pro_max_v_sbore_high_quality_graphite_10003800" TargetMode="External"/><Relationship Id="rId_hyperlink_4298" Type="http://schemas.openxmlformats.org/officeDocument/2006/relationships/hyperlink" Target="https://old.ukr-mobil.com/korpus_apple_iphone_12_pro_max_v_sbore_high_quality_pacific_blue_10003801" TargetMode="External"/><Relationship Id="rId_hyperlink_4299" Type="http://schemas.openxmlformats.org/officeDocument/2006/relationships/hyperlink" Target="https://old.ukr-mobil.com/korpus_apple_iphone_12_pro_max_v_sbore_high_quality_silver_10003802" TargetMode="External"/><Relationship Id="rId_hyperlink_4300" Type="http://schemas.openxmlformats.org/officeDocument/2006/relationships/hyperlink" Target="https://old.ukr-mobil.com/korpus_apple_iphone_12_pro_v_sbore_original_prc_gold_10003805" TargetMode="External"/><Relationship Id="rId_hyperlink_4301" Type="http://schemas.openxmlformats.org/officeDocument/2006/relationships/hyperlink" Target="https://old.ukr-mobil.com/korpus_apple_iphone_12_pro_v_sbore_original_prc_graphite_10003807" TargetMode="External"/><Relationship Id="rId_hyperlink_4302" Type="http://schemas.openxmlformats.org/officeDocument/2006/relationships/hyperlink" Target="https://old.ukr-mobil.com/korpus_apple_iphone_12_pro_v_sbore_original_prc_pacific_blue_10003808" TargetMode="External"/><Relationship Id="rId_hyperlink_4303" Type="http://schemas.openxmlformats.org/officeDocument/2006/relationships/hyperlink" Target="https://old.ukr-mobil.com/korpus_apple_iphone_12_pro_v_sbore_original_prc_silver_10003806" TargetMode="External"/><Relationship Id="rId_hyperlink_4304" Type="http://schemas.openxmlformats.org/officeDocument/2006/relationships/hyperlink" Target="https://old.ukr-mobil.com/korpus_apple_iphone_12_v_sbore_original_prc_black_10003795" TargetMode="External"/><Relationship Id="rId_hyperlink_4305" Type="http://schemas.openxmlformats.org/officeDocument/2006/relationships/hyperlink" Target="https://old.ukr-mobil.com/korpus_apple_iphone_12_v_sbore_original_prc_blue_10003797" TargetMode="External"/><Relationship Id="rId_hyperlink_4306" Type="http://schemas.openxmlformats.org/officeDocument/2006/relationships/hyperlink" Target="https://old.ukr-mobil.com/korpus_apple_iphone_12_v_sbore_original_prc_green_10003798" TargetMode="External"/><Relationship Id="rId_hyperlink_4307" Type="http://schemas.openxmlformats.org/officeDocument/2006/relationships/hyperlink" Target="https://old.ukr-mobil.com/korpus_apple_iphone_12_v_sbore_original_prc_red_10003799" TargetMode="External"/><Relationship Id="rId_hyperlink_4308" Type="http://schemas.openxmlformats.org/officeDocument/2006/relationships/hyperlink" Target="https://old.ukr-mobil.com/korpus_apple_iphone_12_v_sbore_original_prc_white_10003796" TargetMode="External"/><Relationship Id="rId_hyperlink_4309" Type="http://schemas.openxmlformats.org/officeDocument/2006/relationships/hyperlink" Target="https://old.ukr-mobil.com/korpus_iphone_4g_black_zadnyaya_krishka_2325" TargetMode="External"/><Relationship Id="rId_hyperlink_4310" Type="http://schemas.openxmlformats.org/officeDocument/2006/relationships/hyperlink" Target="https://old.ukr-mobil.com/korpus_iphone_4g_white_zadnyaya_krishka_2689" TargetMode="External"/><Relationship Id="rId_hyperlink_4311" Type="http://schemas.openxmlformats.org/officeDocument/2006/relationships/hyperlink" Target="https://old.ukr-mobil.com/korpus_iphone_4s_chornij_zadnya_krishka_3296" TargetMode="External"/><Relationship Id="rId_hyperlink_4312" Type="http://schemas.openxmlformats.org/officeDocument/2006/relationships/hyperlink" Target="https://old.ukr-mobil.com/korpus_iphone_5_black_3989" TargetMode="External"/><Relationship Id="rId_hyperlink_4313" Type="http://schemas.openxmlformats.org/officeDocument/2006/relationships/hyperlink" Target="https://old.ukr-mobil.com/korpus_iphone_5_white_3990" TargetMode="External"/><Relationship Id="rId_hyperlink_4314" Type="http://schemas.openxmlformats.org/officeDocument/2006/relationships/hyperlink" Target="https://old.ukr-mobil.com/korpus_iphone_5s_gold_5254" TargetMode="External"/><Relationship Id="rId_hyperlink_4315" Type="http://schemas.openxmlformats.org/officeDocument/2006/relationships/hyperlink" Target="https://old.ukr-mobil.com/korpus_iphone_5s_silver_4735" TargetMode="External"/><Relationship Id="rId_hyperlink_4316" Type="http://schemas.openxmlformats.org/officeDocument/2006/relationships/hyperlink" Target="https://old.ukr-mobil.com/korpus_iphone_5s_space_gray_4736" TargetMode="External"/><Relationship Id="rId_hyperlink_4317" Type="http://schemas.openxmlformats.org/officeDocument/2006/relationships/hyperlink" Target="https://old.ukr-mobil.com/korpus_iphone_5se_original_prc_gold_9976" TargetMode="External"/><Relationship Id="rId_hyperlink_4318" Type="http://schemas.openxmlformats.org/officeDocument/2006/relationships/hyperlink" Target="https://old.ukr-mobil.com/korpus_iphone_5se_original_prc_silver_9977" TargetMode="External"/><Relationship Id="rId_hyperlink_4319" Type="http://schemas.openxmlformats.org/officeDocument/2006/relationships/hyperlink" Target="https://old.ukr-mobil.com/korpus_iphone_5se_original_prc_spase_gray_9975" TargetMode="External"/><Relationship Id="rId_hyperlink_4320" Type="http://schemas.openxmlformats.org/officeDocument/2006/relationships/hyperlink" Target="https://old.ukr-mobil.com/korpus_iphone_6_plus_original_prc_spase_gray_6717" TargetMode="External"/><Relationship Id="rId_hyperlink_4321" Type="http://schemas.openxmlformats.org/officeDocument/2006/relationships/hyperlink" Target="https://old.ukr-mobil.com/korpus_iphone_6_original_prc_spase_gray_5500" TargetMode="External"/><Relationship Id="rId_hyperlink_4322" Type="http://schemas.openxmlformats.org/officeDocument/2006/relationships/hyperlink" Target="https://old.ukr-mobil.com/korpus_iphone_6_original_prc_white_5499" TargetMode="External"/><Relationship Id="rId_hyperlink_4323" Type="http://schemas.openxmlformats.org/officeDocument/2006/relationships/hyperlink" Target="https://old.ukr-mobil.com/korpus_iphone_6s_rose_gold_6714" TargetMode="External"/><Relationship Id="rId_hyperlink_4324" Type="http://schemas.openxmlformats.org/officeDocument/2006/relationships/hyperlink" Target="https://old.ukr-mobil.com/korpus_iphone_6s_plus_original_prc_gold_7906" TargetMode="External"/><Relationship Id="rId_hyperlink_4325" Type="http://schemas.openxmlformats.org/officeDocument/2006/relationships/hyperlink" Target="https://old.ukr-mobil.com/korpus_iphone_6s_plus_original_prc_rose_gold_10000654" TargetMode="External"/><Relationship Id="rId_hyperlink_4326" Type="http://schemas.openxmlformats.org/officeDocument/2006/relationships/hyperlink" Target="https://old.ukr-mobil.com/korpus_iphone_6s_plus_original_prc_silver_7905" TargetMode="External"/><Relationship Id="rId_hyperlink_4327" Type="http://schemas.openxmlformats.org/officeDocument/2006/relationships/hyperlink" Target="https://old.ukr-mobil.com/korpus_iphone_6s_plus_original_prc_spase_gray_7904" TargetMode="External"/><Relationship Id="rId_hyperlink_4328" Type="http://schemas.openxmlformats.org/officeDocument/2006/relationships/hyperlink" Target="https://old.ukr-mobil.com/korpus_iphone_7_plus_original_prc_black_9038" TargetMode="External"/><Relationship Id="rId_hyperlink_4329" Type="http://schemas.openxmlformats.org/officeDocument/2006/relationships/hyperlink" Target="https://old.ukr-mobil.com/korpus_iphone_7_plus_original_prc_jet_black_10000653" TargetMode="External"/><Relationship Id="rId_hyperlink_4330" Type="http://schemas.openxmlformats.org/officeDocument/2006/relationships/hyperlink" Target="https://old.ukr-mobil.com/korpus_iphone_7_plus_original_prc_red_edition_10171" TargetMode="External"/><Relationship Id="rId_hyperlink_4331" Type="http://schemas.openxmlformats.org/officeDocument/2006/relationships/hyperlink" Target="https://old.ukr-mobil.com/korpus_iphone_7_plus_original_prc_rose_gold_11348" TargetMode="External"/><Relationship Id="rId_hyperlink_4332" Type="http://schemas.openxmlformats.org/officeDocument/2006/relationships/hyperlink" Target="https://old.ukr-mobil.com/korpus_iphone_7_plus_original_prc_silver_9535" TargetMode="External"/><Relationship Id="rId_hyperlink_4333" Type="http://schemas.openxmlformats.org/officeDocument/2006/relationships/hyperlink" Target="https://old.ukr-mobil.com/korpus_iphone_7_original_prc_black_8550" TargetMode="External"/><Relationship Id="rId_hyperlink_4334" Type="http://schemas.openxmlformats.org/officeDocument/2006/relationships/hyperlink" Target="https://old.ukr-mobil.com/korpus_iphone_7_original_prc_gold_8549" TargetMode="External"/><Relationship Id="rId_hyperlink_4335" Type="http://schemas.openxmlformats.org/officeDocument/2006/relationships/hyperlink" Target="https://old.ukr-mobil.com/korpus_iphone_7_original_prc_jet_black_9037" TargetMode="External"/><Relationship Id="rId_hyperlink_4336" Type="http://schemas.openxmlformats.org/officeDocument/2006/relationships/hyperlink" Target="https://old.ukr-mobil.com/korpus_iphone_7_original_prc_red_edition_10170" TargetMode="External"/><Relationship Id="rId_hyperlink_4337" Type="http://schemas.openxmlformats.org/officeDocument/2006/relationships/hyperlink" Target="https://old.ukr-mobil.com/korpus_iphone_7_original_prc_rose_gold_8812" TargetMode="External"/><Relationship Id="rId_hyperlink_4338" Type="http://schemas.openxmlformats.org/officeDocument/2006/relationships/hyperlink" Target="https://old.ukr-mobil.com/korpus_iphone_7_original_prc_silver_8548" TargetMode="External"/><Relationship Id="rId_hyperlink_4339" Type="http://schemas.openxmlformats.org/officeDocument/2006/relationships/hyperlink" Target="https://old.ukr-mobil.com/korpus_iphone_8_plus_v_sbore_original_prc_red_11459" TargetMode="External"/><Relationship Id="rId_hyperlink_4340" Type="http://schemas.openxmlformats.org/officeDocument/2006/relationships/hyperlink" Target="https://old.ukr-mobil.com/korpus_iphone_8_v_sbore_red_11455" TargetMode="External"/><Relationship Id="rId_hyperlink_4341" Type="http://schemas.openxmlformats.org/officeDocument/2006/relationships/hyperlink" Target="https://old.ukr-mobil.com/korpus_iphone_8_v_sbore_silver_11453" TargetMode="External"/><Relationship Id="rId_hyperlink_4342" Type="http://schemas.openxmlformats.org/officeDocument/2006/relationships/hyperlink" Target="https://old.ukr-mobil.com/korpus_iphone_x_zadnyaya_kryshka_so_steklom_kamery_v_sbore_original_prc_black_12098" TargetMode="External"/><Relationship Id="rId_hyperlink_4343" Type="http://schemas.openxmlformats.org/officeDocument/2006/relationships/hyperlink" Target="https://old.ukr-mobil.com/korpus_iphone_x_zadnyaya_kryshka_so_steklom_kamery_v_sbore_original_prc_white_12099" TargetMode="External"/><Relationship Id="rId_hyperlink_4344" Type="http://schemas.openxmlformats.org/officeDocument/2006/relationships/hyperlink" Target="https://old.ukr-mobil.com/korpus_apple_iphone_xr_v_sbore_original_prc_black_10001294" TargetMode="External"/><Relationship Id="rId_hyperlink_4345" Type="http://schemas.openxmlformats.org/officeDocument/2006/relationships/hyperlink" Target="https://old.ukr-mobil.com/korpus_apple_iphone_xs_max_v_sbore_original_prc_black_10003792" TargetMode="External"/><Relationship Id="rId_hyperlink_4346" Type="http://schemas.openxmlformats.org/officeDocument/2006/relationships/hyperlink" Target="https://old.ukr-mobil.com/korpus_apple_iphone_xs_max_v_sbore_original_prc_gold_10003794" TargetMode="External"/><Relationship Id="rId_hyperlink_4347" Type="http://schemas.openxmlformats.org/officeDocument/2006/relationships/hyperlink" Target="https://old.ukr-mobil.com/korpus_apple_iphone_xs_max_v_sbore_original_prc_white_10003793" TargetMode="External"/><Relationship Id="rId_hyperlink_4348" Type="http://schemas.openxmlformats.org/officeDocument/2006/relationships/hyperlink" Target="https://old.ukr-mobil.com/korpus_apple_iphone_xs_v_sbore_original_prc_black_10003786" TargetMode="External"/><Relationship Id="rId_hyperlink_4349" Type="http://schemas.openxmlformats.org/officeDocument/2006/relationships/hyperlink" Target="https://old.ukr-mobil.com/korpus_apple_iphone_xs_v_sbore_original_prc_gold_10003788" TargetMode="External"/><Relationship Id="rId_hyperlink_4350" Type="http://schemas.openxmlformats.org/officeDocument/2006/relationships/hyperlink" Target="https://old.ukr-mobil.com/korpus_apple_iphone_xs_v_sbore_original_prc_white_10003787" TargetMode="External"/><Relationship Id="rId_hyperlink_4351" Type="http://schemas.openxmlformats.org/officeDocument/2006/relationships/hyperlink" Target="https://old.ukr-mobil.com/korpus_high_copy_lg_d802_optimus_g2_b_lij_zadnya_krishka_4852" TargetMode="External"/><Relationship Id="rId_hyperlink_4352" Type="http://schemas.openxmlformats.org/officeDocument/2006/relationships/hyperlink" Target="https://old.ukr-mobil.com/korpus_high_copy_lg_d802_optimus_g2_chornij_zadnya_krishka_4853" TargetMode="External"/><Relationship Id="rId_hyperlink_4353" Type="http://schemas.openxmlformats.org/officeDocument/2006/relationships/hyperlink" Target="https://old.ukr-mobil.com/korpus_high_copy_lg_t320_4276" TargetMode="External"/><Relationship Id="rId_hyperlink_4354" Type="http://schemas.openxmlformats.org/officeDocument/2006/relationships/hyperlink" Target="https://old.ukr-mobil.com/korpus_lenovo_a319_black_zadnyaya_kryshka_6897" TargetMode="External"/><Relationship Id="rId_hyperlink_4355" Type="http://schemas.openxmlformats.org/officeDocument/2006/relationships/hyperlink" Target="https://old.ukr-mobil.com/korpus_lenovo_a319_white_zadnyaya_kryshka_6898" TargetMode="External"/><Relationship Id="rId_hyperlink_4356" Type="http://schemas.openxmlformats.org/officeDocument/2006/relationships/hyperlink" Target="https://old.ukr-mobil.com/korpus_lenovo_a526_black_zadnyaya_kryshka_6904" TargetMode="External"/><Relationship Id="rId_hyperlink_4357" Type="http://schemas.openxmlformats.org/officeDocument/2006/relationships/hyperlink" Target="https://old.ukr-mobil.com/korpus_lenovo_a536_black_zadnyaya_kryshka_6899" TargetMode="External"/><Relationship Id="rId_hyperlink_4358" Type="http://schemas.openxmlformats.org/officeDocument/2006/relationships/hyperlink" Target="https://old.ukr-mobil.com/korpus_lenovo_a536_white_zadnyaya_kryshka_6900" TargetMode="External"/><Relationship Id="rId_hyperlink_4359" Type="http://schemas.openxmlformats.org/officeDocument/2006/relationships/hyperlink" Target="https://old.ukr-mobil.com/korpus_lenovo_a6000_white_zadnyaya_kryshka_6894" TargetMode="External"/><Relationship Id="rId_hyperlink_4360" Type="http://schemas.openxmlformats.org/officeDocument/2006/relationships/hyperlink" Target="https://old.ukr-mobil.com/korpus_lenovo_a7000_white_zadnyaya_kryshka_6896" TargetMode="External"/><Relationship Id="rId_hyperlink_4361" Type="http://schemas.openxmlformats.org/officeDocument/2006/relationships/hyperlink" Target="https://old.ukr-mobil.com/korpus_lenovo_s580_black_zadnyaya_kryshka_6891" TargetMode="External"/><Relationship Id="rId_hyperlink_4362" Type="http://schemas.openxmlformats.org/officeDocument/2006/relationships/hyperlink" Target="https://old.ukr-mobil.com/korpus_lenovo_s580_white_zadnyaya_kryshka_6892" TargetMode="External"/><Relationship Id="rId_hyperlink_4363" Type="http://schemas.openxmlformats.org/officeDocument/2006/relationships/hyperlink" Target="https://old.ukr-mobil.com/korpus_lenovo_s820_black_zadnyaya_kryshka_6901" TargetMode="External"/><Relationship Id="rId_hyperlink_4364" Type="http://schemas.openxmlformats.org/officeDocument/2006/relationships/hyperlink" Target="https://old.ukr-mobil.com/korpus_lenovo_s820_white_zadnyaya_kryshka_6902" TargetMode="External"/><Relationship Id="rId_hyperlink_4365" Type="http://schemas.openxmlformats.org/officeDocument/2006/relationships/hyperlink" Target="https://old.ukr-mobil.com/korpus_lenovo_s850_black_zadnyaya_kryshka_6906" TargetMode="External"/><Relationship Id="rId_hyperlink_4366" Type="http://schemas.openxmlformats.org/officeDocument/2006/relationships/hyperlink" Target="https://old.ukr-mobil.com/korpus_lenovo_s850_white_zadnyaya_kryshka_6907" TargetMode="External"/><Relationship Id="rId_hyperlink_4367" Type="http://schemas.openxmlformats.org/officeDocument/2006/relationships/hyperlink" Target="https://old.ukr-mobil.com/korpus_microsoft_640_lumia_zadnyaya_kryshka_high_copy_white_8805" TargetMode="External"/><Relationship Id="rId_hyperlink_4368" Type="http://schemas.openxmlformats.org/officeDocument/2006/relationships/hyperlink" Target="https://old.ukr-mobil.com/korpus_original_lg_e975_optimus_g_4490" TargetMode="External"/><Relationship Id="rId_hyperlink_4369" Type="http://schemas.openxmlformats.org/officeDocument/2006/relationships/hyperlink" Target="https://old.ukr-mobil.com/korpus_samsung_a500_galaxy_a5_high_copy_gold_8650" TargetMode="External"/><Relationship Id="rId_hyperlink_4370" Type="http://schemas.openxmlformats.org/officeDocument/2006/relationships/hyperlink" Target="https://old.ukr-mobil.com/korpus_samsung_a500_galaxy_a5_high_copy_white_6037" TargetMode="External"/><Relationship Id="rId_hyperlink_4371" Type="http://schemas.openxmlformats.org/officeDocument/2006/relationships/hyperlink" Target="https://old.ukr-mobil.com/korpus_samsung_a720_galaxy_a7_2017_zadnyaya_krishka_high_copy_black_9287" TargetMode="External"/><Relationship Id="rId_hyperlink_4372" Type="http://schemas.openxmlformats.org/officeDocument/2006/relationships/hyperlink" Target="https://old.ukr-mobil.com/korpus_samsung_a720_galaxy_a7_2017_zadnyaya_krishka_high_copy_gold_9288" TargetMode="External"/><Relationship Id="rId_hyperlink_4373" Type="http://schemas.openxmlformats.org/officeDocument/2006/relationships/hyperlink" Target="https://old.ukr-mobil.com/korpus_samsung_g360_galaxy_core_prime_zadnyaya_krishka_high_copy_black_8710" TargetMode="External"/><Relationship Id="rId_hyperlink_4374" Type="http://schemas.openxmlformats.org/officeDocument/2006/relationships/hyperlink" Target="https://old.ukr-mobil.com/korpus_samsung_g360_galaxy_core_prime_zadnyaya_krishka_high_copy_white_8711" TargetMode="External"/><Relationship Id="rId_hyperlink_4375" Type="http://schemas.openxmlformats.org/officeDocument/2006/relationships/hyperlink" Target="https://old.ukr-mobil.com/korpus_samsung_g530_galaxy_grand_prime_zadnyaya_krishka_high_copy_white_6056" TargetMode="External"/><Relationship Id="rId_hyperlink_4376" Type="http://schemas.openxmlformats.org/officeDocument/2006/relationships/hyperlink" Target="https://old.ukr-mobil.com/korpus_samsung_g800_galaxy_s5_mini_zadnyaya_kryshka_high_copy_black_6053" TargetMode="External"/><Relationship Id="rId_hyperlink_4377" Type="http://schemas.openxmlformats.org/officeDocument/2006/relationships/hyperlink" Target="https://old.ukr-mobil.com/korpus_samsung_g800_galaxy_s5_mini_zadnyaya_kryshka_high_copy_blue_6173" TargetMode="External"/><Relationship Id="rId_hyperlink_4378" Type="http://schemas.openxmlformats.org/officeDocument/2006/relationships/hyperlink" Target="https://old.ukr-mobil.com/korpus_samsung_g800_galaxy_s5_mini_zadnyaya_kryshka_high_copy_gold_6172" TargetMode="External"/><Relationship Id="rId_hyperlink_4379" Type="http://schemas.openxmlformats.org/officeDocument/2006/relationships/hyperlink" Target="https://old.ukr-mobil.com/korpus_samsung_g800_galaxy_s5_mini_zadnyaya_kryshka_high_copy_white_6054" TargetMode="External"/><Relationship Id="rId_hyperlink_4380" Type="http://schemas.openxmlformats.org/officeDocument/2006/relationships/hyperlink" Target="https://old.ukr-mobil.com/korpus_samsung_j700_galaxy_j7_zadnyaya_krishka_high_copy_white_9292" TargetMode="External"/><Relationship Id="rId_hyperlink_4381" Type="http://schemas.openxmlformats.org/officeDocument/2006/relationships/hyperlink" Target="https://old.ukr-mobil.com/korpus_samsung_n920_galaxy_note_5_zadnyaya_kryshka_high_copy_black_8717" TargetMode="External"/><Relationship Id="rId_hyperlink_4382" Type="http://schemas.openxmlformats.org/officeDocument/2006/relationships/hyperlink" Target="https://old.ukr-mobil.com/korpus_samsung_n920_galaxy_note_5_zadnyaya_kryshka_high_copy_gold_8813" TargetMode="External"/><Relationship Id="rId_hyperlink_4383" Type="http://schemas.openxmlformats.org/officeDocument/2006/relationships/hyperlink" Target="https://old.ukr-mobil.com/korpus_samsung_n920_galaxy_note_5_zadnyaya_kryshka_high_copy_white_8718" TargetMode="External"/><Relationship Id="rId_hyperlink_4384" Type="http://schemas.openxmlformats.org/officeDocument/2006/relationships/hyperlink" Target="https://old.ukr-mobil.com/korpus_sony_c6802_xl39h_xperia_z_ultra_black_zadnyaya_kryshka_6805" TargetMode="External"/><Relationship Id="rId_hyperlink_4385" Type="http://schemas.openxmlformats.org/officeDocument/2006/relationships/hyperlink" Target="https://old.ukr-mobil.com/korpus_sony_e2312_xperia_m4_aqua_dual_black_zadnyaya_kryshka_7632" TargetMode="External"/><Relationship Id="rId_hyperlink_4386" Type="http://schemas.openxmlformats.org/officeDocument/2006/relationships/hyperlink" Target="https://old.ukr-mobil.com/korpus_sony_e2312_xperia_m4_aqua_dual_white_zadnyaya_kryshka_7633" TargetMode="External"/><Relationship Id="rId_hyperlink_4387" Type="http://schemas.openxmlformats.org/officeDocument/2006/relationships/hyperlink" Target="https://old.ukr-mobil.com/ramka_displeya_google_pixel_3a_black_10004088" TargetMode="External"/><Relationship Id="rId_hyperlink_4388" Type="http://schemas.openxmlformats.org/officeDocument/2006/relationships/hyperlink" Target="https://old.ukr-mobil.com/ramka_displeya_google_pixel_4_xl_black_10004064" TargetMode="External"/><Relationship Id="rId_hyperlink_4389" Type="http://schemas.openxmlformats.org/officeDocument/2006/relationships/hyperlink" Target="https://old.ukr-mobil.com/ramka_displeya_google_pixel_4_black_10004065" TargetMode="External"/><Relationship Id="rId_hyperlink_4390" Type="http://schemas.openxmlformats.org/officeDocument/2006/relationships/hyperlink" Target="https://old.ukr-mobil.com/ramka_displeya_huawei_honor_10_lite_hry-lx1_honor_10i_hry-lx1t_i_black_10003734" TargetMode="External"/><Relationship Id="rId_hyperlink_4391" Type="http://schemas.openxmlformats.org/officeDocument/2006/relationships/hyperlink" Target="https://old.ukr-mobil.com/ramka_displeya_huawei_honor_10_lite_hry-lx1_honor_10i_hry-lx1t_i_blue_10003736" TargetMode="External"/><Relationship Id="rId_hyperlink_4392" Type="http://schemas.openxmlformats.org/officeDocument/2006/relationships/hyperlink" Target="https://old.ukr-mobil.com/ramka_displeya_huawei_honor_20_yal-l21_nova_5t_black_10003737" TargetMode="External"/><Relationship Id="rId_hyperlink_4393" Type="http://schemas.openxmlformats.org/officeDocument/2006/relationships/hyperlink" Target="https://old.ukr-mobil.com/ramka_displeya_huawei_honor_20_pro_black_10003973" TargetMode="External"/><Relationship Id="rId_hyperlink_4394" Type="http://schemas.openxmlformats.org/officeDocument/2006/relationships/hyperlink" Target="https://old.ukr-mobil.com/ramka_displeya_huawei_honor_20_pro_blue_10003974" TargetMode="External"/><Relationship Id="rId_hyperlink_4395" Type="http://schemas.openxmlformats.org/officeDocument/2006/relationships/hyperlink" Target="https://old.ukr-mobil.com/ramka_displeya_huawei_honor_8a_jat-lx1_jat-l29_8a_pro_y6_2019_mrd-lx1_y6_prime_2019_y6s_2019_jat-l41_10004021" TargetMode="External"/><Relationship Id="rId_hyperlink_4396" Type="http://schemas.openxmlformats.org/officeDocument/2006/relationships/hyperlink" Target="https://old.ukr-mobil.com/ramka_displeya_huawei_honor_8x_jsn-l21_jsn-al00_black_10004084" TargetMode="External"/><Relationship Id="rId_hyperlink_4397" Type="http://schemas.openxmlformats.org/officeDocument/2006/relationships/hyperlink" Target="https://old.ukr-mobil.com/ramka_displeya_huawei_honor_8x_jsn-l21_jsn-al00_blue_10004085" TargetMode="External"/><Relationship Id="rId_hyperlink_4398" Type="http://schemas.openxmlformats.org/officeDocument/2006/relationships/hyperlink" Target="https://old.ukr-mobil.com/ramka_displeya_huawei_nova_8i_nen-lx1_nen-l22_honor_50_lite_honor_x20_ntn-l22_black_10004201" TargetMode="External"/><Relationship Id="rId_hyperlink_4399" Type="http://schemas.openxmlformats.org/officeDocument/2006/relationships/hyperlink" Target="https://old.ukr-mobil.com/ramka_displeya_huawei_p_smart_2019_pot-lx3_pot-lx1_pot-al00_10003968" TargetMode="External"/><Relationship Id="rId_hyperlink_4400" Type="http://schemas.openxmlformats.org/officeDocument/2006/relationships/hyperlink" Target="https://old.ukr-mobil.com/ramka_displeya_huawei_p_smart_2021_ppa-lx2_y7a_honor_10x_lite_black_10003967" TargetMode="External"/><Relationship Id="rId_hyperlink_4401" Type="http://schemas.openxmlformats.org/officeDocument/2006/relationships/hyperlink" Target="https://old.ukr-mobil.com/ramka_displeya_huawei_p_smart_s_2020_y8p_aqm-lx1_blue_10003972" TargetMode="External"/><Relationship Id="rId_hyperlink_4402" Type="http://schemas.openxmlformats.org/officeDocument/2006/relationships/hyperlink" Target="https://old.ukr-mobil.com/ramka_displeya_huawei_p_smart_z_y9_prime_2019_y9s_honor_9x_stk-lx1_stk-l21_stk-l22_black_10003962" TargetMode="External"/><Relationship Id="rId_hyperlink_4403" Type="http://schemas.openxmlformats.org/officeDocument/2006/relationships/hyperlink" Target="https://old.ukr-mobil.com/ramka_displeya_huawei_p_smart_z_y9_prime_2019_y9s_honor_9x_stk-lx1_stk-l21_stk-l22_green_10003961" TargetMode="External"/><Relationship Id="rId_hyperlink_4404" Type="http://schemas.openxmlformats.org/officeDocument/2006/relationships/hyperlink" Target="https://old.ukr-mobil.com/ramka_displeya_huawei_p20_pro_black_10004068" TargetMode="External"/><Relationship Id="rId_hyperlink_4405" Type="http://schemas.openxmlformats.org/officeDocument/2006/relationships/hyperlink" Target="https://old.ukr-mobil.com/ramka_displeya_huawei_p30_ele-l29_ele-l09_ele-l04_ele-al00_black_10003963" TargetMode="External"/><Relationship Id="rId_hyperlink_4406" Type="http://schemas.openxmlformats.org/officeDocument/2006/relationships/hyperlink" Target="https://old.ukr-mobil.com/ramka_displeya_huawei_p30_lite_nova_4e_mar-l21_lx2_lx1m_black_10003964" TargetMode="External"/><Relationship Id="rId_hyperlink_4407" Type="http://schemas.openxmlformats.org/officeDocument/2006/relationships/hyperlink" Target="https://old.ukr-mobil.com/ramka_displeya_huawei_p30_pro_black_10004067" TargetMode="External"/><Relationship Id="rId_hyperlink_4408" Type="http://schemas.openxmlformats.org/officeDocument/2006/relationships/hyperlink" Target="https://old.ukr-mobil.com/ramka_displeya_huawei_p40_lite_jny-lx1_nova_5i_glk-lx1_nova_7i_jny-lx2_nova_6_se_black_10003975" TargetMode="External"/><Relationship Id="rId_hyperlink_4409" Type="http://schemas.openxmlformats.org/officeDocument/2006/relationships/hyperlink" Target="https://old.ukr-mobil.com/ramka_displeya_huawei_p40_lite_jny-lx1_nova_5i_glk-lx1_nova_7i_jny-lx2_nova_6_se_green_10003976" TargetMode="External"/><Relationship Id="rId_hyperlink_4410" Type="http://schemas.openxmlformats.org/officeDocument/2006/relationships/hyperlink" Target="https://old.ukr-mobil.com/ramka_displeya_huawei_p40_lite_e_art-l28_art-l29_y7p_2020_honor_9c_black_10003970" TargetMode="External"/><Relationship Id="rId_hyperlink_4411" Type="http://schemas.openxmlformats.org/officeDocument/2006/relationships/hyperlink" Target="https://old.ukr-mobil.com/ramka_displeya_huawei_p40_lite_e_art-l28_art-l29_y7p_2020_honor_9c_blue_10003971" TargetMode="External"/><Relationship Id="rId_hyperlink_4412" Type="http://schemas.openxmlformats.org/officeDocument/2006/relationships/hyperlink" Target="https://old.ukr-mobil.com/ramka_displeya_huawei_p40_pro_black_10004086" TargetMode="External"/><Relationship Id="rId_hyperlink_4413" Type="http://schemas.openxmlformats.org/officeDocument/2006/relationships/hyperlink" Target="https://old.ukr-mobil.com/ramka_displeya_huawei_p40_black_10004066" TargetMode="External"/><Relationship Id="rId_hyperlink_4414" Type="http://schemas.openxmlformats.org/officeDocument/2006/relationships/hyperlink" Target="https://old.ukr-mobil.com/ramka_displeya_huawei_y5_2019_y5_prime_2019_honor_8s_amn-lx1_lx2_lx3_lx9_kse-lx9_ksa-lx9_10003969" TargetMode="External"/><Relationship Id="rId_hyperlink_4415" Type="http://schemas.openxmlformats.org/officeDocument/2006/relationships/hyperlink" Target="https://old.ukr-mobil.com/ramka_displeya_huawei_y5p_2020_dra-lx9_honor_9s_dua-lx9_black_10003965" TargetMode="External"/><Relationship Id="rId_hyperlink_4416" Type="http://schemas.openxmlformats.org/officeDocument/2006/relationships/hyperlink" Target="https://old.ukr-mobil.com/ramka_displeya_huawei_y5p_2020_dra-lx9_honor_9s_dua-lx9_white_10003966" TargetMode="External"/><Relationship Id="rId_hyperlink_4417" Type="http://schemas.openxmlformats.org/officeDocument/2006/relationships/hyperlink" Target="https://old.ukr-mobil.com/ramka_displeya_huawei_y6p_2020_honor_9a_med-l29_lx9_lx9n_l29n_moa-lx9_lx9n_10004008" TargetMode="External"/><Relationship Id="rId_hyperlink_4418" Type="http://schemas.openxmlformats.org/officeDocument/2006/relationships/hyperlink" Target="https://old.ukr-mobil.com/ramka_displeya_huawei_y7_2019_dub-lx3_dub-l23_dub-lx1_y7_prime_2019_y7_pro_2019_10004012" TargetMode="External"/><Relationship Id="rId_hyperlink_4419" Type="http://schemas.openxmlformats.org/officeDocument/2006/relationships/hyperlink" Target="https://old.ukr-mobil.com/ramka_displeya_motorola_e20_xt2155_e30_xt2159_black_10003821" TargetMode="External"/><Relationship Id="rId_hyperlink_4420" Type="http://schemas.openxmlformats.org/officeDocument/2006/relationships/hyperlink" Target="https://old.ukr-mobil.com/ramka_displeya_motorola_e6s_xt2053_black_10003822" TargetMode="External"/><Relationship Id="rId_hyperlink_4421" Type="http://schemas.openxmlformats.org/officeDocument/2006/relationships/hyperlink" Target="https://old.ukr-mobil.com/ramka_displeya_motorola_e7_xt2095_black_10003823" TargetMode="External"/><Relationship Id="rId_hyperlink_4422" Type="http://schemas.openxmlformats.org/officeDocument/2006/relationships/hyperlink" Target="https://old.ukr-mobil.com/ramka_displeya_motorola_e7_power_xt2097_black_10003824" TargetMode="External"/><Relationship Id="rId_hyperlink_4423" Type="http://schemas.openxmlformats.org/officeDocument/2006/relationships/hyperlink" Target="https://old.ukr-mobil.com/ramka_displeya_motorola_g10_xt2127_g20_xt2128_black_10003825" TargetMode="External"/><Relationship Id="rId_hyperlink_4424" Type="http://schemas.openxmlformats.org/officeDocument/2006/relationships/hyperlink" Target="https://old.ukr-mobil.com/ramka_displeya_motorola_g22_xt2231_black_10003832" TargetMode="External"/><Relationship Id="rId_hyperlink_4425" Type="http://schemas.openxmlformats.org/officeDocument/2006/relationships/hyperlink" Target="https://old.ukr-mobil.com/index.php?route=product&amp;product_id=10004784" TargetMode="External"/><Relationship Id="rId_hyperlink_4426" Type="http://schemas.openxmlformats.org/officeDocument/2006/relationships/hyperlink" Target="https://old.ukr-mobil.com/ramka_displeya_motorola_g60_xt2135-2_xt2135_g40_fusion_black_10003833" TargetMode="External"/><Relationship Id="rId_hyperlink_4427" Type="http://schemas.openxmlformats.org/officeDocument/2006/relationships/hyperlink" Target="https://old.ukr-mobil.com/ramka_displeya_motorola_g8_xt2045_black_10003834" TargetMode="External"/><Relationship Id="rId_hyperlink_4428" Type="http://schemas.openxmlformats.org/officeDocument/2006/relationships/hyperlink" Target="https://old.ukr-mobil.com/ramka_displeya_motorola_g8_play_xt2015_black_onyx_10003835" TargetMode="External"/><Relationship Id="rId_hyperlink_4429" Type="http://schemas.openxmlformats.org/officeDocument/2006/relationships/hyperlink" Target="https://old.ukr-mobil.com/ramka_displeya_motorola_g8_play_xt2015_magenta_red_10003836" TargetMode="External"/><Relationship Id="rId_hyperlink_4430" Type="http://schemas.openxmlformats.org/officeDocument/2006/relationships/hyperlink" Target="https://old.ukr-mobil.com/ramka_displeya_motorola_g8_plus_xt2019_cosmic_blue_10003837" TargetMode="External"/><Relationship Id="rId_hyperlink_4431" Type="http://schemas.openxmlformats.org/officeDocument/2006/relationships/hyperlink" Target="https://old.ukr-mobil.com/ramka_displeya_motorola_g8_plus_xt2019_crystal_pink_10003838" TargetMode="External"/><Relationship Id="rId_hyperlink_4432" Type="http://schemas.openxmlformats.org/officeDocument/2006/relationships/hyperlink" Target="https://old.ukr-mobil.com/ramka_displeya_motorola_g8_power_xt2041-1_xt2041-3_capri_blue_10003840" TargetMode="External"/><Relationship Id="rId_hyperlink_4433" Type="http://schemas.openxmlformats.org/officeDocument/2006/relationships/hyperlink" Target="https://old.ukr-mobil.com/ramka_displeya_motorola_g8_power_xt2041-1_xt2041-3_smoke_black_10003839" TargetMode="External"/><Relationship Id="rId_hyperlink_4434" Type="http://schemas.openxmlformats.org/officeDocument/2006/relationships/hyperlink" Target="https://old.ukr-mobil.com/ramka_displeya_motorola_g8_power_lite_xt2055_black_10003843" TargetMode="External"/><Relationship Id="rId_hyperlink_4435" Type="http://schemas.openxmlformats.org/officeDocument/2006/relationships/hyperlink" Target="https://old.ukr-mobil.com/ramka_displeya_motorola_g9_plus_xt2087_black_10003844" TargetMode="External"/><Relationship Id="rId_hyperlink_4436" Type="http://schemas.openxmlformats.org/officeDocument/2006/relationships/hyperlink" Target="https://old.ukr-mobil.com/ramka_displeya_motorola_one_action_xt2013-2_blue_10003841" TargetMode="External"/><Relationship Id="rId_hyperlink_4437" Type="http://schemas.openxmlformats.org/officeDocument/2006/relationships/hyperlink" Target="https://old.ukr-mobil.com/ramka_displeya_motorola_one_action_xt2013-2_white_10003842" TargetMode="External"/><Relationship Id="rId_hyperlink_4438" Type="http://schemas.openxmlformats.org/officeDocument/2006/relationships/hyperlink" Target="https://old.ukr-mobil.com/ramka_displeya_nokia_2_3_ta-1211_ta-1214_ta-1206_ta-1209_black_10003855" TargetMode="External"/><Relationship Id="rId_hyperlink_4439" Type="http://schemas.openxmlformats.org/officeDocument/2006/relationships/hyperlink" Target="https://old.ukr-mobil.com/ramka_displeya_nokia_3_1_plus_ta-1104_ta-1113_ta-1117_ta-1118_ta-1124_ta-1125_black_10003857" TargetMode="External"/><Relationship Id="rId_hyperlink_4440" Type="http://schemas.openxmlformats.org/officeDocument/2006/relationships/hyperlink" Target="https://old.ukr-mobil.com/ramka_displeya_nokia_3_2_ta-1156_ta-1164_black_10003858" TargetMode="External"/><Relationship Id="rId_hyperlink_4441" Type="http://schemas.openxmlformats.org/officeDocument/2006/relationships/hyperlink" Target="https://old.ukr-mobil.com/ramka_displeya_nokia_3_4_ta-1283_black_10003860" TargetMode="External"/><Relationship Id="rId_hyperlink_4442" Type="http://schemas.openxmlformats.org/officeDocument/2006/relationships/hyperlink" Target="https://old.ukr-mobil.com/ramka_displeya_nokia_6_2_ta-1187_ta-1198_ta-1200_nokia_7_2_ta-1178_ta-1181_ta-1193_black_10004081" TargetMode="External"/><Relationship Id="rId_hyperlink_4443" Type="http://schemas.openxmlformats.org/officeDocument/2006/relationships/hyperlink" Target="https://old.ukr-mobil.com/ramka_displeya_nokia_6_2_ta-1187_ta-1198_ta-1200_nokia_7_2_ta-1178_ta-1181_ta-1193_silver_10004082" TargetMode="External"/><Relationship Id="rId_hyperlink_4444" Type="http://schemas.openxmlformats.org/officeDocument/2006/relationships/hyperlink" Target="https://old.ukr-mobil.com/ramka_displeya_nokia_7_plus_ta-1046_ta-1055_black_10003861" TargetMode="External"/><Relationship Id="rId_hyperlink_4445" Type="http://schemas.openxmlformats.org/officeDocument/2006/relationships/hyperlink" Target="https://old.ukr-mobil.com/ramka_displeya_nokia_c21_plus_ta-1424_black_10003859" TargetMode="External"/><Relationship Id="rId_hyperlink_4446" Type="http://schemas.openxmlformats.org/officeDocument/2006/relationships/hyperlink" Target="https://old.ukr-mobil.com/ramka_displeya_nokia_c30_ta-1357_ta-1377_ta-1369_ta-1360_ta-1359_black_10003856" TargetMode="External"/><Relationship Id="rId_hyperlink_4447" Type="http://schemas.openxmlformats.org/officeDocument/2006/relationships/hyperlink" Target="https://old.ukr-mobil.com/ramka_displeya_oneplus_9_astral_black_10004094" TargetMode="External"/><Relationship Id="rId_hyperlink_4448" Type="http://schemas.openxmlformats.org/officeDocument/2006/relationships/hyperlink" Target="https://old.ukr-mobil.com/ramka_displeya_oppo_a12_a12s_a5s_a7_realme_3_realme_3i_10004014" TargetMode="External"/><Relationship Id="rId_hyperlink_4449" Type="http://schemas.openxmlformats.org/officeDocument/2006/relationships/hyperlink" Target="https://old.ukr-mobil.com/ramka_displeya_oppo_a15_2020_a15s_10004013" TargetMode="External"/><Relationship Id="rId_hyperlink_4450" Type="http://schemas.openxmlformats.org/officeDocument/2006/relationships/hyperlink" Target="https://old.ukr-mobil.com/ramka_displeya_oppo_a31_a31_2020_a8_10004015" TargetMode="External"/><Relationship Id="rId_hyperlink_4451" Type="http://schemas.openxmlformats.org/officeDocument/2006/relationships/hyperlink" Target="https://old.ukr-mobil.com/ramka_displeya_oppo_a32_2020_a53_4g_10004016" TargetMode="External"/><Relationship Id="rId_hyperlink_4452" Type="http://schemas.openxmlformats.org/officeDocument/2006/relationships/hyperlink" Target="https://old.ukr-mobil.com/ramka_displeya_oppo_a5_2020_a9_2020_10004508" TargetMode="External"/><Relationship Id="rId_hyperlink_4453" Type="http://schemas.openxmlformats.org/officeDocument/2006/relationships/hyperlink" Target="https://old.ukr-mobil.com/ramka_displeya_oppo_a52_a72_a92_10003991" TargetMode="External"/><Relationship Id="rId_hyperlink_4454" Type="http://schemas.openxmlformats.org/officeDocument/2006/relationships/hyperlink" Target="https://old.ukr-mobil.com/ramka_displeya_oppo_a54_4g_10003997" TargetMode="External"/><Relationship Id="rId_hyperlink_4455" Type="http://schemas.openxmlformats.org/officeDocument/2006/relationships/hyperlink" Target="https://old.ukr-mobil.com/ramka_displeya_oppo_a55_5g_10004507" TargetMode="External"/><Relationship Id="rId_hyperlink_4456" Type="http://schemas.openxmlformats.org/officeDocument/2006/relationships/hyperlink" Target="https://old.ukr-mobil.com/ramka_displeya_oppo_realme_8_realme_8_pro_10004020" TargetMode="External"/><Relationship Id="rId_hyperlink_4457" Type="http://schemas.openxmlformats.org/officeDocument/2006/relationships/hyperlink" Target="https://old.ukr-mobil.com/ramka_displeya_oppo_realme_8i_10003959" TargetMode="External"/><Relationship Id="rId_hyperlink_4458" Type="http://schemas.openxmlformats.org/officeDocument/2006/relationships/hyperlink" Target="https://old.ukr-mobil.com/ramka_displeya_oppo_realme_c11_2021_realme_c20_realme_c20a_realme_c21_10003977" TargetMode="External"/><Relationship Id="rId_hyperlink_4459" Type="http://schemas.openxmlformats.org/officeDocument/2006/relationships/hyperlink" Target="https://old.ukr-mobil.com/ramka_displeya_oppo_reno_5_lite_10004303" TargetMode="External"/><Relationship Id="rId_hyperlink_4460" Type="http://schemas.openxmlformats.org/officeDocument/2006/relationships/hyperlink" Target="https://old.ukr-mobil.com/ramka_displeya_realme_c21y_realme_c25y_10004001" TargetMode="External"/><Relationship Id="rId_hyperlink_4461" Type="http://schemas.openxmlformats.org/officeDocument/2006/relationships/hyperlink" Target="https://old.ukr-mobil.com/ramka_displeya_samsung_a022_galaxy_a02_10004114" TargetMode="External"/><Relationship Id="rId_hyperlink_4462" Type="http://schemas.openxmlformats.org/officeDocument/2006/relationships/hyperlink" Target="https://old.ukr-mobil.com/ramka_displeya_samsung_a025_galaxy_a02s_a035_galaxy_a03_vysota_160_5_mm_10004026" TargetMode="External"/><Relationship Id="rId_hyperlink_4463" Type="http://schemas.openxmlformats.org/officeDocument/2006/relationships/hyperlink" Target="https://old.ukr-mobil.com/ramka_displeya_samsung_a032_galaxy_a03_core_10004091" TargetMode="External"/><Relationship Id="rId_hyperlink_4464" Type="http://schemas.openxmlformats.org/officeDocument/2006/relationships/hyperlink" Target="https://old.ukr-mobil.com/ramka_displeya_samsung_a037_galaxy_a03s_10004100" TargetMode="External"/><Relationship Id="rId_hyperlink_4465" Type="http://schemas.openxmlformats.org/officeDocument/2006/relationships/hyperlink" Target="https://old.ukr-mobil.com/ramka_displeya_samsung_a042_galaxy_a04e_10003957" TargetMode="External"/><Relationship Id="rId_hyperlink_4466" Type="http://schemas.openxmlformats.org/officeDocument/2006/relationships/hyperlink" Target="https://old.ukr-mobil.com/ramka_displeya_samsung_a045_galaxy_a04_10004101" TargetMode="External"/><Relationship Id="rId_hyperlink_4467" Type="http://schemas.openxmlformats.org/officeDocument/2006/relationships/hyperlink" Target="https://old.ukr-mobil.com/ramka_displeya_samsung_a047_galaxy_a04s_10004198" TargetMode="External"/><Relationship Id="rId_hyperlink_4468" Type="http://schemas.openxmlformats.org/officeDocument/2006/relationships/hyperlink" Target="https://old.ukr-mobil.com/ramka_displeya_samsung_a105_galaxy_a10_10004124" TargetMode="External"/><Relationship Id="rId_hyperlink_4469" Type="http://schemas.openxmlformats.org/officeDocument/2006/relationships/hyperlink" Target="https://old.ukr-mobil.com/ramka_displeya_samsung_a107_galaxy_a10s_10004125" TargetMode="External"/><Relationship Id="rId_hyperlink_4470" Type="http://schemas.openxmlformats.org/officeDocument/2006/relationships/hyperlink" Target="https://old.ukr-mobil.com/ramka_displeya_samsung_a115_galaxy_a11_m115_galaxy_m11_10004200" TargetMode="External"/><Relationship Id="rId_hyperlink_4471" Type="http://schemas.openxmlformats.org/officeDocument/2006/relationships/hyperlink" Target="https://old.ukr-mobil.com/ramka_displeya_samsung_a125_galaxy_a12_a127_galaxy_a12_10004115" TargetMode="External"/><Relationship Id="rId_hyperlink_4472" Type="http://schemas.openxmlformats.org/officeDocument/2006/relationships/hyperlink" Target="https://old.ukr-mobil.com/ramka_displeya_samsung_a135_galaxy_a13_black_10004113" TargetMode="External"/><Relationship Id="rId_hyperlink_4473" Type="http://schemas.openxmlformats.org/officeDocument/2006/relationships/hyperlink" Target="https://old.ukr-mobil.com/index.php?route=product&amp;product_id=10004774" TargetMode="External"/><Relationship Id="rId_hyperlink_4474" Type="http://schemas.openxmlformats.org/officeDocument/2006/relationships/hyperlink" Target="https://old.ukr-mobil.com/ramka_displeya_samsung_a205_galaxy_a20_black_10004122" TargetMode="External"/><Relationship Id="rId_hyperlink_4475" Type="http://schemas.openxmlformats.org/officeDocument/2006/relationships/hyperlink" Target="https://old.ukr-mobil.com/ramka_displeya_samsung_a207_galaxy_a20s_10004209" TargetMode="External"/><Relationship Id="rId_hyperlink_4476" Type="http://schemas.openxmlformats.org/officeDocument/2006/relationships/hyperlink" Target="https://old.ukr-mobil.com/ramka_displeya_samsung_a215_galaxy_a21_10004112" TargetMode="External"/><Relationship Id="rId_hyperlink_4477" Type="http://schemas.openxmlformats.org/officeDocument/2006/relationships/hyperlink" Target="https://old.ukr-mobil.com/ramka_displeya_samsung_a217_galaxy_a21s_10004210" TargetMode="External"/><Relationship Id="rId_hyperlink_4478" Type="http://schemas.openxmlformats.org/officeDocument/2006/relationships/hyperlink" Target="https://old.ukr-mobil.com/ramka_displeya_samsung_a225_galaxy_a22_black_10004123" TargetMode="External"/><Relationship Id="rId_hyperlink_4479" Type="http://schemas.openxmlformats.org/officeDocument/2006/relationships/hyperlink" Target="https://old.ukr-mobil.com/ramka_displeya_samsung_a226_galaxy_a22_5g_black_10004207" TargetMode="External"/><Relationship Id="rId_hyperlink_4480" Type="http://schemas.openxmlformats.org/officeDocument/2006/relationships/hyperlink" Target="https://old.ukr-mobil.com/ramka_displeya_samsung_a235_galaxy_a23_10004118" TargetMode="External"/><Relationship Id="rId_hyperlink_4481" Type="http://schemas.openxmlformats.org/officeDocument/2006/relationships/hyperlink" Target="https://old.ukr-mobil.com/ramka_displeya_samsung_a305_galaxy_a30_10004208" TargetMode="External"/><Relationship Id="rId_hyperlink_4482" Type="http://schemas.openxmlformats.org/officeDocument/2006/relationships/hyperlink" Target="https://old.ukr-mobil.com/ramka_displeya_samsung_a307_galaxy_a30s_10004170" TargetMode="External"/><Relationship Id="rId_hyperlink_4483" Type="http://schemas.openxmlformats.org/officeDocument/2006/relationships/hyperlink" Target="https://old.ukr-mobil.com/ramka_displeya_samsung_a315_galaxy_a31_10004199" TargetMode="External"/><Relationship Id="rId_hyperlink_4484" Type="http://schemas.openxmlformats.org/officeDocument/2006/relationships/hyperlink" Target="https://old.ukr-mobil.com/ramka_displeya_samsung_a325_galaxy_a32_10004197" TargetMode="External"/><Relationship Id="rId_hyperlink_4485" Type="http://schemas.openxmlformats.org/officeDocument/2006/relationships/hyperlink" Target="https://old.ukr-mobil.com/ramka_displeya_samsung_a326_galaxy_a32_5g_10004117" TargetMode="External"/><Relationship Id="rId_hyperlink_4486" Type="http://schemas.openxmlformats.org/officeDocument/2006/relationships/hyperlink" Target="https://old.ukr-mobil.com/ramka_displeya_samsung_a336_galaxy_a33_black_10004169" TargetMode="External"/><Relationship Id="rId_hyperlink_4487" Type="http://schemas.openxmlformats.org/officeDocument/2006/relationships/hyperlink" Target="https://old.ukr-mobil.com/index.php?route=product&amp;product_id=10004778" TargetMode="External"/><Relationship Id="rId_hyperlink_4488" Type="http://schemas.openxmlformats.org/officeDocument/2006/relationships/hyperlink" Target="https://old.ukr-mobil.com/ramka_displeya_samsung_a505_galaxy_a50_black_10004120" TargetMode="External"/><Relationship Id="rId_hyperlink_4489" Type="http://schemas.openxmlformats.org/officeDocument/2006/relationships/hyperlink" Target="https://old.ukr-mobil.com/ramka_displeya_samsung_a515_galaxy_a51_10004111" TargetMode="External"/><Relationship Id="rId_hyperlink_4490" Type="http://schemas.openxmlformats.org/officeDocument/2006/relationships/hyperlink" Target="https://old.ukr-mobil.com/ramka_displeya_samsung_a525_galaxy_a52_black_10004107" TargetMode="External"/><Relationship Id="rId_hyperlink_4491" Type="http://schemas.openxmlformats.org/officeDocument/2006/relationships/hyperlink" Target="https://old.ukr-mobil.com/ramka_displeya_samsung_a525_galaxy_a52_blue_10004106" TargetMode="External"/><Relationship Id="rId_hyperlink_4492" Type="http://schemas.openxmlformats.org/officeDocument/2006/relationships/hyperlink" Target="https://old.ukr-mobil.com/ramka_displeya_samsung_a525_galaxy_a52_violet_10004109" TargetMode="External"/><Relationship Id="rId_hyperlink_4493" Type="http://schemas.openxmlformats.org/officeDocument/2006/relationships/hyperlink" Target="https://old.ukr-mobil.com/ramka_displeya_samsung_a525_galaxy_a52_white_10004108" TargetMode="External"/><Relationship Id="rId_hyperlink_4494" Type="http://schemas.openxmlformats.org/officeDocument/2006/relationships/hyperlink" Target="https://old.ukr-mobil.com/ramka_displeya_samsung_a536_galaxy_a53_5g_black_10004087" TargetMode="External"/><Relationship Id="rId_hyperlink_4495" Type="http://schemas.openxmlformats.org/officeDocument/2006/relationships/hyperlink" Target="https://old.ukr-mobil.com/ramka_displeya_samsung_a705_galaxy_a70_black_10004119" TargetMode="External"/><Relationship Id="rId_hyperlink_4496" Type="http://schemas.openxmlformats.org/officeDocument/2006/relationships/hyperlink" Target="https://old.ukr-mobil.com/ramka_displeya_samsung_a715_galaxy_a71_10004211" TargetMode="External"/><Relationship Id="rId_hyperlink_4497" Type="http://schemas.openxmlformats.org/officeDocument/2006/relationships/hyperlink" Target="https://old.ukr-mobil.com/ramka_displeya_samsung_a725_galaxy_a72_black_10004102" TargetMode="External"/><Relationship Id="rId_hyperlink_4498" Type="http://schemas.openxmlformats.org/officeDocument/2006/relationships/hyperlink" Target="https://old.ukr-mobil.com/ramka_displeya_samsung_a725_galaxy_a72_blue_10004103" TargetMode="External"/><Relationship Id="rId_hyperlink_4499" Type="http://schemas.openxmlformats.org/officeDocument/2006/relationships/hyperlink" Target="https://old.ukr-mobil.com/ramka_displeya_samsung_a725_galaxy_a72_violet_10004105" TargetMode="External"/><Relationship Id="rId_hyperlink_4500" Type="http://schemas.openxmlformats.org/officeDocument/2006/relationships/hyperlink" Target="https://old.ukr-mobil.com/ramka_displeya_samsung_a725_galaxy_a72_white_10004104" TargetMode="External"/><Relationship Id="rId_hyperlink_4501" Type="http://schemas.openxmlformats.org/officeDocument/2006/relationships/hyperlink" Target="https://old.ukr-mobil.com/ramka_displeya_samsung_a736_galaxy_a73_5g_gray_10004110" TargetMode="External"/><Relationship Id="rId_hyperlink_4502" Type="http://schemas.openxmlformats.org/officeDocument/2006/relationships/hyperlink" Target="https://old.ukr-mobil.com/ramka_displeya_samsung_g770_galaxy_s10_lite_black_10004027" TargetMode="External"/><Relationship Id="rId_hyperlink_4503" Type="http://schemas.openxmlformats.org/officeDocument/2006/relationships/hyperlink" Target="https://old.ukr-mobil.com/ramka_displeya_samsung_g780_galaxy_s20_fe_blue_10004146" TargetMode="External"/><Relationship Id="rId_hyperlink_4504" Type="http://schemas.openxmlformats.org/officeDocument/2006/relationships/hyperlink" Target="https://old.ukr-mobil.com/ramka_displeya_samsung_g950_galaxy_s8_black_10004032" TargetMode="External"/><Relationship Id="rId_hyperlink_4505" Type="http://schemas.openxmlformats.org/officeDocument/2006/relationships/hyperlink" Target="https://old.ukr-mobil.com/ramka_displeya_samsung_g955_galaxy_s8_plus_black_10004092" TargetMode="External"/><Relationship Id="rId_hyperlink_4506" Type="http://schemas.openxmlformats.org/officeDocument/2006/relationships/hyperlink" Target="https://old.ukr-mobil.com/ramka_displeya_samsung_g960_galaxy_s9_black_10004083" TargetMode="External"/><Relationship Id="rId_hyperlink_4507" Type="http://schemas.openxmlformats.org/officeDocument/2006/relationships/hyperlink" Target="https://old.ukr-mobil.com/ramka_displeya_samsung_g965_galaxy_s9_plus_black_10004095" TargetMode="External"/><Relationship Id="rId_hyperlink_4508" Type="http://schemas.openxmlformats.org/officeDocument/2006/relationships/hyperlink" Target="https://old.ukr-mobil.com/ramka_displeya_samsung_g973_galaxy_s10_black_10004037" TargetMode="External"/><Relationship Id="rId_hyperlink_4509" Type="http://schemas.openxmlformats.org/officeDocument/2006/relationships/hyperlink" Target="https://old.ukr-mobil.com/ramka_displeya_samsung_g975_galaxy_s10_plus_black_10004090" TargetMode="External"/><Relationship Id="rId_hyperlink_4510" Type="http://schemas.openxmlformats.org/officeDocument/2006/relationships/hyperlink" Target="https://old.ukr-mobil.com/ramka_displeya_samsung_g980_galaxy_s20_black_10004070" TargetMode="External"/><Relationship Id="rId_hyperlink_4511" Type="http://schemas.openxmlformats.org/officeDocument/2006/relationships/hyperlink" Target="https://old.ukr-mobil.com/ramka_displeya_samsung_g985_galaxy_s20_plus_black_10004099" TargetMode="External"/><Relationship Id="rId_hyperlink_4512" Type="http://schemas.openxmlformats.org/officeDocument/2006/relationships/hyperlink" Target="https://old.ukr-mobil.com/ramka_displeya_samsung_g988_galaxy_s20_ultra_black_10004035" TargetMode="External"/><Relationship Id="rId_hyperlink_4513" Type="http://schemas.openxmlformats.org/officeDocument/2006/relationships/hyperlink" Target="https://old.ukr-mobil.com/ramka_displeya_samsung_g991_galaxy_s21_phantom_grey_10004034" TargetMode="External"/><Relationship Id="rId_hyperlink_4514" Type="http://schemas.openxmlformats.org/officeDocument/2006/relationships/hyperlink" Target="https://old.ukr-mobil.com/ramka_displeya_samsung_g996_galaxy_s21_plus_phantom_black_10004098" TargetMode="External"/><Relationship Id="rId_hyperlink_4515" Type="http://schemas.openxmlformats.org/officeDocument/2006/relationships/hyperlink" Target="https://old.ukr-mobil.com/ramka_displeya_samsung_g998_galaxy_s21_ultra_phantom_black_10004069" TargetMode="External"/><Relationship Id="rId_hyperlink_4516" Type="http://schemas.openxmlformats.org/officeDocument/2006/relationships/hyperlink" Target="https://old.ukr-mobil.com/index.php?route=product&amp;product_id=10004779" TargetMode="External"/><Relationship Id="rId_hyperlink_4517" Type="http://schemas.openxmlformats.org/officeDocument/2006/relationships/hyperlink" Target="https://old.ukr-mobil.com/ramka_displeya_samsung_m205_galaxy_m20_10003960" TargetMode="External"/><Relationship Id="rId_hyperlink_4518" Type="http://schemas.openxmlformats.org/officeDocument/2006/relationships/hyperlink" Target="https://old.ukr-mobil.com/ramka_displeya_samsung_m215_galaxy_m21_m307_galaxy_m30s_10004033" TargetMode="External"/><Relationship Id="rId_hyperlink_4519" Type="http://schemas.openxmlformats.org/officeDocument/2006/relationships/hyperlink" Target="https://old.ukr-mobil.com/ramka_displeya_samsung_m305_galaxy_m30_black_10004116" TargetMode="External"/><Relationship Id="rId_hyperlink_4520" Type="http://schemas.openxmlformats.org/officeDocument/2006/relationships/hyperlink" Target="https://old.ukr-mobil.com/ramka_displeya_samsung_m325_galaxy_m32_black_10004121" TargetMode="External"/><Relationship Id="rId_hyperlink_4521" Type="http://schemas.openxmlformats.org/officeDocument/2006/relationships/hyperlink" Target="https://old.ukr-mobil.com/ramka_displeya_samsung_n950_galaxy_note_8_black_10004097" TargetMode="External"/><Relationship Id="rId_hyperlink_4522" Type="http://schemas.openxmlformats.org/officeDocument/2006/relationships/hyperlink" Target="https://old.ukr-mobil.com/ramka_displeya_samsung_n960_galaxy_note_9_black_10004061" TargetMode="External"/><Relationship Id="rId_hyperlink_4523" Type="http://schemas.openxmlformats.org/officeDocument/2006/relationships/hyperlink" Target="https://old.ukr-mobil.com/ramka_displeya_samsung_n970_galaxy_note_10_black_10004096" TargetMode="External"/><Relationship Id="rId_hyperlink_4524" Type="http://schemas.openxmlformats.org/officeDocument/2006/relationships/hyperlink" Target="https://old.ukr-mobil.com/ramka_displeya_samsung_n975_galaxy_note_10_plus_black_10004071" TargetMode="External"/><Relationship Id="rId_hyperlink_4525" Type="http://schemas.openxmlformats.org/officeDocument/2006/relationships/hyperlink" Target="https://old.ukr-mobil.com/ramka_displeya_samsung_n980_galaxy_note_20_aura_grey_10004031" TargetMode="External"/><Relationship Id="rId_hyperlink_4526" Type="http://schemas.openxmlformats.org/officeDocument/2006/relationships/hyperlink" Target="https://old.ukr-mobil.com/ramka_displeya_samsung_n985_galaxy_note_20_ultra_aura_black_10004030" TargetMode="External"/><Relationship Id="rId_hyperlink_4527" Type="http://schemas.openxmlformats.org/officeDocument/2006/relationships/hyperlink" Target="https://old.ukr-mobil.com/ramka_displeya_samsung_s901_galaxy_s22_phantom_black_10004028" TargetMode="External"/><Relationship Id="rId_hyperlink_4528" Type="http://schemas.openxmlformats.org/officeDocument/2006/relationships/hyperlink" Target="https://old.ukr-mobil.com/ramka_displeya_samsung_s906_galaxy_s22_plus_phantom_black_10004089" TargetMode="External"/><Relationship Id="rId_hyperlink_4529" Type="http://schemas.openxmlformats.org/officeDocument/2006/relationships/hyperlink" Target="https://old.ukr-mobil.com/ramka_displeya_samsung_s908_galaxy_s22_ultra_phantom_black_10004029" TargetMode="External"/><Relationship Id="rId_hyperlink_4530" Type="http://schemas.openxmlformats.org/officeDocument/2006/relationships/hyperlink" Target="https://old.ukr-mobil.com/ramka_displeya_tecno_camon_17p_cg7n_10003863" TargetMode="External"/><Relationship Id="rId_hyperlink_4531" Type="http://schemas.openxmlformats.org/officeDocument/2006/relationships/hyperlink" Target="https://old.ukr-mobil.com/ramka_displeya_tecno_camon_18_ch6_10003864" TargetMode="External"/><Relationship Id="rId_hyperlink_4532" Type="http://schemas.openxmlformats.org/officeDocument/2006/relationships/hyperlink" Target="https://old.ukr-mobil.com/ramka_displeya_tecno_camon_18p_ch7n_10003865" TargetMode="External"/><Relationship Id="rId_hyperlink_4533" Type="http://schemas.openxmlformats.org/officeDocument/2006/relationships/hyperlink" Target="https://old.ukr-mobil.com/ramka_displeya_tecno_camon_19_ci6n_black_10003866" TargetMode="External"/><Relationship Id="rId_hyperlink_4534" Type="http://schemas.openxmlformats.org/officeDocument/2006/relationships/hyperlink" Target="https://old.ukr-mobil.com/index.php?route=product&amp;product_id=10004788" TargetMode="External"/><Relationship Id="rId_hyperlink_4535" Type="http://schemas.openxmlformats.org/officeDocument/2006/relationships/hyperlink" Target="https://old.ukr-mobil.com/index.php?route=product&amp;product_id=10004789" TargetMode="External"/><Relationship Id="rId_hyperlink_4536" Type="http://schemas.openxmlformats.org/officeDocument/2006/relationships/hyperlink" Target="https://old.ukr-mobil.com/index.php?route=product&amp;product_id=10004785" TargetMode="External"/><Relationship Id="rId_hyperlink_4537" Type="http://schemas.openxmlformats.org/officeDocument/2006/relationships/hyperlink" Target="https://old.ukr-mobil.com/index.php?route=product&amp;product_id=10004786" TargetMode="External"/><Relationship Id="rId_hyperlink_4538" Type="http://schemas.openxmlformats.org/officeDocument/2006/relationships/hyperlink" Target="https://old.ukr-mobil.com/ramka_displeya_tecno_spark_7_kf6n_10003867" TargetMode="External"/><Relationship Id="rId_hyperlink_4539" Type="http://schemas.openxmlformats.org/officeDocument/2006/relationships/hyperlink" Target="https://old.ukr-mobil.com/ramka_displeya_tecno_spark_8p_kg7n_10003868" TargetMode="External"/><Relationship Id="rId_hyperlink_4540" Type="http://schemas.openxmlformats.org/officeDocument/2006/relationships/hyperlink" Target="https://old.ukr-mobil.com/index.php?route=product&amp;product_id=10004790" TargetMode="External"/><Relationship Id="rId_hyperlink_4541" Type="http://schemas.openxmlformats.org/officeDocument/2006/relationships/hyperlink" Target="https://old.ukr-mobil.com/ramka_displeya_tecno_spark_8c_kg5k_kg5j_kg5n_10003869" TargetMode="External"/><Relationship Id="rId_hyperlink_4542" Type="http://schemas.openxmlformats.org/officeDocument/2006/relationships/hyperlink" Target="https://old.ukr-mobil.com/index.php?route=product&amp;product_id=10004787" TargetMode="External"/><Relationship Id="rId_hyperlink_4543" Type="http://schemas.openxmlformats.org/officeDocument/2006/relationships/hyperlink" Target="https://old.ukr-mobil.com/ramka_displeya_vivo_y11_2019_y12_2019_y15_2019_y17_2019_10004165" TargetMode="External"/><Relationship Id="rId_hyperlink_4544" Type="http://schemas.openxmlformats.org/officeDocument/2006/relationships/hyperlink" Target="https://old.ukr-mobil.com/ramka_displeya_vivo_y19_10003996" TargetMode="External"/><Relationship Id="rId_hyperlink_4545" Type="http://schemas.openxmlformats.org/officeDocument/2006/relationships/hyperlink" Target="https://old.ukr-mobil.com/ramka_displeya_vivo_y20_y20i_y20s_y01_10004017" TargetMode="External"/><Relationship Id="rId_hyperlink_4546" Type="http://schemas.openxmlformats.org/officeDocument/2006/relationships/hyperlink" Target="https://old.ukr-mobil.com/ramka_displeya_vivo_y21_v2111_y21s_v2110_10004018" TargetMode="External"/><Relationship Id="rId_hyperlink_4547" Type="http://schemas.openxmlformats.org/officeDocument/2006/relationships/hyperlink" Target="https://old.ukr-mobil.com/ramka_displeya_vivo_y31_v2036_y31s_v2054a_10004019" TargetMode="External"/><Relationship Id="rId_hyperlink_4548" Type="http://schemas.openxmlformats.org/officeDocument/2006/relationships/hyperlink" Target="https://old.ukr-mobil.com/ramka_displeya_vivo_y53s_v2111a_v2058_10004186" TargetMode="External"/><Relationship Id="rId_hyperlink_4549" Type="http://schemas.openxmlformats.org/officeDocument/2006/relationships/hyperlink" Target="https://old.ukr-mobil.com/ramka_displeya_vivo_y91_y91c_y91i_y93_y95_10003979" TargetMode="External"/><Relationship Id="rId_hyperlink_4550" Type="http://schemas.openxmlformats.org/officeDocument/2006/relationships/hyperlink" Target="https://old.ukr-mobil.com/ramka_displeya_xiaomi_11t_11t_pro_black_10003984" TargetMode="External"/><Relationship Id="rId_hyperlink_4551" Type="http://schemas.openxmlformats.org/officeDocument/2006/relationships/hyperlink" Target="https://old.ukr-mobil.com/ramka_displeya_xiaomi_11t_11t_pro_silver_10003989" TargetMode="External"/><Relationship Id="rId_hyperlink_4552" Type="http://schemas.openxmlformats.org/officeDocument/2006/relationships/hyperlink" Target="https://old.ukr-mobil.com/index.php?route=product&amp;product_id=10004783" TargetMode="External"/><Relationship Id="rId_hyperlink_4553" Type="http://schemas.openxmlformats.org/officeDocument/2006/relationships/hyperlink" Target="https://old.ukr-mobil.com/index.php?route=product&amp;product_id=10004907" TargetMode="External"/><Relationship Id="rId_hyperlink_4554" Type="http://schemas.openxmlformats.org/officeDocument/2006/relationships/hyperlink" Target="https://old.ukr-mobil.com/ramka_displeya_xiaomi_mi_10_lite_aurora_blue_10004060" TargetMode="External"/><Relationship Id="rId_hyperlink_4555" Type="http://schemas.openxmlformats.org/officeDocument/2006/relationships/hyperlink" Target="https://old.ukr-mobil.com/ramka_displeya_xiaomi_mi_10_lite_cosmic_grey_10004059" TargetMode="External"/><Relationship Id="rId_hyperlink_4556" Type="http://schemas.openxmlformats.org/officeDocument/2006/relationships/hyperlink" Target="https://old.ukr-mobil.com/ramka_displeya_xiaomi_mi_11_lite_black_10004002" TargetMode="External"/><Relationship Id="rId_hyperlink_4557" Type="http://schemas.openxmlformats.org/officeDocument/2006/relationships/hyperlink" Target="https://old.ukr-mobil.com/ramka_displeya_xiaomi_mi_11_lite_blue_10004003" TargetMode="External"/><Relationship Id="rId_hyperlink_4558" Type="http://schemas.openxmlformats.org/officeDocument/2006/relationships/hyperlink" Target="https://old.ukr-mobil.com/ramka_displeya_xiaomi_mi_11_lite_green_10004004" TargetMode="External"/><Relationship Id="rId_hyperlink_4559" Type="http://schemas.openxmlformats.org/officeDocument/2006/relationships/hyperlink" Target="https://old.ukr-mobil.com/ramka_displeya_xiaomi_mi_11_lite_pink_10003990" TargetMode="External"/><Relationship Id="rId_hyperlink_4560" Type="http://schemas.openxmlformats.org/officeDocument/2006/relationships/hyperlink" Target="https://old.ukr-mobil.com/ramka_displeya_xiaomi_mi_11i_black_10003813" TargetMode="External"/><Relationship Id="rId_hyperlink_4561" Type="http://schemas.openxmlformats.org/officeDocument/2006/relationships/hyperlink" Target="https://old.ukr-mobil.com/ramka_displeya_xiaomi_mi_9t_redmi_k20_black_10003814" TargetMode="External"/><Relationship Id="rId_hyperlink_4562" Type="http://schemas.openxmlformats.org/officeDocument/2006/relationships/hyperlink" Target="https://old.ukr-mobil.com/ramka_displeya_xiaomi_mi_9t_redmi_k20_blue_10003815" TargetMode="External"/><Relationship Id="rId_hyperlink_4563" Type="http://schemas.openxmlformats.org/officeDocument/2006/relationships/hyperlink" Target="https://old.ukr-mobil.com/ramka_displeya_xiaomi_redmi_10_redmi_note_11_4g_10003994" TargetMode="External"/><Relationship Id="rId_hyperlink_4564" Type="http://schemas.openxmlformats.org/officeDocument/2006/relationships/hyperlink" Target="https://old.ukr-mobil.com/ramka_displeya_xiaomi_redmi_10c_black_10003817" TargetMode="External"/><Relationship Id="rId_hyperlink_4565" Type="http://schemas.openxmlformats.org/officeDocument/2006/relationships/hyperlink" Target="https://old.ukr-mobil.com/index.php?route=product&amp;product_id=10004781" TargetMode="External"/><Relationship Id="rId_hyperlink_4566" Type="http://schemas.openxmlformats.org/officeDocument/2006/relationships/hyperlink" Target="https://old.ukr-mobil.com/ramka_displeya_xiaomi_redmi_12c_10003980" TargetMode="External"/><Relationship Id="rId_hyperlink_4567" Type="http://schemas.openxmlformats.org/officeDocument/2006/relationships/hyperlink" Target="https://old.ukr-mobil.com/ramka_displeya_xiaomi_redmi_7_blue_10004062" TargetMode="External"/><Relationship Id="rId_hyperlink_4568" Type="http://schemas.openxmlformats.org/officeDocument/2006/relationships/hyperlink" Target="https://old.ukr-mobil.com/ramka_displeya_xiaomi_redmi_8_redmi_8a_10003998" TargetMode="External"/><Relationship Id="rId_hyperlink_4569" Type="http://schemas.openxmlformats.org/officeDocument/2006/relationships/hyperlink" Target="https://old.ukr-mobil.com/ramka_displeya_xiaomi_redmi_9_redmi_9_prime_poco_m2_10003999" TargetMode="External"/><Relationship Id="rId_hyperlink_4570" Type="http://schemas.openxmlformats.org/officeDocument/2006/relationships/hyperlink" Target="https://old.ukr-mobil.com/ramka_displeya_xiaomi_redmi_9a_redmi_9c_redmi_10a_poco_c3_10003985" TargetMode="External"/><Relationship Id="rId_hyperlink_4571" Type="http://schemas.openxmlformats.org/officeDocument/2006/relationships/hyperlink" Target="https://old.ukr-mobil.com/ramka_displeya_xiaomi_redmi_9t_redmi_9_power_poco_m3_10003993" TargetMode="External"/><Relationship Id="rId_hyperlink_4572" Type="http://schemas.openxmlformats.org/officeDocument/2006/relationships/hyperlink" Target="https://old.ukr-mobil.com/ramka_displeya_xiaomi_redmi_note_10_5g_poco_m3_pro_poco_m3_pro_5g_10004007" TargetMode="External"/><Relationship Id="rId_hyperlink_4573" Type="http://schemas.openxmlformats.org/officeDocument/2006/relationships/hyperlink" Target="https://old.ukr-mobil.com/ramka_displeya_xiaomi_redmi_note_10_pro_10003847" TargetMode="External"/><Relationship Id="rId_hyperlink_4574" Type="http://schemas.openxmlformats.org/officeDocument/2006/relationships/hyperlink" Target="https://old.ukr-mobil.com/ramka_displeya_xiaomi_redmi_note_10_pro_5g_redmi_note_10_pro_china_version_10003981" TargetMode="External"/><Relationship Id="rId_hyperlink_4575" Type="http://schemas.openxmlformats.org/officeDocument/2006/relationships/hyperlink" Target="https://old.ukr-mobil.com/ramka_displeya_xiaomi_redmi_note_10_redmi_note_10s_10004000" TargetMode="External"/><Relationship Id="rId_hyperlink_4576" Type="http://schemas.openxmlformats.org/officeDocument/2006/relationships/hyperlink" Target="https://old.ukr-mobil.com/ramka_displeya_xiaomi_redmi_note_11_5g_redmi_note_11t_5g_redmi_note_11s_5g_poco_m4_pro_5g_10003992" TargetMode="External"/><Relationship Id="rId_hyperlink_4577" Type="http://schemas.openxmlformats.org/officeDocument/2006/relationships/hyperlink" Target="https://old.ukr-mobil.com/ramka_displeya_xiaomi_redmi_note_11_pro_redmi_note_11_pro_5g_poco_x4_pro_5g_10004005" TargetMode="External"/><Relationship Id="rId_hyperlink_4578" Type="http://schemas.openxmlformats.org/officeDocument/2006/relationships/hyperlink" Target="https://old.ukr-mobil.com/ramka_displeya_xiaomi_redmi_note_11_poco_m4_pro_10003995" TargetMode="External"/><Relationship Id="rId_hyperlink_4579" Type="http://schemas.openxmlformats.org/officeDocument/2006/relationships/hyperlink" Target="https://old.ukr-mobil.com/index.php?route=product&amp;product_id=10004639" TargetMode="External"/><Relationship Id="rId_hyperlink_4580" Type="http://schemas.openxmlformats.org/officeDocument/2006/relationships/hyperlink" Target="https://old.ukr-mobil.com/ramka_displeya_xiaomi_redmi_note_11s_10004517" TargetMode="External"/><Relationship Id="rId_hyperlink_4581" Type="http://schemas.openxmlformats.org/officeDocument/2006/relationships/hyperlink" Target="https://old.ukr-mobil.com/index.php?route=product&amp;product_id=10004782" TargetMode="External"/><Relationship Id="rId_hyperlink_4582" Type="http://schemas.openxmlformats.org/officeDocument/2006/relationships/hyperlink" Target="https://old.ukr-mobil.com/index.php?route=product&amp;product_id=10004780" TargetMode="External"/><Relationship Id="rId_hyperlink_4583" Type="http://schemas.openxmlformats.org/officeDocument/2006/relationships/hyperlink" Target="https://old.ukr-mobil.com/ramka_displeya_xiaomi_redmi_note_7_redmi_note_7_pro_black_10003983" TargetMode="External"/><Relationship Id="rId_hyperlink_4584" Type="http://schemas.openxmlformats.org/officeDocument/2006/relationships/hyperlink" Target="https://old.ukr-mobil.com/ramka_displeya_xiaomi_redmi_note_7_redmi_note_7_pro_blue_10004011" TargetMode="External"/><Relationship Id="rId_hyperlink_4585" Type="http://schemas.openxmlformats.org/officeDocument/2006/relationships/hyperlink" Target="https://old.ukr-mobil.com/ramka_displeya_xiaomi_redmi_note_8_pro_black_10004022" TargetMode="External"/><Relationship Id="rId_hyperlink_4586" Type="http://schemas.openxmlformats.org/officeDocument/2006/relationships/hyperlink" Target="https://old.ukr-mobil.com/ramka_displeya_xiaomi_redmi_note_8_black_10004010" TargetMode="External"/><Relationship Id="rId_hyperlink_4587" Type="http://schemas.openxmlformats.org/officeDocument/2006/relationships/hyperlink" Target="https://old.ukr-mobil.com/ramka_displeya_xiaomi_redmi_note_8_blue_10003986" TargetMode="External"/><Relationship Id="rId_hyperlink_4588" Type="http://schemas.openxmlformats.org/officeDocument/2006/relationships/hyperlink" Target="https://old.ukr-mobil.com/ramka_displeya_xiaomi_redmi_note_8_silver_10004009" TargetMode="External"/><Relationship Id="rId_hyperlink_4589" Type="http://schemas.openxmlformats.org/officeDocument/2006/relationships/hyperlink" Target="https://old.ukr-mobil.com/ramka_displeya_xiaomi_redmi_note_8t_black_10003982" TargetMode="External"/><Relationship Id="rId_hyperlink_4590" Type="http://schemas.openxmlformats.org/officeDocument/2006/relationships/hyperlink" Target="https://old.ukr-mobil.com/ramka_displeya_xiaomi_redmi_note_9_pro_redmi_note_9s_blue_10004006" TargetMode="External"/><Relationship Id="rId_hyperlink_4591" Type="http://schemas.openxmlformats.org/officeDocument/2006/relationships/hyperlink" Target="https://old.ukr-mobil.com/ramka_displeya_xiaomi_redmi_note_9_pro_redmi_note_9s_interstellar_grey_10003987" TargetMode="External"/><Relationship Id="rId_hyperlink_4592" Type="http://schemas.openxmlformats.org/officeDocument/2006/relationships/hyperlink" Target="https://old.ukr-mobil.com/ramka_displeya_xiaomi_redmi_note_9_pro_redmi_note_9s_tropical_green_10003988" TargetMode="External"/><Relationship Id="rId_hyperlink_4593" Type="http://schemas.openxmlformats.org/officeDocument/2006/relationships/hyperlink" Target="https://old.ukr-mobil.com/ramka_displeya_zte_blade_20_smart_v1050_black_10004168" TargetMode="External"/><Relationship Id="rId_hyperlink_4594" Type="http://schemas.openxmlformats.org/officeDocument/2006/relationships/hyperlink" Target="https://old.ukr-mobil.com/ramka_displeya_zte_blade_20_smart_v2050_black_10004143" TargetMode="External"/><Relationship Id="rId_hyperlink_4595" Type="http://schemas.openxmlformats.org/officeDocument/2006/relationships/hyperlink" Target="https://old.ukr-mobil.com/ramka_displeya_zte_blade_a5_2020_a7s_2019_a7_2019_a7_2020_black_10004163" TargetMode="External"/><Relationship Id="rId_hyperlink_4596" Type="http://schemas.openxmlformats.org/officeDocument/2006/relationships/hyperlink" Target="https://old.ukr-mobil.com/ramka_displeya_zte_blade_a51_2021_blade_a71_2021_black_10004164" TargetMode="External"/><Relationship Id="rId_hyperlink_4597" Type="http://schemas.openxmlformats.org/officeDocument/2006/relationships/hyperlink" Target="https://old.ukr-mobil.com/ramka_displeya_zte_blade_a72_4g_blade_v40_vita_black_10003845" TargetMode="External"/><Relationship Id="rId_hyperlink_4598" Type="http://schemas.openxmlformats.org/officeDocument/2006/relationships/hyperlink" Target="https://old.ukr-mobil.com/ramka_displeya_zte_blade_a7s_2020_black_10004145" TargetMode="External"/><Relationship Id="rId_hyperlink_4599" Type="http://schemas.openxmlformats.org/officeDocument/2006/relationships/hyperlink" Target="https://old.ukr-mobil.com/ramka_displeya_zte_blade_v2020_smart_black_10004144" TargetMode="External"/><Relationship Id="rId_hyperlink_4600" Type="http://schemas.openxmlformats.org/officeDocument/2006/relationships/hyperlink" Target="https://old.ukr-mobil.com/srednyaya_chast_korpusa_oppo_a15_black_10004229" TargetMode="External"/><Relationship Id="rId_hyperlink_4601" Type="http://schemas.openxmlformats.org/officeDocument/2006/relationships/hyperlink" Target="https://old.ukr-mobil.com/srednyaya_chast_korpusa_oppo_a15_blue_10004230" TargetMode="External"/><Relationship Id="rId_hyperlink_4602" Type="http://schemas.openxmlformats.org/officeDocument/2006/relationships/hyperlink" Target="https://old.ukr-mobil.com/srednyaya_chast_korpusa_oppo_a15_white_10004231" TargetMode="External"/><Relationship Id="rId_hyperlink_4603" Type="http://schemas.openxmlformats.org/officeDocument/2006/relationships/hyperlink" Target="https://old.ukr-mobil.com/srednyaya_chast_korpusa_oppo_a32_2020_a33_2020_oppo_a53_oppo_a53s_black_10004256" TargetMode="External"/><Relationship Id="rId_hyperlink_4604" Type="http://schemas.openxmlformats.org/officeDocument/2006/relationships/hyperlink" Target="https://old.ukr-mobil.com/srednyaya_chast_korpusa_oppo_a32_2020_a33_2020_oppo_a53_oppo_a53s_blue_10004257" TargetMode="External"/><Relationship Id="rId_hyperlink_4605" Type="http://schemas.openxmlformats.org/officeDocument/2006/relationships/hyperlink" Target="https://old.ukr-mobil.com/srednyaya_chast_korpusa_oppo_a32_2020_a33_2020_oppo_a53_oppo_a53s_green_10004258" TargetMode="External"/><Relationship Id="rId_hyperlink_4606" Type="http://schemas.openxmlformats.org/officeDocument/2006/relationships/hyperlink" Target="https://old.ukr-mobil.com/srednyaya_chast_korpusa_oppo_a5_2020_black_10004174" TargetMode="External"/><Relationship Id="rId_hyperlink_4607" Type="http://schemas.openxmlformats.org/officeDocument/2006/relationships/hyperlink" Target="https://old.ukr-mobil.com/srednyaya_chast_korpusa_oppo_a5_2020_blue_10004176" TargetMode="External"/><Relationship Id="rId_hyperlink_4608" Type="http://schemas.openxmlformats.org/officeDocument/2006/relationships/hyperlink" Target="https://old.ukr-mobil.com/srednyaya_chast_korpusa_oppo_a5_2020_green_10004177" TargetMode="External"/><Relationship Id="rId_hyperlink_4609" Type="http://schemas.openxmlformats.org/officeDocument/2006/relationships/hyperlink" Target="https://old.ukr-mobil.com/srednyaya_chast_korpusa_oppo_a5_2020_white_10004175" TargetMode="External"/><Relationship Id="rId_hyperlink_4610" Type="http://schemas.openxmlformats.org/officeDocument/2006/relationships/hyperlink" Target="https://old.ukr-mobil.com/srednyaya_chast_korpusa_oppo_a52_a72_a92_black_10004260" TargetMode="External"/><Relationship Id="rId_hyperlink_4611" Type="http://schemas.openxmlformats.org/officeDocument/2006/relationships/hyperlink" Target="https://old.ukr-mobil.com/srednyaya_chast_korpusa_oppo_a52_a72_a92_purple_10004261" TargetMode="External"/><Relationship Id="rId_hyperlink_4612" Type="http://schemas.openxmlformats.org/officeDocument/2006/relationships/hyperlink" Target="https://old.ukr-mobil.com/srednyaya_chast_korpusa_oppo_a52_a72_a92_stream_white_10004259" TargetMode="External"/><Relationship Id="rId_hyperlink_4613" Type="http://schemas.openxmlformats.org/officeDocument/2006/relationships/hyperlink" Target="https://old.ukr-mobil.com/srednyaya_chast_korpusa_oppo_a54_4g_black_10004250" TargetMode="External"/><Relationship Id="rId_hyperlink_4614" Type="http://schemas.openxmlformats.org/officeDocument/2006/relationships/hyperlink" Target="https://old.ukr-mobil.com/srednyaya_chast_korpusa_oppo_a54_4g_gold_10004248" TargetMode="External"/><Relationship Id="rId_hyperlink_4615" Type="http://schemas.openxmlformats.org/officeDocument/2006/relationships/hyperlink" Target="https://old.ukr-mobil.com/srednyaya_chast_korpusa_oppo_a54_4g_starry_blue_10004249" TargetMode="External"/><Relationship Id="rId_hyperlink_4616" Type="http://schemas.openxmlformats.org/officeDocument/2006/relationships/hyperlink" Target="https://old.ukr-mobil.com/srednyaya_chast_korpusa_oppo_a54_5g_a74_5g_a93_5g_blue_10004247" TargetMode="External"/><Relationship Id="rId_hyperlink_4617" Type="http://schemas.openxmlformats.org/officeDocument/2006/relationships/hyperlink" Target="https://old.ukr-mobil.com/srednyaya_chast_korpusa_oppo_a54_5g_a74_5g_a93_5g_fantastic_purple_10004246" TargetMode="External"/><Relationship Id="rId_hyperlink_4618" Type="http://schemas.openxmlformats.org/officeDocument/2006/relationships/hyperlink" Target="https://old.ukr-mobil.com/srednyaya_chast_korpusa_oppo_a54_5g_a74_5g_a93_5g_silver_10004255" TargetMode="External"/><Relationship Id="rId_hyperlink_4619" Type="http://schemas.openxmlformats.org/officeDocument/2006/relationships/hyperlink" Target="https://old.ukr-mobil.com/srednyaya_chast_korpusa_oppo_realme_8i_black_10004251" TargetMode="External"/><Relationship Id="rId_hyperlink_4620" Type="http://schemas.openxmlformats.org/officeDocument/2006/relationships/hyperlink" Target="https://old.ukr-mobil.com/srednyaya_chast_korpusa_oppo_realme_8i_gold_10004252" TargetMode="External"/><Relationship Id="rId_hyperlink_4621" Type="http://schemas.openxmlformats.org/officeDocument/2006/relationships/hyperlink" Target="https://old.ukr-mobil.com/srednyaya_chast_korpusa_oppo_realme_8i_purple_10004253" TargetMode="External"/><Relationship Id="rId_hyperlink_4622" Type="http://schemas.openxmlformats.org/officeDocument/2006/relationships/hyperlink" Target="https://old.ukr-mobil.com/srednyaya_chast_korpusa_oppo_realme_8i_silver_10004254" TargetMode="External"/><Relationship Id="rId_hyperlink_4623" Type="http://schemas.openxmlformats.org/officeDocument/2006/relationships/hyperlink" Target="https://old.ukr-mobil.com/srednyaya_chast_korpusa_samsung_a205_galaxy_a20_black_10004242" TargetMode="External"/><Relationship Id="rId_hyperlink_4624" Type="http://schemas.openxmlformats.org/officeDocument/2006/relationships/hyperlink" Target="https://old.ukr-mobil.com/srednyaya_chast_korpusa_samsung_a205_galaxy_a20_blue_10004243" TargetMode="External"/><Relationship Id="rId_hyperlink_4625" Type="http://schemas.openxmlformats.org/officeDocument/2006/relationships/hyperlink" Target="https://old.ukr-mobil.com/srednyaya_chast_korpusa_samsung_a205_galaxy_a20_red_10004244" TargetMode="External"/><Relationship Id="rId_hyperlink_4626" Type="http://schemas.openxmlformats.org/officeDocument/2006/relationships/hyperlink" Target="https://old.ukr-mobil.com/srednyaya_chast_korpusa_samsung_a207_galaxy_a20s_black_10004235" TargetMode="External"/><Relationship Id="rId_hyperlink_4627" Type="http://schemas.openxmlformats.org/officeDocument/2006/relationships/hyperlink" Target="https://old.ukr-mobil.com/srednyaya_chast_korpusa_samsung_a207_galaxy_a20s_blue_10004236" TargetMode="External"/><Relationship Id="rId_hyperlink_4628" Type="http://schemas.openxmlformats.org/officeDocument/2006/relationships/hyperlink" Target="https://old.ukr-mobil.com/srednyaya_chast_korpusa_samsung_a207_galaxy_a20s_green_10004238" TargetMode="External"/><Relationship Id="rId_hyperlink_4629" Type="http://schemas.openxmlformats.org/officeDocument/2006/relationships/hyperlink" Target="https://old.ukr-mobil.com/srednyaya_chast_korpusa_samsung_a207_galaxy_a20s_red_10004237" TargetMode="External"/><Relationship Id="rId_hyperlink_4630" Type="http://schemas.openxmlformats.org/officeDocument/2006/relationships/hyperlink" Target="https://old.ukr-mobil.com/srednyaya_chast_korpusa_samsung_a215_galaxy_a21_black_10004245" TargetMode="External"/><Relationship Id="rId_hyperlink_4631" Type="http://schemas.openxmlformats.org/officeDocument/2006/relationships/hyperlink" Target="https://old.ukr-mobil.com/srednyaya_chast_korpusa_samsung_a217_galaxy_a21s_black_10004232" TargetMode="External"/><Relationship Id="rId_hyperlink_4632" Type="http://schemas.openxmlformats.org/officeDocument/2006/relationships/hyperlink" Target="https://old.ukr-mobil.com/srednyaya_chast_korpusa_samsung_a225_galaxy_a22_black_10004217" TargetMode="External"/><Relationship Id="rId_hyperlink_4633" Type="http://schemas.openxmlformats.org/officeDocument/2006/relationships/hyperlink" Target="https://old.ukr-mobil.com/srednyaya_chast_korpusa_samsung_a225_galaxy_a22_light_green_10004218" TargetMode="External"/><Relationship Id="rId_hyperlink_4634" Type="http://schemas.openxmlformats.org/officeDocument/2006/relationships/hyperlink" Target="https://old.ukr-mobil.com/srednyaya_chast_korpusa_samsung_a225_galaxy_a22_violet_10004220" TargetMode="External"/><Relationship Id="rId_hyperlink_4635" Type="http://schemas.openxmlformats.org/officeDocument/2006/relationships/hyperlink" Target="https://old.ukr-mobil.com/srednyaya_chast_korpusa_samsung_a225_galaxy_a22_white_10004219" TargetMode="External"/><Relationship Id="rId_hyperlink_4636" Type="http://schemas.openxmlformats.org/officeDocument/2006/relationships/hyperlink" Target="https://old.ukr-mobil.com/srednyaya_chast_korpusa_samsung_a226_galaxy_a22_5g_gray_10004139" TargetMode="External"/><Relationship Id="rId_hyperlink_4637" Type="http://schemas.openxmlformats.org/officeDocument/2006/relationships/hyperlink" Target="https://old.ukr-mobil.com/srednyaya_chast_korpusa_samsung_a226_galaxy_a22_5g_green_10004142" TargetMode="External"/><Relationship Id="rId_hyperlink_4638" Type="http://schemas.openxmlformats.org/officeDocument/2006/relationships/hyperlink" Target="https://old.ukr-mobil.com/srednyaya_chast_korpusa_samsung_a226_galaxy_a22_5g_violet_10004140" TargetMode="External"/><Relationship Id="rId_hyperlink_4639" Type="http://schemas.openxmlformats.org/officeDocument/2006/relationships/hyperlink" Target="https://old.ukr-mobil.com/srednyaya_chast_korpusa_samsung_a226_galaxy_a22_5g_white_10004141" TargetMode="External"/><Relationship Id="rId_hyperlink_4640" Type="http://schemas.openxmlformats.org/officeDocument/2006/relationships/hyperlink" Target="https://old.ukr-mobil.com/srednyaya_chast_korpusa_samsung_a235_galaxy_a23_black_10004133" TargetMode="External"/><Relationship Id="rId_hyperlink_4641" Type="http://schemas.openxmlformats.org/officeDocument/2006/relationships/hyperlink" Target="https://old.ukr-mobil.com/srednyaya_chast_korpusa_samsung_a235_galaxy_a23_blue_10004132" TargetMode="External"/><Relationship Id="rId_hyperlink_4642" Type="http://schemas.openxmlformats.org/officeDocument/2006/relationships/hyperlink" Target="https://old.ukr-mobil.com/srednyaya_chast_korpusa_samsung_a235_galaxy_a23_white_10004131" TargetMode="External"/><Relationship Id="rId_hyperlink_4643" Type="http://schemas.openxmlformats.org/officeDocument/2006/relationships/hyperlink" Target="https://old.ukr-mobil.com/srednyaya_chast_korpusa_samsung_a305_galaxy_a30_black_10004155" TargetMode="External"/><Relationship Id="rId_hyperlink_4644" Type="http://schemas.openxmlformats.org/officeDocument/2006/relationships/hyperlink" Target="https://old.ukr-mobil.com/srednyaya_chast_korpusa_samsung_a305_galaxy_a30_blue_10004157" TargetMode="External"/><Relationship Id="rId_hyperlink_4645" Type="http://schemas.openxmlformats.org/officeDocument/2006/relationships/hyperlink" Target="https://old.ukr-mobil.com/srednyaya_chast_korpusa_samsung_a305_galaxy_a30_red_10004158" TargetMode="External"/><Relationship Id="rId_hyperlink_4646" Type="http://schemas.openxmlformats.org/officeDocument/2006/relationships/hyperlink" Target="https://old.ukr-mobil.com/srednyaya_chast_korpusa_samsung_a305_galaxy_a30_white_10004156" TargetMode="External"/><Relationship Id="rId_hyperlink_4647" Type="http://schemas.openxmlformats.org/officeDocument/2006/relationships/hyperlink" Target="https://old.ukr-mobil.com/srednyaya_chast_korpusa_samsung_a307_galaxy_a30s_black_10004151" TargetMode="External"/><Relationship Id="rId_hyperlink_4648" Type="http://schemas.openxmlformats.org/officeDocument/2006/relationships/hyperlink" Target="https://old.ukr-mobil.com/srednyaya_chast_korpusa_samsung_a307_galaxy_a30s_green_10004154" TargetMode="External"/><Relationship Id="rId_hyperlink_4649" Type="http://schemas.openxmlformats.org/officeDocument/2006/relationships/hyperlink" Target="https://old.ukr-mobil.com/srednyaya_chast_korpusa_samsung_a307_galaxy_a30s_violet_10004153" TargetMode="External"/><Relationship Id="rId_hyperlink_4650" Type="http://schemas.openxmlformats.org/officeDocument/2006/relationships/hyperlink" Target="https://old.ukr-mobil.com/srednyaya_chast_korpusa_samsung_a307_galaxy_a30s_white_10004152" TargetMode="External"/><Relationship Id="rId_hyperlink_4651" Type="http://schemas.openxmlformats.org/officeDocument/2006/relationships/hyperlink" Target="https://old.ukr-mobil.com/srednyaya_chast_korpusa_samsung_a315_galaxy_a31_black_10004134" TargetMode="External"/><Relationship Id="rId_hyperlink_4652" Type="http://schemas.openxmlformats.org/officeDocument/2006/relationships/hyperlink" Target="https://old.ukr-mobil.com/srednyaya_chast_korpusa_samsung_a315_galaxy_a31_blue_10004216" TargetMode="External"/><Relationship Id="rId_hyperlink_4653" Type="http://schemas.openxmlformats.org/officeDocument/2006/relationships/hyperlink" Target="https://old.ukr-mobil.com/srednyaya_chast_korpusa_samsung_a315_galaxy_a31_red_10004130" TargetMode="External"/><Relationship Id="rId_hyperlink_4654" Type="http://schemas.openxmlformats.org/officeDocument/2006/relationships/hyperlink" Target="https://old.ukr-mobil.com/srednyaya_chast_korpusa_samsung_a315_galaxy_a31_white_10004129" TargetMode="External"/><Relationship Id="rId_hyperlink_4655" Type="http://schemas.openxmlformats.org/officeDocument/2006/relationships/hyperlink" Target="https://old.ukr-mobil.com/srednyaya_chast_korpusa_samsung_a325_galaxy_a32_black_10004147" TargetMode="External"/><Relationship Id="rId_hyperlink_4656" Type="http://schemas.openxmlformats.org/officeDocument/2006/relationships/hyperlink" Target="https://old.ukr-mobil.com/srednyaya_chast_korpusa_samsung_a325_galaxy_a32_blue_10004149" TargetMode="External"/><Relationship Id="rId_hyperlink_4657" Type="http://schemas.openxmlformats.org/officeDocument/2006/relationships/hyperlink" Target="https://old.ukr-mobil.com/srednyaya_chast_korpusa_samsung_a325_galaxy_a32_violet_10004150" TargetMode="External"/><Relationship Id="rId_hyperlink_4658" Type="http://schemas.openxmlformats.org/officeDocument/2006/relationships/hyperlink" Target="https://old.ukr-mobil.com/srednyaya_chast_korpusa_samsung_a325_galaxy_a32_white_10004148" TargetMode="External"/><Relationship Id="rId_hyperlink_4659" Type="http://schemas.openxmlformats.org/officeDocument/2006/relationships/hyperlink" Target="https://old.ukr-mobil.com/srednyaya_chast_korpusa_samsung_a326_galaxy_a32_5g_black_10004233" TargetMode="External"/><Relationship Id="rId_hyperlink_4660" Type="http://schemas.openxmlformats.org/officeDocument/2006/relationships/hyperlink" Target="https://old.ukr-mobil.com/srednyaya_chast_korpusa_samsung_a326_galaxy_a32_5g_white_10004234" TargetMode="External"/><Relationship Id="rId_hyperlink_4661" Type="http://schemas.openxmlformats.org/officeDocument/2006/relationships/hyperlink" Target="https://old.ukr-mobil.com/srednyaya_chast_korpusa_samsung_a505_galaxy_a50_black_10004212" TargetMode="External"/><Relationship Id="rId_hyperlink_4662" Type="http://schemas.openxmlformats.org/officeDocument/2006/relationships/hyperlink" Target="https://old.ukr-mobil.com/srednyaya_chast_korpusa_samsung_a505_galaxy_a50_blue_10004213" TargetMode="External"/><Relationship Id="rId_hyperlink_4663" Type="http://schemas.openxmlformats.org/officeDocument/2006/relationships/hyperlink" Target="https://old.ukr-mobil.com/srednyaya_chast_korpusa_samsung_a505_galaxy_a50_gold_10004215" TargetMode="External"/><Relationship Id="rId_hyperlink_4664" Type="http://schemas.openxmlformats.org/officeDocument/2006/relationships/hyperlink" Target="https://old.ukr-mobil.com/srednyaya_chast_korpusa_samsung_a505_galaxy_a50_white_10004214" TargetMode="External"/><Relationship Id="rId_hyperlink_4665" Type="http://schemas.openxmlformats.org/officeDocument/2006/relationships/hyperlink" Target="https://old.ukr-mobil.com/srednyaya_chast_korpusa_samsung_a515_galaxy_a51_black_10004222" TargetMode="External"/><Relationship Id="rId_hyperlink_4666" Type="http://schemas.openxmlformats.org/officeDocument/2006/relationships/hyperlink" Target="https://old.ukr-mobil.com/srednyaya_chast_korpusa_samsung_a515_galaxy_a51_blue_10004224" TargetMode="External"/><Relationship Id="rId_hyperlink_4667" Type="http://schemas.openxmlformats.org/officeDocument/2006/relationships/hyperlink" Target="https://old.ukr-mobil.com/srednyaya_chast_korpusa_samsung_a515_galaxy_a51_pink_10004225" TargetMode="External"/><Relationship Id="rId_hyperlink_4668" Type="http://schemas.openxmlformats.org/officeDocument/2006/relationships/hyperlink" Target="https://old.ukr-mobil.com/srednyaya_chast_korpusa_samsung_a515_galaxy_a51_white_10004223" TargetMode="External"/><Relationship Id="rId_hyperlink_4669" Type="http://schemas.openxmlformats.org/officeDocument/2006/relationships/hyperlink" Target="https://old.ukr-mobil.com/srednyaya_chast_korpusa_samsung_a705_galaxy_a70_black_10004159" TargetMode="External"/><Relationship Id="rId_hyperlink_4670" Type="http://schemas.openxmlformats.org/officeDocument/2006/relationships/hyperlink" Target="https://old.ukr-mobil.com/srednyaya_chast_korpusa_samsung_a705_galaxy_a70_blue_10004160" TargetMode="External"/><Relationship Id="rId_hyperlink_4671" Type="http://schemas.openxmlformats.org/officeDocument/2006/relationships/hyperlink" Target="https://old.ukr-mobil.com/srednyaya_chast_korpusa_samsung_a705_galaxy_a70_coral_10004162" TargetMode="External"/><Relationship Id="rId_hyperlink_4672" Type="http://schemas.openxmlformats.org/officeDocument/2006/relationships/hyperlink" Target="https://old.ukr-mobil.com/srednyaya_chast_korpusa_samsung_a705_galaxy_a70_white_10004161" TargetMode="External"/><Relationship Id="rId_hyperlink_4673" Type="http://schemas.openxmlformats.org/officeDocument/2006/relationships/hyperlink" Target="https://old.ukr-mobil.com/srednyaya_chast_korpusa_samsung_a715_galaxy_a71_black_10004226" TargetMode="External"/><Relationship Id="rId_hyperlink_4674" Type="http://schemas.openxmlformats.org/officeDocument/2006/relationships/hyperlink" Target="https://old.ukr-mobil.com/srednyaya_chast_korpusa_samsung_a715_galaxy_a71_blue_10004228" TargetMode="External"/><Relationship Id="rId_hyperlink_4675" Type="http://schemas.openxmlformats.org/officeDocument/2006/relationships/hyperlink" Target="https://old.ukr-mobil.com/srednyaya_chast_korpusa_samsung_a715_galaxy_a71_silver_10004227" TargetMode="External"/><Relationship Id="rId_hyperlink_4676" Type="http://schemas.openxmlformats.org/officeDocument/2006/relationships/hyperlink" Target="https://old.ukr-mobil.com/index.php?route=product&amp;product_id=10004902" TargetMode="External"/><Relationship Id="rId_hyperlink_4677" Type="http://schemas.openxmlformats.org/officeDocument/2006/relationships/hyperlink" Target="https://old.ukr-mobil.com/srednyaya_chast_korpusa_vivo_y20_nebula_blue_10004195" TargetMode="External"/><Relationship Id="rId_hyperlink_4678" Type="http://schemas.openxmlformats.org/officeDocument/2006/relationships/hyperlink" Target="https://old.ukr-mobil.com/srednyaya_chast_korpusa_vivo_y20_obsidian_black_10004194" TargetMode="External"/><Relationship Id="rId_hyperlink_4679" Type="http://schemas.openxmlformats.org/officeDocument/2006/relationships/hyperlink" Target="https://old.ukr-mobil.com/srednyaya_chast_korpusa_vivo_y20_white_10004196" TargetMode="External"/><Relationship Id="rId_hyperlink_4680" Type="http://schemas.openxmlformats.org/officeDocument/2006/relationships/hyperlink" Target="https://old.ukr-mobil.com/srednyaya_chast_korpusa_vivo_y21_diamond_glow_10004182" TargetMode="External"/><Relationship Id="rId_hyperlink_4681" Type="http://schemas.openxmlformats.org/officeDocument/2006/relationships/hyperlink" Target="https://old.ukr-mobil.com/srednyaya_chast_korpusa_vivo_y21_metallic_blue_10004183" TargetMode="External"/><Relationship Id="rId_hyperlink_4682" Type="http://schemas.openxmlformats.org/officeDocument/2006/relationships/hyperlink" Target="https://old.ukr-mobil.com/srednyaya_chast_korpusa_vivo_y31_v2036_y31s_v2054a_black_10004193" TargetMode="External"/><Relationship Id="rId_hyperlink_4683" Type="http://schemas.openxmlformats.org/officeDocument/2006/relationships/hyperlink" Target="https://old.ukr-mobil.com/srednyaya_chast_korpusa_vivo_y31_v2036_y31s_v2054a_blue_10004190" TargetMode="External"/><Relationship Id="rId_hyperlink_4684" Type="http://schemas.openxmlformats.org/officeDocument/2006/relationships/hyperlink" Target="https://old.ukr-mobil.com/srednyaya_chast_korpusa_vivo_y31_v2036_y31s_v2054a_light_blue_10004192" TargetMode="External"/><Relationship Id="rId_hyperlink_4685" Type="http://schemas.openxmlformats.org/officeDocument/2006/relationships/hyperlink" Target="https://old.ukr-mobil.com/srednyaya_chast_korpusa_vivo_y31_v2036_y31s_v2054a_ocean_blue_10004191" TargetMode="External"/><Relationship Id="rId_hyperlink_4686" Type="http://schemas.openxmlformats.org/officeDocument/2006/relationships/hyperlink" Target="https://old.ukr-mobil.com/srednyaya_chast_korpusa_vivo_y33s_midday_dream_10004184" TargetMode="External"/><Relationship Id="rId_hyperlink_4687" Type="http://schemas.openxmlformats.org/officeDocument/2006/relationships/hyperlink" Target="https://old.ukr-mobil.com/srednyaya_chast_korpusa_vivo_y33s_mirror_black_10004185" TargetMode="External"/><Relationship Id="rId_hyperlink_4688" Type="http://schemas.openxmlformats.org/officeDocument/2006/relationships/hyperlink" Target="https://old.ukr-mobil.com/srednyaya_chast_korpusa_vivo_y53s_v2111a_v2058_black_10004189" TargetMode="External"/><Relationship Id="rId_hyperlink_4689" Type="http://schemas.openxmlformats.org/officeDocument/2006/relationships/hyperlink" Target="https://old.ukr-mobil.com/srednyaya_chast_korpusa_vivo_y53s_v2111a_v2058_blue_10004188" TargetMode="External"/><Relationship Id="rId_hyperlink_4690" Type="http://schemas.openxmlformats.org/officeDocument/2006/relationships/hyperlink" Target="https://old.ukr-mobil.com/srednyaya_chast_korpusa_vivo_y53s_v2111a_v2058_deep_sea_blue_10004187" TargetMode="External"/><Relationship Id="rId_hyperlink_4691" Type="http://schemas.openxmlformats.org/officeDocument/2006/relationships/hyperlink" Target="https://old.ukr-mobil.com/srednyaya_chast_korpusa_xiaomi_redmi_10_black_10004137" TargetMode="External"/><Relationship Id="rId_hyperlink_4692" Type="http://schemas.openxmlformats.org/officeDocument/2006/relationships/hyperlink" Target="https://old.ukr-mobil.com/srednyaya_chast_korpusa_xiaomi_redmi_10_white_10004138" TargetMode="External"/><Relationship Id="rId_hyperlink_4693" Type="http://schemas.openxmlformats.org/officeDocument/2006/relationships/hyperlink" Target="https://old.ukr-mobil.com/index.php?route=product&amp;product_id=10004908" TargetMode="External"/><Relationship Id="rId_hyperlink_4694" Type="http://schemas.openxmlformats.org/officeDocument/2006/relationships/hyperlink" Target="https://old.ukr-mobil.com/index.php?route=product&amp;product_id=10004910" TargetMode="External"/><Relationship Id="rId_hyperlink_4695" Type="http://schemas.openxmlformats.org/officeDocument/2006/relationships/hyperlink" Target="https://old.ukr-mobil.com/index.php?route=product&amp;product_id=10004909" TargetMode="External"/><Relationship Id="rId_hyperlink_4696" Type="http://schemas.openxmlformats.org/officeDocument/2006/relationships/hyperlink" Target="https://old.ukr-mobil.com/srednyaya_chast_korpusa_xiaomi_redmi_note_10_5g_graphite_gray_10004171" TargetMode="External"/><Relationship Id="rId_hyperlink_4697" Type="http://schemas.openxmlformats.org/officeDocument/2006/relationships/hyperlink" Target="https://old.ukr-mobil.com/srednyaya_chast_korpusa_xiaomi_redmi_note_10_5g_nighttime_blue_10004172" TargetMode="External"/><Relationship Id="rId_hyperlink_4698" Type="http://schemas.openxmlformats.org/officeDocument/2006/relationships/hyperlink" Target="https://old.ukr-mobil.com/srednyaya_chast_korpusa_xiaomi_redmi_note_10_pro_gradient_bronze_10004203" TargetMode="External"/><Relationship Id="rId_hyperlink_4699" Type="http://schemas.openxmlformats.org/officeDocument/2006/relationships/hyperlink" Target="https://old.ukr-mobil.com/srednyaya_chast_korpusa_xiaomi_redmi_note_10_pro_onyx_gray_10004202" TargetMode="External"/><Relationship Id="rId_hyperlink_4700" Type="http://schemas.openxmlformats.org/officeDocument/2006/relationships/hyperlink" Target="https://old.ukr-mobil.com/srednyaya_chast_korpusa_xiaomi_redmi_note_10_redmi_note_10s_ocean_blue_10004204" TargetMode="External"/><Relationship Id="rId_hyperlink_4701" Type="http://schemas.openxmlformats.org/officeDocument/2006/relationships/hyperlink" Target="https://old.ukr-mobil.com/srednyaya_chast_korpusa_xiaomi_redmi_note_10_redmi_note_10s_onyx_gray_10004205" TargetMode="External"/><Relationship Id="rId_hyperlink_4702" Type="http://schemas.openxmlformats.org/officeDocument/2006/relationships/hyperlink" Target="https://old.ukr-mobil.com/srednyaya_chast_korpusa_xiaomi_redmi_note_10_redmi_note_10s_pebble_white_10004206" TargetMode="External"/><Relationship Id="rId_hyperlink_4703" Type="http://schemas.openxmlformats.org/officeDocument/2006/relationships/hyperlink" Target="https://old.ukr-mobil.com/srednyaya_chast_korpusa_xiaomi_redmi_note_11_redmi_note_11s_graphite_grey_10004166" TargetMode="External"/><Relationship Id="rId_hyperlink_4704" Type="http://schemas.openxmlformats.org/officeDocument/2006/relationships/hyperlink" Target="https://old.ukr-mobil.com/srednyaya_chast_korpusa_xiaomi_redmi_note_11_redmi_note_11s_twilight_blue_10004167" TargetMode="External"/><Relationship Id="rId_hyperlink_4705" Type="http://schemas.openxmlformats.org/officeDocument/2006/relationships/hyperlink" Target="https://old.ukr-mobil.com/index.php?route=product&amp;product_id=10004726" TargetMode="External"/><Relationship Id="rId_hyperlink_4706" Type="http://schemas.openxmlformats.org/officeDocument/2006/relationships/hyperlink" Target="https://old.ukr-mobil.com/index.php?route=product&amp;product_id=10005565" TargetMode="External"/><Relationship Id="rId_hyperlink_4707" Type="http://schemas.openxmlformats.org/officeDocument/2006/relationships/hyperlink" Target="https://old.ukr-mobil.com/index.php?route=product&amp;product_id=10005564" TargetMode="External"/><Relationship Id="rId_hyperlink_4708" Type="http://schemas.openxmlformats.org/officeDocument/2006/relationships/hyperlink" Target="https://old.ukr-mobil.com/index.php?route=product&amp;product_id=10005568" TargetMode="External"/><Relationship Id="rId_hyperlink_4709" Type="http://schemas.openxmlformats.org/officeDocument/2006/relationships/hyperlink" Target="https://old.ukr-mobil.com/index.php?route=product&amp;product_id=10005567" TargetMode="External"/><Relationship Id="rId_hyperlink_4710" Type="http://schemas.openxmlformats.org/officeDocument/2006/relationships/hyperlink" Target="https://old.ukr-mobil.com/index.php?route=product&amp;product_id=10005566" TargetMode="External"/><Relationship Id="rId_hyperlink_4711" Type="http://schemas.openxmlformats.org/officeDocument/2006/relationships/hyperlink" Target="https://old.ukr-mobil.com/index.php?route=product&amp;product_id=10005570" TargetMode="External"/><Relationship Id="rId_hyperlink_4712" Type="http://schemas.openxmlformats.org/officeDocument/2006/relationships/hyperlink" Target="https://old.ukr-mobil.com/index.php?route=product&amp;product_id=10005569" TargetMode="External"/><Relationship Id="rId_hyperlink_4713" Type="http://schemas.openxmlformats.org/officeDocument/2006/relationships/hyperlink" Target="https://old.ukr-mobil.com/index.php?route=product&amp;product_id=10005572" TargetMode="External"/><Relationship Id="rId_hyperlink_4714" Type="http://schemas.openxmlformats.org/officeDocument/2006/relationships/hyperlink" Target="https://old.ukr-mobil.com/index.php?route=product&amp;product_id=10005571" TargetMode="External"/><Relationship Id="rId_hyperlink_4715" Type="http://schemas.openxmlformats.org/officeDocument/2006/relationships/hyperlink" Target="https://old.ukr-mobil.com/steklo_kamery_iphone_7_10059" TargetMode="External"/><Relationship Id="rId_hyperlink_4716" Type="http://schemas.openxmlformats.org/officeDocument/2006/relationships/hyperlink" Target="https://old.ukr-mobil.com/steklo_kamery_iphone_x_black_10232" TargetMode="External"/><Relationship Id="rId_hyperlink_4717" Type="http://schemas.openxmlformats.org/officeDocument/2006/relationships/hyperlink" Target="https://old.ukr-mobil.com/steklo_kamery_iphone_x_silver_10064" TargetMode="External"/><Relationship Id="rId_hyperlink_4718" Type="http://schemas.openxmlformats.org/officeDocument/2006/relationships/hyperlink" Target="https://old.ukr-mobil.com/index.php?route=product&amp;product_id=10005563" TargetMode="External"/><Relationship Id="rId_hyperlink_4719" Type="http://schemas.openxmlformats.org/officeDocument/2006/relationships/hyperlink" Target="https://old.ukr-mobil.com/index.php?route=product&amp;product_id=10005562" TargetMode="External"/><Relationship Id="rId_hyperlink_4720" Type="http://schemas.openxmlformats.org/officeDocument/2006/relationships/hyperlink" Target="https://old.ukr-mobil.com/index.php?route=product&amp;product_id=10004864" TargetMode="External"/><Relationship Id="rId_hyperlink_4721" Type="http://schemas.openxmlformats.org/officeDocument/2006/relationships/hyperlink" Target="https://old.ukr-mobil.com/index.php?route=product&amp;product_id=10004866" TargetMode="External"/><Relationship Id="rId_hyperlink_4722" Type="http://schemas.openxmlformats.org/officeDocument/2006/relationships/hyperlink" Target="https://old.ukr-mobil.com/index.php?route=product&amp;product_id=10004871" TargetMode="External"/><Relationship Id="rId_hyperlink_4723" Type="http://schemas.openxmlformats.org/officeDocument/2006/relationships/hyperlink" Target="https://old.ukr-mobil.com/index.php?route=product&amp;product_id=10004867" TargetMode="External"/><Relationship Id="rId_hyperlink_4724" Type="http://schemas.openxmlformats.org/officeDocument/2006/relationships/hyperlink" Target="https://old.ukr-mobil.com/index.php?route=product&amp;product_id=10004869" TargetMode="External"/><Relationship Id="rId_hyperlink_4725" Type="http://schemas.openxmlformats.org/officeDocument/2006/relationships/hyperlink" Target="https://old.ukr-mobil.com/index.php?route=product&amp;product_id=10004874" TargetMode="External"/><Relationship Id="rId_hyperlink_4726" Type="http://schemas.openxmlformats.org/officeDocument/2006/relationships/hyperlink" Target="https://old.ukr-mobil.com/index.php?route=product&amp;product_id=10004873" TargetMode="External"/><Relationship Id="rId_hyperlink_4727" Type="http://schemas.openxmlformats.org/officeDocument/2006/relationships/hyperlink" Target="https://old.ukr-mobil.com/steklo_kamery_huawei_honor_10_lite_s_ramkoj_black_10000801" TargetMode="External"/><Relationship Id="rId_hyperlink_4728" Type="http://schemas.openxmlformats.org/officeDocument/2006/relationships/hyperlink" Target="https://old.ukr-mobil.com/steklo_kamery_huawei_honor_10_lite_s_ramkoj_blue_10000831" TargetMode="External"/><Relationship Id="rId_hyperlink_4729" Type="http://schemas.openxmlformats.org/officeDocument/2006/relationships/hyperlink" Target="https://old.ukr-mobil.com/steklo_kamery_huawei_honor_20_s_ramkoj_black_10000802" TargetMode="External"/><Relationship Id="rId_hyperlink_4730" Type="http://schemas.openxmlformats.org/officeDocument/2006/relationships/hyperlink" Target="https://old.ukr-mobil.com/steklo_kamery_huawei_honor_20_s_ramkoj_blue_10000833" TargetMode="External"/><Relationship Id="rId_hyperlink_4731" Type="http://schemas.openxmlformats.org/officeDocument/2006/relationships/hyperlink" Target="https://old.ukr-mobil.com/steklo_kamery_huawei_honor_20_s_ramkoj_purple_10000834" TargetMode="External"/><Relationship Id="rId_hyperlink_4732" Type="http://schemas.openxmlformats.org/officeDocument/2006/relationships/hyperlink" Target="https://old.ukr-mobil.com/steklo_kamery_huawei_honor_8x_s_ramkoj_black_10000804" TargetMode="External"/><Relationship Id="rId_hyperlink_4733" Type="http://schemas.openxmlformats.org/officeDocument/2006/relationships/hyperlink" Target="https://old.ukr-mobil.com/steklo_kamery_huawei_honor_8x_s_ramkoj_blue_10000805" TargetMode="External"/><Relationship Id="rId_hyperlink_4734" Type="http://schemas.openxmlformats.org/officeDocument/2006/relationships/hyperlink" Target="https://old.ukr-mobil.com/steklo_kamery_huawei_mate_10_lite_s_ramkoj_black_10000806" TargetMode="External"/><Relationship Id="rId_hyperlink_4735" Type="http://schemas.openxmlformats.org/officeDocument/2006/relationships/hyperlink" Target="https://old.ukr-mobil.com/steklo_kamery_huawei_mate_10_lite_s_ramkoj_blue_10000832" TargetMode="External"/><Relationship Id="rId_hyperlink_4736" Type="http://schemas.openxmlformats.org/officeDocument/2006/relationships/hyperlink" Target="https://old.ukr-mobil.com/steklo_kamery_huawei_mate_20_black_10000807" TargetMode="External"/><Relationship Id="rId_hyperlink_4737" Type="http://schemas.openxmlformats.org/officeDocument/2006/relationships/hyperlink" Target="https://old.ukr-mobil.com/steklo_kamery_huawei_mate_20_lite_s_ramkoj_black_10000843" TargetMode="External"/><Relationship Id="rId_hyperlink_4738" Type="http://schemas.openxmlformats.org/officeDocument/2006/relationships/hyperlink" Target="https://old.ukr-mobil.com/steklo_kamery_huawei_mate_20_lite_s_ramkoj_blue_10000844" TargetMode="External"/><Relationship Id="rId_hyperlink_4739" Type="http://schemas.openxmlformats.org/officeDocument/2006/relationships/hyperlink" Target="https://old.ukr-mobil.com/steklo_kamery_huawei_mate_20_lite_s_ramkoj_gold_10000845" TargetMode="External"/><Relationship Id="rId_hyperlink_4740" Type="http://schemas.openxmlformats.org/officeDocument/2006/relationships/hyperlink" Target="https://old.ukr-mobil.com/steklo_kamery_huawei_p_smart_2019_y7_2019_black_10000855" TargetMode="External"/><Relationship Id="rId_hyperlink_4741" Type="http://schemas.openxmlformats.org/officeDocument/2006/relationships/hyperlink" Target="https://old.ukr-mobil.com/steklo_kamery_huawei_p_smart_2021_ppa-lx2_48mp_a1_quad_camera_black_10002633" TargetMode="External"/><Relationship Id="rId_hyperlink_4742" Type="http://schemas.openxmlformats.org/officeDocument/2006/relationships/hyperlink" Target="https://old.ukr-mobil.com/steklo_kamery_huawei_p_smart_plus_black_10001108" TargetMode="External"/><Relationship Id="rId_hyperlink_4743" Type="http://schemas.openxmlformats.org/officeDocument/2006/relationships/hyperlink" Target="https://old.ukr-mobil.com/steklo_kamery_huawei_p_smart_plus_s_ramkoj_black_10000835" TargetMode="External"/><Relationship Id="rId_hyperlink_4744" Type="http://schemas.openxmlformats.org/officeDocument/2006/relationships/hyperlink" Target="https://old.ukr-mobil.com/steklo_kamery_huawei_p_smart_plus_s_ramkoj_blue_10000836" TargetMode="External"/><Relationship Id="rId_hyperlink_4745" Type="http://schemas.openxmlformats.org/officeDocument/2006/relationships/hyperlink" Target="https://old.ukr-mobil.com/steklo_kamery_huawei_p_smart_plus_s_ramkoj_red_10000838" TargetMode="External"/><Relationship Id="rId_hyperlink_4746" Type="http://schemas.openxmlformats.org/officeDocument/2006/relationships/hyperlink" Target="https://old.ukr-mobil.com/steklo_kamery_huawei_p_smart_plus_s_ramkoj_silver_10000837" TargetMode="External"/><Relationship Id="rId_hyperlink_4747" Type="http://schemas.openxmlformats.org/officeDocument/2006/relationships/hyperlink" Target="https://old.ukr-mobil.com/steklo_kamery_huawei_p_smart_z_black_10000846" TargetMode="External"/><Relationship Id="rId_hyperlink_4748" Type="http://schemas.openxmlformats.org/officeDocument/2006/relationships/hyperlink" Target="https://old.ukr-mobil.com/steklo_kamery_huawei_p20_eml-l29_eml-l09_s_ramkoj_black_10002678" TargetMode="External"/><Relationship Id="rId_hyperlink_4749" Type="http://schemas.openxmlformats.org/officeDocument/2006/relationships/hyperlink" Target="https://old.ukr-mobil.com/steklo_kamery_huawei_p20_s_ramkoj_blue_10000848" TargetMode="External"/><Relationship Id="rId_hyperlink_4750" Type="http://schemas.openxmlformats.org/officeDocument/2006/relationships/hyperlink" Target="https://old.ukr-mobil.com/steklo_kamery_huawei_p20_s_ramkoj_pink_10000849" TargetMode="External"/><Relationship Id="rId_hyperlink_4751" Type="http://schemas.openxmlformats.org/officeDocument/2006/relationships/hyperlink" Target="https://old.ukr-mobil.com/steklo_kamery_huawei_p20_s_ramkoj_purple_10000850" TargetMode="External"/><Relationship Id="rId_hyperlink_4752" Type="http://schemas.openxmlformats.org/officeDocument/2006/relationships/hyperlink" Target="https://old.ukr-mobil.com/steklo_kamery_huawei_p20_lite_black_10001109" TargetMode="External"/><Relationship Id="rId_hyperlink_4753" Type="http://schemas.openxmlformats.org/officeDocument/2006/relationships/hyperlink" Target="https://old.ukr-mobil.com/steklo_kamery_huawei_p30_lite_black_10001110" TargetMode="External"/><Relationship Id="rId_hyperlink_4754" Type="http://schemas.openxmlformats.org/officeDocument/2006/relationships/hyperlink" Target="https://old.ukr-mobil.com/steklo_kamery_huawei_p30_lite_s_ramkoj_black_10000808" TargetMode="External"/><Relationship Id="rId_hyperlink_4755" Type="http://schemas.openxmlformats.org/officeDocument/2006/relationships/hyperlink" Target="https://old.ukr-mobil.com/steklo_kamery_huawei_p30_lite_s_ramkoj_blue_10000853" TargetMode="External"/><Relationship Id="rId_hyperlink_4756" Type="http://schemas.openxmlformats.org/officeDocument/2006/relationships/hyperlink" Target="https://old.ukr-mobil.com/steklo_kamery_huawei_p30_lite_s_ramkoj_silver_10000854" TargetMode="External"/><Relationship Id="rId_hyperlink_4757" Type="http://schemas.openxmlformats.org/officeDocument/2006/relationships/hyperlink" Target="https://old.ukr-mobil.com/steklo_kamery_huawei_p30_pro_s_ramkoj_amber_sunrise_10000852" TargetMode="External"/><Relationship Id="rId_hyperlink_4758" Type="http://schemas.openxmlformats.org/officeDocument/2006/relationships/hyperlink" Target="https://old.ukr-mobil.com/steklo_kamery_huawei_p30_pro_s_ramkoj_black_10000847" TargetMode="External"/><Relationship Id="rId_hyperlink_4759" Type="http://schemas.openxmlformats.org/officeDocument/2006/relationships/hyperlink" Target="https://old.ukr-mobil.com/steklo_kamery_huawei_p30_pro_s_ramkoj_blue_10000851" TargetMode="External"/><Relationship Id="rId_hyperlink_4760" Type="http://schemas.openxmlformats.org/officeDocument/2006/relationships/hyperlink" Target="https://old.ukr-mobil.com/steklo_kamery_huawei_p30_pro_s_ramkoj_silver_10000809" TargetMode="External"/><Relationship Id="rId_hyperlink_4761" Type="http://schemas.openxmlformats.org/officeDocument/2006/relationships/hyperlink" Target="https://old.ukr-mobil.com/steklo_kamery_huawei_p40_ana-an00_ana-tn00_ana-nx9_black_10001606" TargetMode="External"/><Relationship Id="rId_hyperlink_4762" Type="http://schemas.openxmlformats.org/officeDocument/2006/relationships/hyperlink" Target="https://old.ukr-mobil.com/steklo_kamery_huawei_p40_s_ramkoj_black_10000856" TargetMode="External"/><Relationship Id="rId_hyperlink_4763" Type="http://schemas.openxmlformats.org/officeDocument/2006/relationships/hyperlink" Target="https://old.ukr-mobil.com/steklo_kamery_huawei_p40_s_ramkoj_blue_10000810" TargetMode="External"/><Relationship Id="rId_hyperlink_4764" Type="http://schemas.openxmlformats.org/officeDocument/2006/relationships/hyperlink" Target="https://old.ukr-mobil.com/steklo_kamery_huawei_p40_s_ramkoj_silver_10000857" TargetMode="External"/><Relationship Id="rId_hyperlink_4765" Type="http://schemas.openxmlformats.org/officeDocument/2006/relationships/hyperlink" Target="https://old.ukr-mobil.com/steklo_kamery_huawei_p40_lite_mar-lx1a_jny-l21_jny-l21a_jny-l22_green_10002635" TargetMode="External"/><Relationship Id="rId_hyperlink_4766" Type="http://schemas.openxmlformats.org/officeDocument/2006/relationships/hyperlink" Target="https://old.ukr-mobil.com/steklo_kamery_huawei_p40_lite_mar-lx1a_jny-l21_jny-l21a_jny-l22_purple_10002634" TargetMode="External"/><Relationship Id="rId_hyperlink_4767" Type="http://schemas.openxmlformats.org/officeDocument/2006/relationships/hyperlink" Target="https://old.ukr-mobil.com/steklo_kamery_huawei_p40_lite_s_ramkoj_green_10000811" TargetMode="External"/><Relationship Id="rId_hyperlink_4768" Type="http://schemas.openxmlformats.org/officeDocument/2006/relationships/hyperlink" Target="https://old.ukr-mobil.com/steklo_kamery_huawei_p40_lite_s_ramkoj_purple_10000842" TargetMode="External"/><Relationship Id="rId_hyperlink_4769" Type="http://schemas.openxmlformats.org/officeDocument/2006/relationships/hyperlink" Target="https://old.ukr-mobil.com/steklo_kamery_huawei_y5_2019_y5_prime_2019_p_smart_z_y9_2019_black_10000803" TargetMode="External"/><Relationship Id="rId_hyperlink_4770" Type="http://schemas.openxmlformats.org/officeDocument/2006/relationships/hyperlink" Target="https://old.ukr-mobil.com/steklo_kamery_huawei_y6_2019_y6_prime_2019_black_10000812" TargetMode="External"/><Relationship Id="rId_hyperlink_4771" Type="http://schemas.openxmlformats.org/officeDocument/2006/relationships/hyperlink" Target="https://old.ukr-mobil.com/index.php?route=product&amp;product_id=10004855" TargetMode="External"/><Relationship Id="rId_hyperlink_4772" Type="http://schemas.openxmlformats.org/officeDocument/2006/relationships/hyperlink" Target="https://old.ukr-mobil.com/index.php?route=product&amp;product_id=10004854" TargetMode="External"/><Relationship Id="rId_hyperlink_4773" Type="http://schemas.openxmlformats.org/officeDocument/2006/relationships/hyperlink" Target="https://old.ukr-mobil.com/steklo_kamery_samsung_a022_galaxy_a02_black_10002626" TargetMode="External"/><Relationship Id="rId_hyperlink_4774" Type="http://schemas.openxmlformats.org/officeDocument/2006/relationships/hyperlink" Target="https://old.ukr-mobil.com/steklo_kamery_samsung_a025_galaxy_a02s_a037_galaxy_a03s_black_10002625" TargetMode="External"/><Relationship Id="rId_hyperlink_4775" Type="http://schemas.openxmlformats.org/officeDocument/2006/relationships/hyperlink" Target="https://old.ukr-mobil.com/index.php?route=product&amp;product_id=10004850" TargetMode="External"/><Relationship Id="rId_hyperlink_4776" Type="http://schemas.openxmlformats.org/officeDocument/2006/relationships/hyperlink" Target="https://old.ukr-mobil.com/steklo_kamery_samsung_a105_galaxy_a10_a205_a305_a405_s_ramkoj_black_10000901" TargetMode="External"/><Relationship Id="rId_hyperlink_4777" Type="http://schemas.openxmlformats.org/officeDocument/2006/relationships/hyperlink" Target="https://old.ukr-mobil.com/steklo_kamery_samsung_a125_galaxy_a12_m127_galaxy_m12_black_10002624" TargetMode="External"/><Relationship Id="rId_hyperlink_4778" Type="http://schemas.openxmlformats.org/officeDocument/2006/relationships/hyperlink" Target="https://old.ukr-mobil.com/index.php?route=product&amp;product_id=10004849" TargetMode="External"/><Relationship Id="rId_hyperlink_4779" Type="http://schemas.openxmlformats.org/officeDocument/2006/relationships/hyperlink" Target="https://old.ukr-mobil.com/index.php?route=product&amp;product_id=10004848" TargetMode="External"/><Relationship Id="rId_hyperlink_4780" Type="http://schemas.openxmlformats.org/officeDocument/2006/relationships/hyperlink" Target="https://old.ukr-mobil.com/index.php?route=product&amp;product_id=10005770" TargetMode="External"/><Relationship Id="rId_hyperlink_4781" Type="http://schemas.openxmlformats.org/officeDocument/2006/relationships/hyperlink" Target="https://old.ukr-mobil.com/steklo_kamery_samsung_a205_galaxy_a20_s_ramkoj_black_10000919" TargetMode="External"/><Relationship Id="rId_hyperlink_4782" Type="http://schemas.openxmlformats.org/officeDocument/2006/relationships/hyperlink" Target="https://old.ukr-mobil.com/steklo_kamery_samsung_a205_galaxy_a20_s_ramkoj_silver_10000920" TargetMode="External"/><Relationship Id="rId_hyperlink_4783" Type="http://schemas.openxmlformats.org/officeDocument/2006/relationships/hyperlink" Target="https://old.ukr-mobil.com/steklo_kamery_samsung_a225_galaxy_a22_a226_galaxy_a22_5g_black_10002623" TargetMode="External"/><Relationship Id="rId_hyperlink_4784" Type="http://schemas.openxmlformats.org/officeDocument/2006/relationships/hyperlink" Target="https://old.ukr-mobil.com/steklo_kamery_samsung_a225_galaxy_a22_a226_galaxy_a22_5g_light_green_10002636" TargetMode="External"/><Relationship Id="rId_hyperlink_4785" Type="http://schemas.openxmlformats.org/officeDocument/2006/relationships/hyperlink" Target="https://old.ukr-mobil.com/steklo_kamery_samsung_a225_galaxy_a22_a226_galaxy_a22_5g_violet_10002637" TargetMode="External"/><Relationship Id="rId_hyperlink_4786" Type="http://schemas.openxmlformats.org/officeDocument/2006/relationships/hyperlink" Target="https://old.ukr-mobil.com/steklo_kamery_samsung_a307_galaxy_a30s_s_ramkoj_black_10000907" TargetMode="External"/><Relationship Id="rId_hyperlink_4787" Type="http://schemas.openxmlformats.org/officeDocument/2006/relationships/hyperlink" Target="https://old.ukr-mobil.com/steklo_kamery_samsung_a307_galaxy_a30s_s_ramkoj_silver_10000908" TargetMode="External"/><Relationship Id="rId_hyperlink_4788" Type="http://schemas.openxmlformats.org/officeDocument/2006/relationships/hyperlink" Target="https://old.ukr-mobil.com/steklo_kamery_samsung_a315_galaxy_a31_s_ramkoj_black_10002661" TargetMode="External"/><Relationship Id="rId_hyperlink_4789" Type="http://schemas.openxmlformats.org/officeDocument/2006/relationships/hyperlink" Target="https://old.ukr-mobil.com/steklo_kamery_samsung_a320_galaxy_a3_2017_a520_galaxy_a5_2017_a720_galaxy_a7_2017_black_11594" TargetMode="External"/><Relationship Id="rId_hyperlink_4790" Type="http://schemas.openxmlformats.org/officeDocument/2006/relationships/hyperlink" Target="https://old.ukr-mobil.com/steklo_kamery_samsung_a320_galaxy_a3_2017_a520_galaxy_a5_2017_a720_galaxy_a7_2017_blue_11596" TargetMode="External"/><Relationship Id="rId_hyperlink_4791" Type="http://schemas.openxmlformats.org/officeDocument/2006/relationships/hyperlink" Target="https://old.ukr-mobil.com/steklo_kamery_samsung_a320_galaxy_a3_2017_a520_galaxy_a5_2017_a720_galaxy_a7_2017_gold_11595" TargetMode="External"/><Relationship Id="rId_hyperlink_4792" Type="http://schemas.openxmlformats.org/officeDocument/2006/relationships/hyperlink" Target="https://old.ukr-mobil.com/steklo_kamery_samsung_a325_galaxy_a32_komplekt_3_2_sht_black_10002622" TargetMode="External"/><Relationship Id="rId_hyperlink_4793" Type="http://schemas.openxmlformats.org/officeDocument/2006/relationships/hyperlink" Target="https://old.ukr-mobil.com/steklo_kamery_samsung_a505_galaxy_a50_s_ramkoj_black_10000863" TargetMode="External"/><Relationship Id="rId_hyperlink_4794" Type="http://schemas.openxmlformats.org/officeDocument/2006/relationships/hyperlink" Target="https://old.ukr-mobil.com/steklo_kamery_samsung_a505_galaxy_a50_s_ramkoj_blue_10000865" TargetMode="External"/><Relationship Id="rId_hyperlink_4795" Type="http://schemas.openxmlformats.org/officeDocument/2006/relationships/hyperlink" Target="https://old.ukr-mobil.com/steklo_kamery_samsung_a515_galaxy_a51_s_ramkoj_black_10002662" TargetMode="External"/><Relationship Id="rId_hyperlink_4796" Type="http://schemas.openxmlformats.org/officeDocument/2006/relationships/hyperlink" Target="https://old.ukr-mobil.com/steklo_kamery_samsung_a525_galaxy_a52_a526_galaxy_a52_5g_a725_galaxy_a72_komplekt_3_2_sht_black_10002621" TargetMode="External"/><Relationship Id="rId_hyperlink_4797" Type="http://schemas.openxmlformats.org/officeDocument/2006/relationships/hyperlink" Target="https://old.ukr-mobil.com/steklo_kamery_samsung_a530_galaxy_a8_2018_a730_galaxy_a8_plus_2018_s_ramkoj_black_10000925" TargetMode="External"/><Relationship Id="rId_hyperlink_4798" Type="http://schemas.openxmlformats.org/officeDocument/2006/relationships/hyperlink" Target="https://old.ukr-mobil.com/steklo_kamery_samsung_a600_galaxy_a6_s_ramkoj_black_11603" TargetMode="External"/><Relationship Id="rId_hyperlink_4799" Type="http://schemas.openxmlformats.org/officeDocument/2006/relationships/hyperlink" Target="https://old.ukr-mobil.com/steklo_kamery_samsung_a605_galaxy_a6_plus_2018_black_11604" TargetMode="External"/><Relationship Id="rId_hyperlink_4800" Type="http://schemas.openxmlformats.org/officeDocument/2006/relationships/hyperlink" Target="https://old.ukr-mobil.com/steklo_kamery_samsung_a705_galaxy_a70_s_ramkoj_black_10000921" TargetMode="External"/><Relationship Id="rId_hyperlink_4801" Type="http://schemas.openxmlformats.org/officeDocument/2006/relationships/hyperlink" Target="https://old.ukr-mobil.com/steklo_kamery_samsung_a705_galaxy_a70_s_ramkoj_blue_10000923" TargetMode="External"/><Relationship Id="rId_hyperlink_4802" Type="http://schemas.openxmlformats.org/officeDocument/2006/relationships/hyperlink" Target="https://old.ukr-mobil.com/steklo_kamery_samsung_a705_galaxy_a70_s_ramkoj_silver_10000922" TargetMode="External"/><Relationship Id="rId_hyperlink_4803" Type="http://schemas.openxmlformats.org/officeDocument/2006/relationships/hyperlink" Target="https://old.ukr-mobil.com/steklo_kamery_samsung_a750_galaxy_a7_2018_s_ramkoj_black_10000934" TargetMode="External"/><Relationship Id="rId_hyperlink_4804" Type="http://schemas.openxmlformats.org/officeDocument/2006/relationships/hyperlink" Target="https://old.ukr-mobil.com/steklo_kamery_samsung_g780_galaxy_s20_fe_black_10002620" TargetMode="External"/><Relationship Id="rId_hyperlink_4805" Type="http://schemas.openxmlformats.org/officeDocument/2006/relationships/hyperlink" Target="https://old.ukr-mobil.com/steklo_kamery_samsung_g960_galaxy_s9_s_ramkoj_black_11609" TargetMode="External"/><Relationship Id="rId_hyperlink_4806" Type="http://schemas.openxmlformats.org/officeDocument/2006/relationships/hyperlink" Target="https://old.ukr-mobil.com/steklo_kamery_samsung_g960_galaxy_s9_s_ramkoj_grey_10000860" TargetMode="External"/><Relationship Id="rId_hyperlink_4807" Type="http://schemas.openxmlformats.org/officeDocument/2006/relationships/hyperlink" Target="https://old.ukr-mobil.com/steklo_kamery_samsung_g965_galaxy_s9_plus_s_ramkoj_black_10000861" TargetMode="External"/><Relationship Id="rId_hyperlink_4808" Type="http://schemas.openxmlformats.org/officeDocument/2006/relationships/hyperlink" Target="https://old.ukr-mobil.com/steklo_kamery_samsung_g965_galaxy_s9_plus_s_ramkoj_blue_10000862" TargetMode="External"/><Relationship Id="rId_hyperlink_4809" Type="http://schemas.openxmlformats.org/officeDocument/2006/relationships/hyperlink" Target="https://old.ukr-mobil.com/steklo_kamery_samsung_g973_galaxy_s10_s_ramkoj_black_10000858" TargetMode="External"/><Relationship Id="rId_hyperlink_4810" Type="http://schemas.openxmlformats.org/officeDocument/2006/relationships/hyperlink" Target="https://old.ukr-mobil.com/steklo_kamery_samsung_g973_galaxy_s10_s_ramkoj_blue_10000859" TargetMode="External"/><Relationship Id="rId_hyperlink_4811" Type="http://schemas.openxmlformats.org/officeDocument/2006/relationships/hyperlink" Target="https://old.ukr-mobil.com/steklo_kamery_samsung_g975_galaxy_s10_plus_s_ramkoj_black_10000930" TargetMode="External"/><Relationship Id="rId_hyperlink_4812" Type="http://schemas.openxmlformats.org/officeDocument/2006/relationships/hyperlink" Target="https://old.ukr-mobil.com/steklo_kamery_samsung_g975_galaxy_s10_plus_s_ramkoj_blue_10000931" TargetMode="External"/><Relationship Id="rId_hyperlink_4813" Type="http://schemas.openxmlformats.org/officeDocument/2006/relationships/hyperlink" Target="https://old.ukr-mobil.com/steklo_kamery_samsung_g980_galaxy_s20_black_10002619" TargetMode="External"/><Relationship Id="rId_hyperlink_4814" Type="http://schemas.openxmlformats.org/officeDocument/2006/relationships/hyperlink" Target="https://old.ukr-mobil.com/steklo_kamery_samsung_g980_galaxy_s20_s_ramkoj_black_10000935" TargetMode="External"/><Relationship Id="rId_hyperlink_4815" Type="http://schemas.openxmlformats.org/officeDocument/2006/relationships/hyperlink" Target="https://old.ukr-mobil.com/steklo_kamery_samsung_g985_galaxy_s20_plus_s_ramkoj_black_10000928" TargetMode="External"/><Relationship Id="rId_hyperlink_4816" Type="http://schemas.openxmlformats.org/officeDocument/2006/relationships/hyperlink" Target="https://old.ukr-mobil.com/steklo_kamery_samsung_g988_galaxy_s20_ultra_black_10002618" TargetMode="External"/><Relationship Id="rId_hyperlink_4817" Type="http://schemas.openxmlformats.org/officeDocument/2006/relationships/hyperlink" Target="https://old.ukr-mobil.com/steklo_kamery_samsung_g991_galaxy_s21_komplekt_3_sht_black_10002617" TargetMode="External"/><Relationship Id="rId_hyperlink_4818" Type="http://schemas.openxmlformats.org/officeDocument/2006/relationships/hyperlink" Target="https://old.ukr-mobil.com/steklo_kamery_samsung_g998_galaxy_s21_ultra_komplekt_3_1_1_sht_black_10002616" TargetMode="External"/><Relationship Id="rId_hyperlink_4819" Type="http://schemas.openxmlformats.org/officeDocument/2006/relationships/hyperlink" Target="https://old.ukr-mobil.com/steklo_kamery_samsung_i9500_galaxy_s4_8911" TargetMode="External"/><Relationship Id="rId_hyperlink_4820" Type="http://schemas.openxmlformats.org/officeDocument/2006/relationships/hyperlink" Target="https://old.ukr-mobil.com/steklo_kamery_samsung_j250_galaxy_j2_2018_black_11605" TargetMode="External"/><Relationship Id="rId_hyperlink_4821" Type="http://schemas.openxmlformats.org/officeDocument/2006/relationships/hyperlink" Target="https://old.ukr-mobil.com/steklo_kamery_samsung_j250_galaxy_j2_2018_gold_11606" TargetMode="External"/><Relationship Id="rId_hyperlink_4822" Type="http://schemas.openxmlformats.org/officeDocument/2006/relationships/hyperlink" Target="https://old.ukr-mobil.com/steklo_kamery_samsung_j250_galaxy_j2_2018_pink_11607" TargetMode="External"/><Relationship Id="rId_hyperlink_4823" Type="http://schemas.openxmlformats.org/officeDocument/2006/relationships/hyperlink" Target="https://old.ukr-mobil.com/steklo_kamery_samsung_j250_galaxy_j2_2018_silver_11608" TargetMode="External"/><Relationship Id="rId_hyperlink_4824" Type="http://schemas.openxmlformats.org/officeDocument/2006/relationships/hyperlink" Target="https://old.ukr-mobil.com/steklo_kamery_samsung_j400_galaxy_j4_2018_black_11601" TargetMode="External"/><Relationship Id="rId_hyperlink_4825" Type="http://schemas.openxmlformats.org/officeDocument/2006/relationships/hyperlink" Target="https://old.ukr-mobil.com/steklo_kamery_samsung_j415_galaxy_j4_plus_2018_black_11602" TargetMode="External"/><Relationship Id="rId_hyperlink_4826" Type="http://schemas.openxmlformats.org/officeDocument/2006/relationships/hyperlink" Target="https://old.ukr-mobil.com/steklo_kamery_samsung_j510_galaxy_j5_2016_black_10263" TargetMode="External"/><Relationship Id="rId_hyperlink_4827" Type="http://schemas.openxmlformats.org/officeDocument/2006/relationships/hyperlink" Target="https://old.ukr-mobil.com/steklo_kamery_samsung_j510_galaxy_j5_2016_gold_10264" TargetMode="External"/><Relationship Id="rId_hyperlink_4828" Type="http://schemas.openxmlformats.org/officeDocument/2006/relationships/hyperlink" Target="https://old.ukr-mobil.com/steklo_kamery_samsung_j510_galaxy_j5_2016_white_10265" TargetMode="External"/><Relationship Id="rId_hyperlink_4829" Type="http://schemas.openxmlformats.org/officeDocument/2006/relationships/hyperlink" Target="https://old.ukr-mobil.com/steklo_kamery_samsung_j530_galaxy_j5_2017_j730_galaxy_j7_2017_j330_galaxy_j3_2017_black_11597" TargetMode="External"/><Relationship Id="rId_hyperlink_4830" Type="http://schemas.openxmlformats.org/officeDocument/2006/relationships/hyperlink" Target="https://old.ukr-mobil.com/steklo_kamery_samsung_j600_galaxy_j6_2018_black_11599" TargetMode="External"/><Relationship Id="rId_hyperlink_4831" Type="http://schemas.openxmlformats.org/officeDocument/2006/relationships/hyperlink" Target="https://old.ukr-mobil.com/steklo_kamery_samsung_j610_galaxy_j6_plus_2018_s_ramkoj_black_11600" TargetMode="External"/><Relationship Id="rId_hyperlink_4832" Type="http://schemas.openxmlformats.org/officeDocument/2006/relationships/hyperlink" Target="https://old.ukr-mobil.com/steklo_kamery_samsung_m105_galaxy_m10_m205_galaxy_m20_s_ramkoj_black_10000932" TargetMode="External"/><Relationship Id="rId_hyperlink_4833" Type="http://schemas.openxmlformats.org/officeDocument/2006/relationships/hyperlink" Target="https://old.ukr-mobil.com/steklo_kamery_samsung_m305_galaxy_m30_s_ramkoj_black_10000933" TargetMode="External"/><Relationship Id="rId_hyperlink_4834" Type="http://schemas.openxmlformats.org/officeDocument/2006/relationships/hyperlink" Target="https://old.ukr-mobil.com/steklo_kamery_samsung_n950_galaxy_note_8_black_11610" TargetMode="External"/><Relationship Id="rId_hyperlink_4835" Type="http://schemas.openxmlformats.org/officeDocument/2006/relationships/hyperlink" Target="https://old.ukr-mobil.com/steklo_kamery_samsung_n960_galaxy_note_9_s_ramkoj_black_10000926" TargetMode="External"/><Relationship Id="rId_hyperlink_4836" Type="http://schemas.openxmlformats.org/officeDocument/2006/relationships/hyperlink" Target="https://old.ukr-mobil.com/steklo_kamery_samsung_n970_galaxy_note_10_s_ramkoj_black_10000927" TargetMode="External"/><Relationship Id="rId_hyperlink_4837" Type="http://schemas.openxmlformats.org/officeDocument/2006/relationships/hyperlink" Target="https://old.ukr-mobil.com/steklo_kamery_samsung_n975_galaxy_note_10_plus_s_ramkoj_black_10000929" TargetMode="External"/><Relationship Id="rId_hyperlink_4838" Type="http://schemas.openxmlformats.org/officeDocument/2006/relationships/hyperlink" Target="https://old.ukr-mobil.com/index.php?route=product&amp;product_id=10004860" TargetMode="External"/><Relationship Id="rId_hyperlink_4839" Type="http://schemas.openxmlformats.org/officeDocument/2006/relationships/hyperlink" Target="https://old.ukr-mobil.com/index.php?route=product&amp;product_id=10004859" TargetMode="External"/><Relationship Id="rId_hyperlink_4840" Type="http://schemas.openxmlformats.org/officeDocument/2006/relationships/hyperlink" Target="https://old.ukr-mobil.com/index.php?route=product&amp;product_id=10004861" TargetMode="External"/><Relationship Id="rId_hyperlink_4841" Type="http://schemas.openxmlformats.org/officeDocument/2006/relationships/hyperlink" Target="https://old.ukr-mobil.com/index.php?route=product&amp;product_id=10004858" TargetMode="External"/><Relationship Id="rId_hyperlink_4842" Type="http://schemas.openxmlformats.org/officeDocument/2006/relationships/hyperlink" Target="https://old.ukr-mobil.com/steklo_kamery_xiaomi_11t_11t_pro_black_10003214" TargetMode="External"/><Relationship Id="rId_hyperlink_4843" Type="http://schemas.openxmlformats.org/officeDocument/2006/relationships/hyperlink" Target="https://old.ukr-mobil.com/steklo_kamery_xiaomi_mi_10_pro_black_10000963" TargetMode="External"/><Relationship Id="rId_hyperlink_4844" Type="http://schemas.openxmlformats.org/officeDocument/2006/relationships/hyperlink" Target="https://old.ukr-mobil.com/steklo_kamery_xiaomi_mi_10_s_ramkoj_black_10000954" TargetMode="External"/><Relationship Id="rId_hyperlink_4845" Type="http://schemas.openxmlformats.org/officeDocument/2006/relationships/hyperlink" Target="https://old.ukr-mobil.com/steklo_kamery_xiaomi_mi_11i_black_10003222" TargetMode="External"/><Relationship Id="rId_hyperlink_4846" Type="http://schemas.openxmlformats.org/officeDocument/2006/relationships/hyperlink" Target="https://old.ukr-mobil.com/steklo_kamery_xiaomi_mi_8_lite_s_ramkoj_black_10000951" TargetMode="External"/><Relationship Id="rId_hyperlink_4847" Type="http://schemas.openxmlformats.org/officeDocument/2006/relationships/hyperlink" Target="https://old.ukr-mobil.com/steklo_kamery_xiaomi_mi_8_pro_black_10000956" TargetMode="External"/><Relationship Id="rId_hyperlink_4848" Type="http://schemas.openxmlformats.org/officeDocument/2006/relationships/hyperlink" Target="https://old.ukr-mobil.com/steklo_kamery_xiaomi_mi_8_black_10000938" TargetMode="External"/><Relationship Id="rId_hyperlink_4849" Type="http://schemas.openxmlformats.org/officeDocument/2006/relationships/hyperlink" Target="https://old.ukr-mobil.com/steklo_kamery_xiaomi_mi_9_lite_black_10000945" TargetMode="External"/><Relationship Id="rId_hyperlink_4850" Type="http://schemas.openxmlformats.org/officeDocument/2006/relationships/hyperlink" Target="https://old.ukr-mobil.com/steklo_kamery_xiaomi_mi_9_mi_9_se_s_ramkoj_black_10000959" TargetMode="External"/><Relationship Id="rId_hyperlink_4851" Type="http://schemas.openxmlformats.org/officeDocument/2006/relationships/hyperlink" Target="https://old.ukr-mobil.com/index.php?route=product&amp;product_id=10005581" TargetMode="External"/><Relationship Id="rId_hyperlink_4852" Type="http://schemas.openxmlformats.org/officeDocument/2006/relationships/hyperlink" Target="https://old.ukr-mobil.com/index.php?route=product&amp;product_id=10005582" TargetMode="External"/><Relationship Id="rId_hyperlink_4853" Type="http://schemas.openxmlformats.org/officeDocument/2006/relationships/hyperlink" Target="https://old.ukr-mobil.com/steklo_kamery_xiaomi_mi_9t_redmi_k20_redmi_k20_pro_black_10000948" TargetMode="External"/><Relationship Id="rId_hyperlink_4854" Type="http://schemas.openxmlformats.org/officeDocument/2006/relationships/hyperlink" Target="https://old.ukr-mobil.com/steklo_kamery_xiaomi_mi_a2_lite_redmi_6_pro_s_ramkoj_black_10000950" TargetMode="External"/><Relationship Id="rId_hyperlink_4855" Type="http://schemas.openxmlformats.org/officeDocument/2006/relationships/hyperlink" Target="https://old.ukr-mobil.com/steklo_kamery_xiaomi_mi_a2_lite_redmi_6_pro_s_ramkoj_blue_10000949" TargetMode="External"/><Relationship Id="rId_hyperlink_4856" Type="http://schemas.openxmlformats.org/officeDocument/2006/relationships/hyperlink" Target="https://old.ukr-mobil.com/steklo_kamery_xiaomi_mi_a2_black_10000939" TargetMode="External"/><Relationship Id="rId_hyperlink_4857" Type="http://schemas.openxmlformats.org/officeDocument/2006/relationships/hyperlink" Target="https://old.ukr-mobil.com/steklo_kamery_xiaomi_mi_note_10_mi_note_10_pro_black_10001330" TargetMode="External"/><Relationship Id="rId_hyperlink_4858" Type="http://schemas.openxmlformats.org/officeDocument/2006/relationships/hyperlink" Target="https://old.ukr-mobil.com/steklo_kamery_xiaomi_mi_note_10_s_ramkoj_black_10000957" TargetMode="External"/><Relationship Id="rId_hyperlink_4859" Type="http://schemas.openxmlformats.org/officeDocument/2006/relationships/hyperlink" Target="https://old.ukr-mobil.com/steklo_kamery_xiaomi_mi10t_black_10001559" TargetMode="External"/><Relationship Id="rId_hyperlink_4860" Type="http://schemas.openxmlformats.org/officeDocument/2006/relationships/hyperlink" Target="https://old.ukr-mobil.com/steklo_kamery_xiaomi_redmi_10_black_10002615" TargetMode="External"/><Relationship Id="rId_hyperlink_4861" Type="http://schemas.openxmlformats.org/officeDocument/2006/relationships/hyperlink" Target="https://old.ukr-mobil.com/steklo_kamery_xiaomi_redmi_10c_black_10003208" TargetMode="External"/><Relationship Id="rId_hyperlink_4862" Type="http://schemas.openxmlformats.org/officeDocument/2006/relationships/hyperlink" Target="https://old.ukr-mobil.com/index.php?route=product&amp;product_id=10004852" TargetMode="External"/><Relationship Id="rId_hyperlink_4863" Type="http://schemas.openxmlformats.org/officeDocument/2006/relationships/hyperlink" Target="https://old.ukr-mobil.com/index.php?route=product&amp;product_id=10004856" TargetMode="External"/><Relationship Id="rId_hyperlink_4864" Type="http://schemas.openxmlformats.org/officeDocument/2006/relationships/hyperlink" Target="https://old.ukr-mobil.com/steklo_kamery_xiaomi_redmi_6_s_ramkoj_black_10000944" TargetMode="External"/><Relationship Id="rId_hyperlink_4865" Type="http://schemas.openxmlformats.org/officeDocument/2006/relationships/hyperlink" Target="https://old.ukr-mobil.com/steklo_kamery_xiaomi_redmi_7_black_10000955" TargetMode="External"/><Relationship Id="rId_hyperlink_4866" Type="http://schemas.openxmlformats.org/officeDocument/2006/relationships/hyperlink" Target="https://old.ukr-mobil.com/steklo_kamery_xiaomi_redmi_8_black_10000946" TargetMode="External"/><Relationship Id="rId_hyperlink_4867" Type="http://schemas.openxmlformats.org/officeDocument/2006/relationships/hyperlink" Target="https://old.ukr-mobil.com/steklo_kamery_xiaomi_redmi_8a_black_10000947" TargetMode="External"/><Relationship Id="rId_hyperlink_4868" Type="http://schemas.openxmlformats.org/officeDocument/2006/relationships/hyperlink" Target="https://old.ukr-mobil.com/steklo_kamery_xiaomi_redmi_9_black_10002614" TargetMode="External"/><Relationship Id="rId_hyperlink_4869" Type="http://schemas.openxmlformats.org/officeDocument/2006/relationships/hyperlink" Target="https://old.ukr-mobil.com/steklo_kamery_xiaomi_redmi_9a_redmi_9at_redmi_9i_black_10002613" TargetMode="External"/><Relationship Id="rId_hyperlink_4870" Type="http://schemas.openxmlformats.org/officeDocument/2006/relationships/hyperlink" Target="https://old.ukr-mobil.com/steklo_kamery_xiaomi_redmi_9c_poco_c3_black_10002612" TargetMode="External"/><Relationship Id="rId_hyperlink_4871" Type="http://schemas.openxmlformats.org/officeDocument/2006/relationships/hyperlink" Target="https://old.ukr-mobil.com/steklo_kamery_xiaomi_redmi_9t_redmi_9_power_black_10002611" TargetMode="External"/><Relationship Id="rId_hyperlink_4872" Type="http://schemas.openxmlformats.org/officeDocument/2006/relationships/hyperlink" Target="https://old.ukr-mobil.com/steklo_kamery_xiaomi_redmi_note_10_5g_redmi_note_10t_5g_black_10002610" TargetMode="External"/><Relationship Id="rId_hyperlink_4873" Type="http://schemas.openxmlformats.org/officeDocument/2006/relationships/hyperlink" Target="https://old.ukr-mobil.com/steklo_kamery_xiaomi_redmi_note_10_pro_black_10002609" TargetMode="External"/><Relationship Id="rId_hyperlink_4874" Type="http://schemas.openxmlformats.org/officeDocument/2006/relationships/hyperlink" Target="https://old.ukr-mobil.com/steklo_kamery_xiaomi_redmi_note_10_redmi_note_10s_black_10002608" TargetMode="External"/><Relationship Id="rId_hyperlink_4875" Type="http://schemas.openxmlformats.org/officeDocument/2006/relationships/hyperlink" Target="https://old.ukr-mobil.com/steklo_kamery_xiaomi_redmi_note_11_redmi_note_11s_black_10003218" TargetMode="External"/><Relationship Id="rId_hyperlink_4876" Type="http://schemas.openxmlformats.org/officeDocument/2006/relationships/hyperlink" Target="https://old.ukr-mobil.com/index.php?route=product&amp;product_id=10004851" TargetMode="External"/><Relationship Id="rId_hyperlink_4877" Type="http://schemas.openxmlformats.org/officeDocument/2006/relationships/hyperlink" Target="https://old.ukr-mobil.com/steklo_kamery_xiaomi_redmi_note_5_redmi_note_5_pro_s_ramkoj_black_10000953" TargetMode="External"/><Relationship Id="rId_hyperlink_4878" Type="http://schemas.openxmlformats.org/officeDocument/2006/relationships/hyperlink" Target="https://old.ukr-mobil.com/steklo_kamery_xiaomi_redmi_note_5_redmi_note_5_pro_s_ramkoj_blue_10000952" TargetMode="External"/><Relationship Id="rId_hyperlink_4879" Type="http://schemas.openxmlformats.org/officeDocument/2006/relationships/hyperlink" Target="https://old.ukr-mobil.com/steklo_kamery_xiaomi_redmi_note_6_pro_s_ramkoj_black_10000965" TargetMode="External"/><Relationship Id="rId_hyperlink_4880" Type="http://schemas.openxmlformats.org/officeDocument/2006/relationships/hyperlink" Target="https://old.ukr-mobil.com/steklo_kamery_xiaomi_redmi_note_6_pro_s_ramkoj_blue_10000964" TargetMode="External"/><Relationship Id="rId_hyperlink_4881" Type="http://schemas.openxmlformats.org/officeDocument/2006/relationships/hyperlink" Target="https://old.ukr-mobil.com/steklo_kamery_xiaomi_redmi_note_7_black_10001111" TargetMode="External"/><Relationship Id="rId_hyperlink_4882" Type="http://schemas.openxmlformats.org/officeDocument/2006/relationships/hyperlink" Target="https://old.ukr-mobil.com/steklo_kamery_xiaomi_redmi_note_7_s_ramkoj_black_10000961" TargetMode="External"/><Relationship Id="rId_hyperlink_4883" Type="http://schemas.openxmlformats.org/officeDocument/2006/relationships/hyperlink" Target="https://old.ukr-mobil.com/steklo_kamery_xiaomi_redmi_note_7_s_ramkoj_blue_10000960" TargetMode="External"/><Relationship Id="rId_hyperlink_4884" Type="http://schemas.openxmlformats.org/officeDocument/2006/relationships/hyperlink" Target="https://old.ukr-mobil.com/steklo_kamery_xiaomi_redmi_note_8_pro_black_10000962" TargetMode="External"/><Relationship Id="rId_hyperlink_4885" Type="http://schemas.openxmlformats.org/officeDocument/2006/relationships/hyperlink" Target="https://old.ukr-mobil.com/steklo_kamery_xiaomi_redmi_note_8_redmi_note_8t_black_10001331" TargetMode="External"/><Relationship Id="rId_hyperlink_4886" Type="http://schemas.openxmlformats.org/officeDocument/2006/relationships/hyperlink" Target="https://old.ukr-mobil.com/steklo_kamery_xiaomi_redmi_note_8_redmi_note_8t_s_ramkoj_blue_10000942" TargetMode="External"/><Relationship Id="rId_hyperlink_4887" Type="http://schemas.openxmlformats.org/officeDocument/2006/relationships/hyperlink" Target="https://old.ukr-mobil.com/steklo_kamery_xiaomi_redmi_note_8_redmi_note_8t_s_ramkoj_silver_10000941" TargetMode="External"/><Relationship Id="rId_hyperlink_4888" Type="http://schemas.openxmlformats.org/officeDocument/2006/relationships/hyperlink" Target="https://old.ukr-mobil.com/steklo_kamery_xiaomi_redmi_note_9_black_10000958" TargetMode="External"/><Relationship Id="rId_hyperlink_4889" Type="http://schemas.openxmlformats.org/officeDocument/2006/relationships/hyperlink" Target="https://old.ukr-mobil.com/steklo_kamery_xiaomi_redmi_s2_s_ramkoj_black_10000940" TargetMode="External"/><Relationship Id="rId_hyperlink_4890" Type="http://schemas.openxmlformats.org/officeDocument/2006/relationships/hyperlink" Target="https://old.ukr-mobil.com/mikroskhema_pamyati_samsung_klm8g2fe3b-b001_9970" TargetMode="External"/><Relationship Id="rId_hyperlink_4891" Type="http://schemas.openxmlformats.org/officeDocument/2006/relationships/hyperlink" Target="https://old.ukr-mobil.com/mikroskhema_pamyati_samsung_kmf720012m-b214_10000370" TargetMode="External"/><Relationship Id="rId_hyperlink_4892" Type="http://schemas.openxmlformats.org/officeDocument/2006/relationships/hyperlink" Target="https://old.ukr-mobil.com/mikroskhema_pamyati_samsung_kmr820001m-b609_8512" TargetMode="External"/><Relationship Id="rId_hyperlink_4893" Type="http://schemas.openxmlformats.org/officeDocument/2006/relationships/hyperlink" Target="https://old.ukr-mobil.com/mikroskhema_upravleniya_podsvetkoj_lp8566_36pin_ipad_pro_12_9_9138" TargetMode="External"/><Relationship Id="rId_hyperlink_4894" Type="http://schemas.openxmlformats.org/officeDocument/2006/relationships/hyperlink" Target="https://old.ukr-mobil.com/mikroskhema_upravleniya_podsvetkoj_sgm3803df_doogee_ht7_huawei_honor_5a_cam-al00_5_5_honor_5c_honor_5x_9620" TargetMode="External"/><Relationship Id="rId_hyperlink_4895" Type="http://schemas.openxmlformats.org/officeDocument/2006/relationships/hyperlink" Target="https://old.ukr-mobil.com/mikroskhema_upravleniya_zaryadkoj_u2_cbtl1610a1_36pin_iphone_5c_iphone_5s_7525" TargetMode="External"/><Relationship Id="rId_hyperlink_4896" Type="http://schemas.openxmlformats.org/officeDocument/2006/relationships/hyperlink" Target="https://old.ukr-mobil.com/mikroskhema_kontroller_zaryadki_bq27426_lenovo_huawei_meizu_xiaomi_10356" TargetMode="External"/><Relationship Id="rId_hyperlink_4897" Type="http://schemas.openxmlformats.org/officeDocument/2006/relationships/hyperlink" Target="https://old.ukr-mobil.com/mikroskhema_kontroller_pitaniya_pm8937_xiaomi_redmi_3_9619" TargetMode="External"/><Relationship Id="rId_hyperlink_4898" Type="http://schemas.openxmlformats.org/officeDocument/2006/relationships/hyperlink" Target="https://old.ukr-mobil.com/mikroskhema_kontroller_pitaniya_pmd9645_iphone_7_iphone_7_plus_10000455" TargetMode="External"/><Relationship Id="rId_hyperlink_4899" Type="http://schemas.openxmlformats.org/officeDocument/2006/relationships/hyperlink" Target="https://old.ukr-mobil.com/mikroskhema_kontroller_pitaniya_qualcomm_pm660l_004-01_xiaomi_redmi_note_6_pro_redmi_note_7_10001251" TargetMode="External"/><Relationship Id="rId_hyperlink_4900" Type="http://schemas.openxmlformats.org/officeDocument/2006/relationships/hyperlink" Target="https://old.ukr-mobil.com/mikrofon_huawei_honor_10_honor_10_lite_mate_20_mate_20_lite_mate_20_pro_nova_3i_p_smart_plus_p_smart_2019_10001888" TargetMode="External"/><Relationship Id="rId_hyperlink_4901" Type="http://schemas.openxmlformats.org/officeDocument/2006/relationships/hyperlink" Target="https://old.ukr-mobil.com/mikrofon_lg_6_pins_1372" TargetMode="External"/><Relationship Id="rId_hyperlink_4902" Type="http://schemas.openxmlformats.org/officeDocument/2006/relationships/hyperlink" Target="https://old.ukr-mobil.com/mikrofon_samsung_shlejf_1594" TargetMode="External"/><Relationship Id="rId_hyperlink_4903" Type="http://schemas.openxmlformats.org/officeDocument/2006/relationships/hyperlink" Target="https://old.ukr-mobil.com/mikrofon_samsung_a315_galaxy_a31_original_10001890" TargetMode="External"/><Relationship Id="rId_hyperlink_4904" Type="http://schemas.openxmlformats.org/officeDocument/2006/relationships/hyperlink" Target="https://old.ukr-mobil.com/mikrofon_samsung_g950_galaxy_s8_g955_galaxy_s8_plus_g960_galaxy_s9_g965_galaxy_s9_plus_n960_galaxy_note_9_original_10001889" TargetMode="External"/><Relationship Id="rId_hyperlink_4905" Type="http://schemas.openxmlformats.org/officeDocument/2006/relationships/hyperlink" Target="https://old.ukr-mobil.com/mikrofon_xiaomi_mi3_9953" TargetMode="External"/><Relationship Id="rId_hyperlink_4906" Type="http://schemas.openxmlformats.org/officeDocument/2006/relationships/hyperlink" Target="https://old.ukr-mobil.com/bulavka_dlya_sim_karty_iphone_3612" TargetMode="External"/><Relationship Id="rId_hyperlink_4907" Type="http://schemas.openxmlformats.org/officeDocument/2006/relationships/hyperlink" Target="https://old.ukr-mobil.com/roz_m_na_zaryadku_redmi_7_micro-usb_10002882" TargetMode="External"/><Relationship Id="rId_hyperlink_4908" Type="http://schemas.openxmlformats.org/officeDocument/2006/relationships/hyperlink" Target="https://old.ukr-mobil.com/konnektor_zaryadki_i-phone_2g_513" TargetMode="External"/><Relationship Id="rId_hyperlink_4909" Type="http://schemas.openxmlformats.org/officeDocument/2006/relationships/hyperlink" Target="https://old.ukr-mobil.com/konnektor_zaryadki_asus_fonepad_7_fe170cg_htc_s710e_incredible_s_sony_d2004_xperia_e1_d2005_xperia_e1_d2104_xperia_e1_ds_d2105_xperia_e1_ds_d211_9932" TargetMode="External"/><Relationship Id="rId_hyperlink_4910" Type="http://schemas.openxmlformats.org/officeDocument/2006/relationships/hyperlink" Target="https://old.ukr-mobil.com/konnektor_zaryadki_asus_zenfone_c_zc451cg_8562" TargetMode="External"/><Relationship Id="rId_hyperlink_4911" Type="http://schemas.openxmlformats.org/officeDocument/2006/relationships/hyperlink" Target="https://old.ukr-mobil.com/konnektor_zaryadki_asus_zenfone_go_zc500tg_z00vd_zb500kl_8559" TargetMode="External"/><Relationship Id="rId_hyperlink_4912" Type="http://schemas.openxmlformats.org/officeDocument/2006/relationships/hyperlink" Target="https://old.ukr-mobil.com/konnektor_zaryadki_fly_ds103_ds105_ds107_ds113_ds120_e130_e145_5317" TargetMode="External"/><Relationship Id="rId_hyperlink_4913" Type="http://schemas.openxmlformats.org/officeDocument/2006/relationships/hyperlink" Target="https://old.ukr-mobil.com/konnektor_zaryadki_fly_ds106_ds125_ds128_ds130_e141tv_e145_e157_iq235_iq237_iq238_iq255_iq256_iq430_iq442_iq443_iq444_5318" TargetMode="External"/><Relationship Id="rId_hyperlink_4914" Type="http://schemas.openxmlformats.org/officeDocument/2006/relationships/hyperlink" Target="https://old.ukr-mobil.com/konnektor_zaryadki_g3_d850_g3_d851_g3_d855_g3_f400_g3_ls990_for_sprint_g3_vs985_11_pin_5324" TargetMode="External"/><Relationship Id="rId_hyperlink_4915" Type="http://schemas.openxmlformats.org/officeDocument/2006/relationships/hyperlink" Target="https://old.ukr-mobil.com/konnektor_zaryadki_google_pixel_3_pixel_3a_usb_type-c_10003758" TargetMode="External"/><Relationship Id="rId_hyperlink_4916" Type="http://schemas.openxmlformats.org/officeDocument/2006/relationships/hyperlink" Target="https://old.ukr-mobil.com/konnektor_zaryadki_google_pixel_4_pixel_4a_usb_type-c_10003759" TargetMode="External"/><Relationship Id="rId_hyperlink_4917" Type="http://schemas.openxmlformats.org/officeDocument/2006/relationships/hyperlink" Target="https://old.ukr-mobil.com/index.php?route=product&amp;product_id=10005035" TargetMode="External"/><Relationship Id="rId_hyperlink_4918" Type="http://schemas.openxmlformats.org/officeDocument/2006/relationships/hyperlink" Target="https://old.ukr-mobil.com/index.php?route=product&amp;product_id=10005036" TargetMode="External"/><Relationship Id="rId_hyperlink_4919" Type="http://schemas.openxmlformats.org/officeDocument/2006/relationships/hyperlink" Target="https://old.ukr-mobil.com/index.php?route=product&amp;product_id=10005032" TargetMode="External"/><Relationship Id="rId_hyperlink_4920" Type="http://schemas.openxmlformats.org/officeDocument/2006/relationships/hyperlink" Target="https://old.ukr-mobil.com/index.php?route=product&amp;product_id=10005030" TargetMode="External"/><Relationship Id="rId_hyperlink_4921" Type="http://schemas.openxmlformats.org/officeDocument/2006/relationships/hyperlink" Target="https://old.ukr-mobil.com/index.php?route=product&amp;product_id=10005031" TargetMode="External"/><Relationship Id="rId_hyperlink_4922" Type="http://schemas.openxmlformats.org/officeDocument/2006/relationships/hyperlink" Target="https://old.ukr-mobil.com/index.php?route=product&amp;product_id=10005034" TargetMode="External"/><Relationship Id="rId_hyperlink_4923" Type="http://schemas.openxmlformats.org/officeDocument/2006/relationships/hyperlink" Target="https://old.ukr-mobil.com/index.php?route=product&amp;product_id=10005033" TargetMode="External"/><Relationship Id="rId_hyperlink_4924" Type="http://schemas.openxmlformats.org/officeDocument/2006/relationships/hyperlink" Target="https://old.ukr-mobil.com/konnektor_zaryadki_huawei_g600_5333" TargetMode="External"/><Relationship Id="rId_hyperlink_4925" Type="http://schemas.openxmlformats.org/officeDocument/2006/relationships/hyperlink" Target="https://old.ukr-mobil.com/konnektor_zaryadki_huawei_mate_10_usb_type-c_11653" TargetMode="External"/><Relationship Id="rId_hyperlink_4926" Type="http://schemas.openxmlformats.org/officeDocument/2006/relationships/hyperlink" Target="https://old.ukr-mobil.com/konnektor_zaryadki_huawei_nexus_6p_usb_type-c_9934" TargetMode="External"/><Relationship Id="rId_hyperlink_4927" Type="http://schemas.openxmlformats.org/officeDocument/2006/relationships/hyperlink" Target="https://old.ukr-mobil.com/konnektor_zaryadki_huawei_p_smart_z_y9_prime_2019_18_pins_usb_type-c_10002412" TargetMode="External"/><Relationship Id="rId_hyperlink_4928" Type="http://schemas.openxmlformats.org/officeDocument/2006/relationships/hyperlink" Target="https://old.ukr-mobil.com/konnektor_zaryadki_huawei_p_smart_p_smart_plus_p9_lite_y6_2019_y7_2018_honor_10_lite_honor_7a_honor_7x_honor_9_lite_5_pins_micro_usb_10002411" TargetMode="External"/><Relationship Id="rId_hyperlink_4929" Type="http://schemas.openxmlformats.org/officeDocument/2006/relationships/hyperlink" Target="https://old.ukr-mobil.com/konnektor_zaryadki_huawei_p10_vtr-l29_p10_plus_usb_type-c_11652" TargetMode="External"/><Relationship Id="rId_hyperlink_4930" Type="http://schemas.openxmlformats.org/officeDocument/2006/relationships/hyperlink" Target="https://old.ukr-mobil.com/konnektor_zaryadki_huawei_p9_lite_y3_2017_y5_2017_y6_ii_y7_2017_samsung_t290_galaxy_tab_a_8_0_wifi_t295_galaxy_tab_a_8_0_5_pin_micro-usb_10002408" TargetMode="External"/><Relationship Id="rId_hyperlink_4931" Type="http://schemas.openxmlformats.org/officeDocument/2006/relationships/hyperlink" Target="https://old.ukr-mobil.com/konnektor_zaryadki_huawei_y210_5332" TargetMode="External"/><Relationship Id="rId_hyperlink_4932" Type="http://schemas.openxmlformats.org/officeDocument/2006/relationships/hyperlink" Target="https://old.ukr-mobil.com/konnektor_zaryadki_iq440_iq436i_era_nano_9_iq4404_iq452_iq456_era_life_2_iq4601_era_style_2_sony_c1503_c1504_c1505_c1604_c1605_4757" TargetMode="External"/><Relationship Id="rId_hyperlink_4933" Type="http://schemas.openxmlformats.org/officeDocument/2006/relationships/hyperlink" Target="https://old.ukr-mobil.com/konnektor_zaryadki_lenovo_a3000_a3300_a3500_a5000_a7000_a10-30_a10-70_a7600_a7-50_5_pin_micro-usb_tip-b_10185" TargetMode="External"/><Relationship Id="rId_hyperlink_4934" Type="http://schemas.openxmlformats.org/officeDocument/2006/relationships/hyperlink" Target="https://old.ukr-mobil.com/konnektor_zaryadki_lenovo_s850_z90-7_vibe_shot_5_pin_9523" TargetMode="External"/><Relationship Id="rId_hyperlink_4935" Type="http://schemas.openxmlformats.org/officeDocument/2006/relationships/hyperlink" Target="https://old.ukr-mobil.com/konnektor_zaryadki_lg_b2000_c3600_kg130_kg330_290" TargetMode="External"/><Relationship Id="rId_hyperlink_4936" Type="http://schemas.openxmlformats.org/officeDocument/2006/relationships/hyperlink" Target="https://old.ukr-mobil.com/konnektor_zaryadki_lg_g4_h810_h815_h818_d380_d335_8558" TargetMode="External"/><Relationship Id="rId_hyperlink_4937" Type="http://schemas.openxmlformats.org/officeDocument/2006/relationships/hyperlink" Target="https://old.ukr-mobil.com/konnektor_zaryadki_lg_g5_h820_g5_h830_g5_h850_g5_ls992_g5_se_h840_g5_se_h845_g5_us992_g5_vs987_usb_type-c_8419" TargetMode="External"/><Relationship Id="rId_hyperlink_4938" Type="http://schemas.openxmlformats.org/officeDocument/2006/relationships/hyperlink" Target="https://old.ukr-mobil.com/konnektor_zaryadki_lg_h870_g6_h871_h872_h873_ls993_us997_vs998_usb_type-c_11651" TargetMode="External"/><Relationship Id="rId_hyperlink_4939" Type="http://schemas.openxmlformats.org/officeDocument/2006/relationships/hyperlink" Target="https://old.ukr-mobil.com/konnektor_zaryadki_lg_km500_1253" TargetMode="External"/><Relationship Id="rId_hyperlink_4940" Type="http://schemas.openxmlformats.org/officeDocument/2006/relationships/hyperlink" Target="https://old.ukr-mobil.com/konnektor_zaryadki_meizu_mx5_8579" TargetMode="External"/><Relationship Id="rId_hyperlink_4941" Type="http://schemas.openxmlformats.org/officeDocument/2006/relationships/hyperlink" Target="https://old.ukr-mobil.com/konnektor_zaryadki_meizu_mx5_pro_usb_type-c_8582" TargetMode="External"/><Relationship Id="rId_hyperlink_4942" Type="http://schemas.openxmlformats.org/officeDocument/2006/relationships/hyperlink" Target="https://old.ukr-mobil.com/konnektor_zaryadki_motorola_g8_play_xt2015_g9_play_xt2083_e7_plus_xt2081_usb_type-c_10003846" TargetMode="External"/><Relationship Id="rId_hyperlink_4943" Type="http://schemas.openxmlformats.org/officeDocument/2006/relationships/hyperlink" Target="https://old.ukr-mobil.com/konnektor_zaryadki_xt1650_moto_x_xt1635-02_moto_z_play_usb_type-c_11650" TargetMode="External"/><Relationship Id="rId_hyperlink_4944" Type="http://schemas.openxmlformats.org/officeDocument/2006/relationships/hyperlink" Target="https://old.ukr-mobil.com/konnektor_zaryadki_motorola_xt1929_moto_z3_play_usb_type-c_10002157" TargetMode="External"/><Relationship Id="rId_hyperlink_4945" Type="http://schemas.openxmlformats.org/officeDocument/2006/relationships/hyperlink" Target="https://old.ukr-mobil.com/konnektor_zaryadki_motorola_xt1941-2_moto_p30_play_usb_type-c_10002169" TargetMode="External"/><Relationship Id="rId_hyperlink_4946" Type="http://schemas.openxmlformats.org/officeDocument/2006/relationships/hyperlink" Target="https://old.ukr-mobil.com/konnektor_zaryadki_motorola_xt1952_moto_g7_play_xt2045-2_moto_g8_xt2087_moto_g9_plus_usb_type-c_10002155" TargetMode="External"/><Relationship Id="rId_hyperlink_4947" Type="http://schemas.openxmlformats.org/officeDocument/2006/relationships/hyperlink" Target="https://old.ukr-mobil.com/konnektor_zaryadki_motorola_xt1962_moto_g7_xt1965_moto_g7_plus_xt2019_moto_g8_plus_usb_type-c_10002156" TargetMode="External"/><Relationship Id="rId_hyperlink_4948" Type="http://schemas.openxmlformats.org/officeDocument/2006/relationships/hyperlink" Target="https://old.ukr-mobil.com/konnektor_zaryadki_motorola_xt2013-2_moto_one_action_usb_type-c_10002168" TargetMode="External"/><Relationship Id="rId_hyperlink_4949" Type="http://schemas.openxmlformats.org/officeDocument/2006/relationships/hyperlink" Target="https://old.ukr-mobil.com/konnektor_zaryadki_nokia_800_lumia_n900_4087" TargetMode="External"/><Relationship Id="rId_hyperlink_4950" Type="http://schemas.openxmlformats.org/officeDocument/2006/relationships/hyperlink" Target="https://old.ukr-mobil.com/konnektor_zaryadki_nokia_8600_6500s_254" TargetMode="External"/><Relationship Id="rId_hyperlink_4951" Type="http://schemas.openxmlformats.org/officeDocument/2006/relationships/hyperlink" Target="https://old.ukr-mobil.com/konnektor_zaryadki_nokia_8800_1368" TargetMode="External"/><Relationship Id="rId_hyperlink_4952" Type="http://schemas.openxmlformats.org/officeDocument/2006/relationships/hyperlink" Target="https://old.ukr-mobil.com/konnektor_zaryadki_nokia_8800se_1366" TargetMode="External"/><Relationship Id="rId_hyperlink_4953" Type="http://schemas.openxmlformats.org/officeDocument/2006/relationships/hyperlink" Target="https://old.ukr-mobil.com/konnektor_zaryadki_nokia_e52_e55_n97_1256" TargetMode="External"/><Relationship Id="rId_hyperlink_4954" Type="http://schemas.openxmlformats.org/officeDocument/2006/relationships/hyperlink" Target="https://old.ukr-mobil.com/konnektor_zaryadki_nokia_e7_3942" TargetMode="External"/><Relationship Id="rId_hyperlink_4955" Type="http://schemas.openxmlformats.org/officeDocument/2006/relationships/hyperlink" Target="https://old.ukr-mobil.com/konnektor_zaryadki_nokia_n78_n81_n82_c7_1255" TargetMode="External"/><Relationship Id="rId_hyperlink_4956" Type="http://schemas.openxmlformats.org/officeDocument/2006/relationships/hyperlink" Target="https://old.ukr-mobil.com/konnektor_zaryadki_samsung_a205_galaxy_a20_a305_a30_a405_a40_a505_a50_a705_a70_usb_type_c_10001328" TargetMode="External"/><Relationship Id="rId_hyperlink_4957" Type="http://schemas.openxmlformats.org/officeDocument/2006/relationships/hyperlink" Target="https://old.ukr-mobil.com/konnektor_zaryadki_samsung_a207_galaxy_a20s_16_pin_usb_type_c_10002410" TargetMode="External"/><Relationship Id="rId_hyperlink_4958" Type="http://schemas.openxmlformats.org/officeDocument/2006/relationships/hyperlink" Target="https://old.ukr-mobil.com/konnektor_zaryadki_samsung_a320_galaxy_a3_2017_a520_galaxy_a5_2017_a720f_galaxy_a7_2017_11053" TargetMode="External"/><Relationship Id="rId_hyperlink_4959" Type="http://schemas.openxmlformats.org/officeDocument/2006/relationships/hyperlink" Target="https://old.ukr-mobil.com/konnektor_zaryadki_samsung_a530_galaxy_a8_2018_a730_galaxy_a8_plus_usb_type-c_10001329" TargetMode="External"/><Relationship Id="rId_hyperlink_4960" Type="http://schemas.openxmlformats.org/officeDocument/2006/relationships/hyperlink" Target="https://old.ukr-mobil.com/konnektor_zaryadki_samsung_c140_c160_c250_c260_201" TargetMode="External"/><Relationship Id="rId_hyperlink_4961" Type="http://schemas.openxmlformats.org/officeDocument/2006/relationships/hyperlink" Target="https://old.ukr-mobil.com/konnektor_zaryadki_samsung_c170_u100_442" TargetMode="External"/><Relationship Id="rId_hyperlink_4962" Type="http://schemas.openxmlformats.org/officeDocument/2006/relationships/hyperlink" Target="https://old.ukr-mobil.com/konnektor_zaryadki_samsung_c3312_c3322_c3330_c3350_c3520_c3560_c3752_c3782_e2222_e2530_i9250_s5300_s5360_s5380_s5570_s56_3594" TargetMode="External"/><Relationship Id="rId_hyperlink_4963" Type="http://schemas.openxmlformats.org/officeDocument/2006/relationships/hyperlink" Target="https://old.ukr-mobil.com/konnektor_zaryadki_samsung_e200_200" TargetMode="External"/><Relationship Id="rId_hyperlink_4964" Type="http://schemas.openxmlformats.org/officeDocument/2006/relationships/hyperlink" Target="https://old.ukr-mobil.com/konnektor_zaryadki_samsung_g930f_galaxy_s7_g935f_galaxy_s7_edge_11193" TargetMode="External"/><Relationship Id="rId_hyperlink_4965" Type="http://schemas.openxmlformats.org/officeDocument/2006/relationships/hyperlink" Target="https://old.ukr-mobil.com/konnektor_zaryadki_samsung_g950_galaxy_s8_g955_galaxy_s8_plus_usb_type-c_11654" TargetMode="External"/><Relationship Id="rId_hyperlink_4966" Type="http://schemas.openxmlformats.org/officeDocument/2006/relationships/hyperlink" Target="https://old.ukr-mobil.com/konnektor_zaryadki_samsung_g970_galaxy_s10e_g973_galaxy_s10_g975_galaxy_s10_plus_usb_type-c_12178" TargetMode="External"/><Relationship Id="rId_hyperlink_4967" Type="http://schemas.openxmlformats.org/officeDocument/2006/relationships/hyperlink" Target="https://old.ukr-mobil.com/konnektor_zaryadki_samsung_i8160_4503" TargetMode="External"/><Relationship Id="rId_hyperlink_4968" Type="http://schemas.openxmlformats.org/officeDocument/2006/relationships/hyperlink" Target="https://old.ukr-mobil.com/konnektor_zaryadki_samsung_i8262_i9190_i9195_s5310_s6310_5611" TargetMode="External"/><Relationship Id="rId_hyperlink_4969" Type="http://schemas.openxmlformats.org/officeDocument/2006/relationships/hyperlink" Target="https://old.ukr-mobil.com/konnektor_zaryadki_samsung_i9070_s5310_i9050_i699_s6108_s6358_i727_s6102_s6532_3598" TargetMode="External"/><Relationship Id="rId_hyperlink_4970" Type="http://schemas.openxmlformats.org/officeDocument/2006/relationships/hyperlink" Target="https://old.ukr-mobil.com/konnektor_zaryadki_samsung_n950_galaxy_note_8_usb_type-c_11655" TargetMode="External"/><Relationship Id="rId_hyperlink_4971" Type="http://schemas.openxmlformats.org/officeDocument/2006/relationships/hyperlink" Target="https://old.ukr-mobil.com/konnektor_zaryadki_samsung_samsung_p3200_galaxy_tab3_p5200_galaxy_tab3_p5210_galaxy_tab3_t210_t2100_galaxy_tab_3_t2110_galaxy_tab_3_t230_galaxy_5519" TargetMode="External"/><Relationship Id="rId_hyperlink_4972" Type="http://schemas.openxmlformats.org/officeDocument/2006/relationships/hyperlink" Target="https://old.ukr-mobil.com/konnektor_zaryadki_samsung_t110_galaxy_tab_3_lite_7_0_t560_galaxy_tab_e_9_6_t561_galaxy_tab_e_g360_galaxy_core_prime_g361h_galaxy_core_prime_ve_i_8054" TargetMode="External"/><Relationship Id="rId_hyperlink_4973" Type="http://schemas.openxmlformats.org/officeDocument/2006/relationships/hyperlink" Target="https://old.ukr-mobil.com/konnektor_zaryadki_samsung_t330_galaxy_tab_4_t331_t335_t530_t531_t535_11054" TargetMode="External"/><Relationship Id="rId_hyperlink_4974" Type="http://schemas.openxmlformats.org/officeDocument/2006/relationships/hyperlink" Target="https://old.ukr-mobil.com/konnektor_zaryadki_sony_c5502_m36h_xperia_zr_c5503_m36i_xperia_zr_c6902_l39h_xperia_z1_d6502_xperia_z2_d6603_xperia_z3_5_pin_micro-usb_tip-b_11666" TargetMode="External"/><Relationship Id="rId_hyperlink_4975" Type="http://schemas.openxmlformats.org/officeDocument/2006/relationships/hyperlink" Target="https://old.ukr-mobil.com/konnektor_zaryadki_sony_e5603_xperia_m5_e5606_xperia_m5_e5633_xperia_m5_e5653_xperia_m5_e5663_xperia_m5_dual_11662" TargetMode="External"/><Relationship Id="rId_hyperlink_4976" Type="http://schemas.openxmlformats.org/officeDocument/2006/relationships/hyperlink" Target="https://old.ukr-mobil.com/konnektor_zaryadki_sony_e6533_xperia_z3_ds_e6553_xperia_z3_xperia_z4_11665" TargetMode="External"/><Relationship Id="rId_hyperlink_4977" Type="http://schemas.openxmlformats.org/officeDocument/2006/relationships/hyperlink" Target="https://old.ukr-mobil.com/konnektor_zaryadki_sony_f3111_xperia_xa_f3112_xperia_xa_dual_f3113_xperia_xa_f3115_xperia_xa_f3116_xperia_xa_dual_11664" TargetMode="External"/><Relationship Id="rId_hyperlink_4978" Type="http://schemas.openxmlformats.org/officeDocument/2006/relationships/hyperlink" Target="https://old.ukr-mobil.com/konnektor_zaryadki_sony_f3212_xperia_xa_ultra_dual_f3215_xperia_xa_ultra_dual_f3216_xperia_xa_ultra_dual_11663" TargetMode="External"/><Relationship Id="rId_hyperlink_4979" Type="http://schemas.openxmlformats.org/officeDocument/2006/relationships/hyperlink" Target="https://old.ukr-mobil.com/konnektor_zaryadki_sony_g3212_xperia_xa1_ultra_dual_g3221_xperia_xa1_ultra_g3223_xperia_xa1_ultra_g3226_xperia_xa1_ultra_dual_10_pin_usb_type-c_10002426" TargetMode="External"/><Relationship Id="rId_hyperlink_4980" Type="http://schemas.openxmlformats.org/officeDocument/2006/relationships/hyperlink" Target="https://old.ukr-mobil.com/konnektor_zaryadki_xiaomi_mi_9_usb_type-c_10001327" TargetMode="External"/><Relationship Id="rId_hyperlink_4981" Type="http://schemas.openxmlformats.org/officeDocument/2006/relationships/hyperlink" Target="https://old.ukr-mobil.com/konnektor_zaryadki_xiaomi_mi_a1_usb_type-c_10001326" TargetMode="External"/><Relationship Id="rId_hyperlink_4982" Type="http://schemas.openxmlformats.org/officeDocument/2006/relationships/hyperlink" Target="https://old.ukr-mobil.com/konnektor_zaryadki_xiaomi_mi_a2_lite_redmi_6_pro_samsung_5_pin_micro-usb_10002409" TargetMode="External"/><Relationship Id="rId_hyperlink_4983" Type="http://schemas.openxmlformats.org/officeDocument/2006/relationships/hyperlink" Target="https://old.ukr-mobil.com/konnektor_zaryadki_xiaomi_mi_a2_mi_6x_usb_type-c_10003848" TargetMode="External"/><Relationship Id="rId_hyperlink_4984" Type="http://schemas.openxmlformats.org/officeDocument/2006/relationships/hyperlink" Target="https://old.ukr-mobil.com/konnektor_zaryadki_xiaomi_redmi_note_7_redmi_note_8_redmi_note_8t_16_pin_usb_type-c_10001324" TargetMode="External"/><Relationship Id="rId_hyperlink_4985" Type="http://schemas.openxmlformats.org/officeDocument/2006/relationships/hyperlink" Target="https://old.ukr-mobil.com/konnektor_zaryadki_xiaomi_mi_mix_2_usb_type-c_11658" TargetMode="External"/><Relationship Id="rId_hyperlink_4986" Type="http://schemas.openxmlformats.org/officeDocument/2006/relationships/hyperlink" Target="https://old.ukr-mobil.com/konnektor_zaryadki_xiaomi_mi_mix_3_usb_type-c_10001325" TargetMode="External"/><Relationship Id="rId_hyperlink_4987" Type="http://schemas.openxmlformats.org/officeDocument/2006/relationships/hyperlink" Target="https://old.ukr-mobil.com/konnektor_zaryadki_xiaomi_mi1_mi1s_alcatel_one_touch_5020_pop_one_touch_6030_idol_one_touch_6032x_idol_alpha_slate_one_touch_7040_pop_c7_one_tou_8568" TargetMode="External"/><Relationship Id="rId_hyperlink_4988" Type="http://schemas.openxmlformats.org/officeDocument/2006/relationships/hyperlink" Target="https://old.ukr-mobil.com/konnektor_zaryadki_xiaomi_redmi_5_plus_redmi_note_5_redmi_note_5_pro_11661" TargetMode="External"/><Relationship Id="rId_hyperlink_4989" Type="http://schemas.openxmlformats.org/officeDocument/2006/relationships/hyperlink" Target="https://old.ukr-mobil.com/index.php?route=product&amp;product_id=10005029" TargetMode="External"/><Relationship Id="rId_hyperlink_4990" Type="http://schemas.openxmlformats.org/officeDocument/2006/relationships/hyperlink" Target="https://old.ukr-mobil.com/konnektor_zaryadki_xiaomi_redmi_note_5a_redmi_note_5a_prime_11660" TargetMode="External"/><Relationship Id="rId_hyperlink_4991" Type="http://schemas.openxmlformats.org/officeDocument/2006/relationships/hyperlink" Target="https://old.ukr-mobil.com/roz_m_na_zaryadku_sony_c5302_m35h_xperia_sp_c5303_m35i_xperia_sp_5329" TargetMode="External"/><Relationship Id="rId_hyperlink_4992" Type="http://schemas.openxmlformats.org/officeDocument/2006/relationships/hyperlink" Target="https://old.ukr-mobil.com/roz_m_na_zaryadku_sony_st23i_xperia_miro_st26i_xperia_j_c2105_xperia_l_mt25i_xperia_neo_l_5326" TargetMode="External"/><Relationship Id="rId_hyperlink_4993" Type="http://schemas.openxmlformats.org/officeDocument/2006/relationships/hyperlink" Target="https://old.ukr-mobil.com/shlejf_sony_xperia_x_f5121_f5122_s_razemom_zaryadki_10001921" TargetMode="External"/><Relationship Id="rId_hyperlink_4994" Type="http://schemas.openxmlformats.org/officeDocument/2006/relationships/hyperlink" Target="https://old.ukr-mobil.com/konnektor_sim_karty_lenovo_a3300_a7-30_8564" TargetMode="External"/><Relationship Id="rId_hyperlink_4995" Type="http://schemas.openxmlformats.org/officeDocument/2006/relationships/hyperlink" Target="https://old.ukr-mobil.com/konnektor_sim_karty_lenovo_a60_a65_a789_p70_p700i_7783" TargetMode="External"/><Relationship Id="rId_hyperlink_4996" Type="http://schemas.openxmlformats.org/officeDocument/2006/relationships/hyperlink" Target="https://old.ukr-mobil.com/konnektor_sim-karty_sony_ericsson_mk16_st18i_sony_mt27i_xperia_sola_st26i_xperia_j_8113" TargetMode="External"/><Relationship Id="rId_hyperlink_4997" Type="http://schemas.openxmlformats.org/officeDocument/2006/relationships/hyperlink" Target="https://old.ukr-mobil.com/roz_m_na_sim_kartu_asus_zenfone_5_5613" TargetMode="External"/><Relationship Id="rId_hyperlink_4998" Type="http://schemas.openxmlformats.org/officeDocument/2006/relationships/hyperlink" Target="https://old.ukr-mobil.com/roz_m_na_sim_kartu_huawei_y220_5335" TargetMode="External"/><Relationship Id="rId_hyperlink_4999" Type="http://schemas.openxmlformats.org/officeDocument/2006/relationships/hyperlink" Target="https://old.ukr-mobil.com/roz_m_na_sim_kartu_nokia_asha_202_203_300_311_3729" TargetMode="External"/><Relationship Id="rId_hyperlink_5000" Type="http://schemas.openxmlformats.org/officeDocument/2006/relationships/hyperlink" Target="https://old.ukr-mobil.com/roz_m_na_sim_kartu_nokia_x_dual_xl_dual_x2_dual_502_dual_530_5616" TargetMode="External"/><Relationship Id="rId_hyperlink_5001" Type="http://schemas.openxmlformats.org/officeDocument/2006/relationships/hyperlink" Target="https://old.ukr-mobil.com/roz_m_na_batareyu_lenovo_1350" TargetMode="External"/><Relationship Id="rId_hyperlink_5002" Type="http://schemas.openxmlformats.org/officeDocument/2006/relationships/hyperlink" Target="https://old.ukr-mobil.com/roz_m_na_batareyu_lg_kg800_1351" TargetMode="External"/><Relationship Id="rId_hyperlink_5003" Type="http://schemas.openxmlformats.org/officeDocument/2006/relationships/hyperlink" Target="https://old.ukr-mobil.com/roz_m_na_batareyu_lg_kp500_1352" TargetMode="External"/><Relationship Id="rId_hyperlink_5004" Type="http://schemas.openxmlformats.org/officeDocument/2006/relationships/hyperlink" Target="https://old.ukr-mobil.com/roz_m_na_batareyu_nokia_2680_1355" TargetMode="External"/><Relationship Id="rId_hyperlink_5005" Type="http://schemas.openxmlformats.org/officeDocument/2006/relationships/hyperlink" Target="https://old.ukr-mobil.com/roz_m_na_batareyu_nokia_n81_1353" TargetMode="External"/><Relationship Id="rId_hyperlink_5006" Type="http://schemas.openxmlformats.org/officeDocument/2006/relationships/hyperlink" Target="https://old.ukr-mobil.com/roz_m_na_batareyu_nokia_n95_1358" TargetMode="External"/><Relationship Id="rId_hyperlink_5007" Type="http://schemas.openxmlformats.org/officeDocument/2006/relationships/hyperlink" Target="https://old.ukr-mobil.com/roz_m_na_naushnik_nokia_2720_1945" TargetMode="External"/><Relationship Id="rId_hyperlink_5008" Type="http://schemas.openxmlformats.org/officeDocument/2006/relationships/hyperlink" Target="https://old.ukr-mobil.com/roz_m_na_naushnik_nokia_asha_210_108_109_112_113_asha_206_asha_300_asha_303_asha_308_asha_311_c2-05_c3-01_c5-03_c5-06_c_2465" TargetMode="External"/><Relationship Id="rId_hyperlink_5009" Type="http://schemas.openxmlformats.org/officeDocument/2006/relationships/hyperlink" Target="https://old.ukr-mobil.com/roz_m_na_naushnik_nokia_c2-01_3584" TargetMode="External"/><Relationship Id="rId_hyperlink_5010" Type="http://schemas.openxmlformats.org/officeDocument/2006/relationships/hyperlink" Target="https://old.ukr-mobil.com/roz_m_na_kartu_pamyat_nokia_6300_772" TargetMode="External"/><Relationship Id="rId_hyperlink_5011" Type="http://schemas.openxmlformats.org/officeDocument/2006/relationships/hyperlink" Target="https://old.ukr-mobil.com/roz_m_na_kartu_pamyat_samsung_u600_773" TargetMode="External"/><Relationship Id="rId_hyperlink_5012" Type="http://schemas.openxmlformats.org/officeDocument/2006/relationships/hyperlink" Target="https://old.ukr-mobil.com/sensor_tachskrin_bravis_a506_crystal_black_10208" TargetMode="External"/><Relationship Id="rId_hyperlink_5013" Type="http://schemas.openxmlformats.org/officeDocument/2006/relationships/hyperlink" Target="https://old.ukr-mobil.com/sensor_tachskrin_doogee_s60_black_10139" TargetMode="External"/><Relationship Id="rId_hyperlink_5014" Type="http://schemas.openxmlformats.org/officeDocument/2006/relationships/hyperlink" Target="https://old.ukr-mobil.com/sensor_tachskrin_homtom_zoji_z8_ip68_black_10011" TargetMode="External"/><Relationship Id="rId_hyperlink_5015" Type="http://schemas.openxmlformats.org/officeDocument/2006/relationships/hyperlink" Target="https://old.ukr-mobil.com/sensor_tachskrin_huawei_p_smart_fig-lx1_p_smart_dual_sim_fig-l21_high_copy_gold_10655" TargetMode="External"/><Relationship Id="rId_hyperlink_5016" Type="http://schemas.openxmlformats.org/officeDocument/2006/relationships/hyperlink" Target="https://old.ukr-mobil.com/sensor_tachskrin_huawei_p20_lite_nova_3e_ane-lx1_high_copy_white_10672" TargetMode="External"/><Relationship Id="rId_hyperlink_5017" Type="http://schemas.openxmlformats.org/officeDocument/2006/relationships/hyperlink" Target="https://old.ukr-mobil.com/sensor_tachskrin_microsoft_535_lumia_dual_sim_ct2c1607_5497" TargetMode="External"/><Relationship Id="rId_hyperlink_5018" Type="http://schemas.openxmlformats.org/officeDocument/2006/relationships/hyperlink" Target="https://old.ukr-mobil.com/index.php?route=product&amp;product_id=10005561" TargetMode="External"/><Relationship Id="rId_hyperlink_5019" Type="http://schemas.openxmlformats.org/officeDocument/2006/relationships/hyperlink" Target="https://old.ukr-mobil.com/sensor_tachskrin_sony_e6603_xperia_z5_e6633_e6653_e6683_xperia_z5_black_8280" TargetMode="External"/><Relationship Id="rId_hyperlink_5020" Type="http://schemas.openxmlformats.org/officeDocument/2006/relationships/hyperlink" Target="https://old.ukr-mobil.com/index.php?route=product&amp;product_id=10005285" TargetMode="External"/><Relationship Id="rId_hyperlink_5021" Type="http://schemas.openxmlformats.org/officeDocument/2006/relationships/hyperlink" Target="https://old.ukr-mobil.com/index.php?route=product&amp;product_id=10005286" TargetMode="External"/><Relationship Id="rId_hyperlink_5022" Type="http://schemas.openxmlformats.org/officeDocument/2006/relationships/hyperlink" Target="https://old.ukr-mobil.com/shlejf_apple_iphone_11_pro_max_dlya_besprovodnoj_zaryadki_s_datchikom_nfc_s_knopkami_regulirovki_gromkosti_original_prc_10003827" TargetMode="External"/><Relationship Id="rId_hyperlink_5023" Type="http://schemas.openxmlformats.org/officeDocument/2006/relationships/hyperlink" Target="https://old.ukr-mobil.com/shlejf_apple_iphone_11_pro_max_s_dinamikom_s_datchikom_priblizheniya_s_mikrofonom_original_prc_10003875" TargetMode="External"/><Relationship Id="rId_hyperlink_5024" Type="http://schemas.openxmlformats.org/officeDocument/2006/relationships/hyperlink" Target="https://old.ukr-mobil.com/shlejf_iphone_11_pro_max_s_knopkami_regulirovki_gromkosti_original_prc_10000744" TargetMode="External"/><Relationship Id="rId_hyperlink_5025" Type="http://schemas.openxmlformats.org/officeDocument/2006/relationships/hyperlink" Target="https://old.ukr-mobil.com/shlejf_iphone_11_pro_max_s_razemom_zaryadki_mikrofonom_original_prc_black_10000743" TargetMode="External"/><Relationship Id="rId_hyperlink_5026" Type="http://schemas.openxmlformats.org/officeDocument/2006/relationships/hyperlink" Target="https://old.ukr-mobil.com/shlejf_iphone_11_pro_max_s_razemom_zaryadki_mikrofonom_original_prc_gold_10000753" TargetMode="External"/><Relationship Id="rId_hyperlink_5027" Type="http://schemas.openxmlformats.org/officeDocument/2006/relationships/hyperlink" Target="https://old.ukr-mobil.com/shlejf_iphone_11_pro_max_s_razemom_zaryadki_mikrofonom_original_prc_midnight_green_10000752" TargetMode="External"/><Relationship Id="rId_hyperlink_5028" Type="http://schemas.openxmlformats.org/officeDocument/2006/relationships/hyperlink" Target="https://old.ukr-mobil.com/shlejf_iphone_11_pro_max_s_razemom_zaryadki_mikrofonom_original_prc_silver_10000751" TargetMode="External"/><Relationship Id="rId_hyperlink_5029" Type="http://schemas.openxmlformats.org/officeDocument/2006/relationships/hyperlink" Target="https://old.ukr-mobil.com/shlejf_apple_iphone_11_pro_dlya_besprovodnoj_zaryadki_s_datchikom_nfc_s_knopkami_regulirovki_gromkosti_original_prc_10003828" TargetMode="External"/><Relationship Id="rId_hyperlink_5030" Type="http://schemas.openxmlformats.org/officeDocument/2006/relationships/hyperlink" Target="https://old.ukr-mobil.com/shlejf_apple_iphone_11_pro_s_dinamikom_s_datchikom_priblizheniya_s_mikrofonom_original_prc_10003876" TargetMode="External"/><Relationship Id="rId_hyperlink_5031" Type="http://schemas.openxmlformats.org/officeDocument/2006/relationships/hyperlink" Target="https://old.ukr-mobil.com/shlejf_iphone_11_pro_s_knopkami_regulirovki_gromkosti_original_prc_10000741" TargetMode="External"/><Relationship Id="rId_hyperlink_5032" Type="http://schemas.openxmlformats.org/officeDocument/2006/relationships/hyperlink" Target="https://old.ukr-mobil.com/shlejf_iphone_11_pro_s_razemom_zaryadki_mikrofonom_original_prc_black_10000740" TargetMode="External"/><Relationship Id="rId_hyperlink_5033" Type="http://schemas.openxmlformats.org/officeDocument/2006/relationships/hyperlink" Target="https://old.ukr-mobil.com/shlejf_iphone_11_pro_s_razemom_zaryadki_mikrofonom_original_prc_silver_10000750" TargetMode="External"/><Relationship Id="rId_hyperlink_5034" Type="http://schemas.openxmlformats.org/officeDocument/2006/relationships/hyperlink" Target="https://old.ukr-mobil.com/index.php?route=product&amp;product_id=10005275" TargetMode="External"/><Relationship Id="rId_hyperlink_5035" Type="http://schemas.openxmlformats.org/officeDocument/2006/relationships/hyperlink" Target="https://old.ukr-mobil.com/shlejf_apple_iphone_11_dlya_besprovodnoj_zaryadki_original_prc_10003826" TargetMode="External"/><Relationship Id="rId_hyperlink_5036" Type="http://schemas.openxmlformats.org/officeDocument/2006/relationships/hyperlink" Target="https://old.ukr-mobil.com/shlejf_iphone_11_regulirovki_gromkosti_original_prc_10000738" TargetMode="External"/><Relationship Id="rId_hyperlink_5037" Type="http://schemas.openxmlformats.org/officeDocument/2006/relationships/hyperlink" Target="https://old.ukr-mobil.com/shlejf_apple_iphone_11_s_dinamikom_s_datchikom_priblizheniya_s_mikrofonom_original_prc_10003877" TargetMode="External"/><Relationship Id="rId_hyperlink_5038" Type="http://schemas.openxmlformats.org/officeDocument/2006/relationships/hyperlink" Target="https://old.ukr-mobil.com/shlejf_iphone_11_s_razemom_zaryadki_mikrofonom_original_prc_black_10000737" TargetMode="External"/><Relationship Id="rId_hyperlink_5039" Type="http://schemas.openxmlformats.org/officeDocument/2006/relationships/hyperlink" Target="https://old.ukr-mobil.com/shlejf_iphone_11_s_razemom_zaryadki_mikrofonom_original_prc_silver_10000747" TargetMode="External"/><Relationship Id="rId_hyperlink_5040" Type="http://schemas.openxmlformats.org/officeDocument/2006/relationships/hyperlink" Target="https://old.ukr-mobil.com/shlejf_apple_iphone_12_pro_max_dlya_besprovodnoj_zaryadki_s_datchikom_nfc_s_knopkami_regulirovki_gromkosti_original_prc_10003831" TargetMode="External"/><Relationship Id="rId_hyperlink_5041" Type="http://schemas.openxmlformats.org/officeDocument/2006/relationships/hyperlink" Target="https://old.ukr-mobil.com/shlejf_apple_iphone_12_pro_max_s_vspyshkoj_original_prc_10002133" TargetMode="External"/><Relationship Id="rId_hyperlink_5042" Type="http://schemas.openxmlformats.org/officeDocument/2006/relationships/hyperlink" Target="https://old.ukr-mobil.com/shlejf_apple_iphone_12_pro_max_s_dinamikom_s_datchikom_priblizheniya_s_mikrofonom_original_prc_10002135" TargetMode="External"/><Relationship Id="rId_hyperlink_5043" Type="http://schemas.openxmlformats.org/officeDocument/2006/relationships/hyperlink" Target="https://old.ukr-mobil.com/shlejf_apple_iphone_12_pro_max_s_knopkoj_vklyucheniya_s_knopkami_regulirovki_gromkosti_original_prc_10002134" TargetMode="External"/><Relationship Id="rId_hyperlink_5044" Type="http://schemas.openxmlformats.org/officeDocument/2006/relationships/hyperlink" Target="https://old.ukr-mobil.com/shlejf_apple_iphone_12_pro_max_s_razemom_zaryadki_mikrofonom_original_prc_blue_10002130" TargetMode="External"/><Relationship Id="rId_hyperlink_5045" Type="http://schemas.openxmlformats.org/officeDocument/2006/relationships/hyperlink" Target="https://old.ukr-mobil.com/shlejf_apple_iphone_12_pro_max_s_razemom_zaryadki_mikrofonom_original_prc_gold_10002131" TargetMode="External"/><Relationship Id="rId_hyperlink_5046" Type="http://schemas.openxmlformats.org/officeDocument/2006/relationships/hyperlink" Target="https://old.ukr-mobil.com/shlejf_apple_iphone_12_pro_max_s_razemom_zaryadki_mikrofonom_original_prc_graphite_10002129" TargetMode="External"/><Relationship Id="rId_hyperlink_5047" Type="http://schemas.openxmlformats.org/officeDocument/2006/relationships/hyperlink" Target="https://old.ukr-mobil.com/shlejf_apple_iphone_12_pro_max_s_razemom_zaryadki_mikrofonom_original_prc_silver_10002132" TargetMode="External"/><Relationship Id="rId_hyperlink_5048" Type="http://schemas.openxmlformats.org/officeDocument/2006/relationships/hyperlink" Target="https://old.ukr-mobil.com/shlejf_apple_iphone_12_pro_dlya_besprovodnoj_zaryadki_s_datchikom_nfc_s_knopkami_regulirovki_gromkosti_original_prc_10003830" TargetMode="External"/><Relationship Id="rId_hyperlink_5049" Type="http://schemas.openxmlformats.org/officeDocument/2006/relationships/hyperlink" Target="https://old.ukr-mobil.com/shlejf_apple_iphone_12_pro_s_vspyshkoj_original_prc_10002209" TargetMode="External"/><Relationship Id="rId_hyperlink_5050" Type="http://schemas.openxmlformats.org/officeDocument/2006/relationships/hyperlink" Target="https://old.ukr-mobil.com/shlejf_apple_iphone_12_pro_s_knopkoj_vklyucheniya_s_knopkami_regulirovki_gromkosti_original_prc_10002210" TargetMode="External"/><Relationship Id="rId_hyperlink_5051" Type="http://schemas.openxmlformats.org/officeDocument/2006/relationships/hyperlink" Target="https://old.ukr-mobil.com/shlejf_apple_iphone_12_pro_s_razemom_zaryadki_mikrofonom_original_prc_blue_10002206" TargetMode="External"/><Relationship Id="rId_hyperlink_5052" Type="http://schemas.openxmlformats.org/officeDocument/2006/relationships/hyperlink" Target="https://old.ukr-mobil.com/shlejf_apple_iphone_12_pro_s_razemom_zaryadki_mikrofonom_original_prc_gold_10002207" TargetMode="External"/><Relationship Id="rId_hyperlink_5053" Type="http://schemas.openxmlformats.org/officeDocument/2006/relationships/hyperlink" Target="https://old.ukr-mobil.com/shlejf_apple_iphone_12_pro_s_razemom_zaryadki_mikrofonom_original_prc_graphite_10002205" TargetMode="External"/><Relationship Id="rId_hyperlink_5054" Type="http://schemas.openxmlformats.org/officeDocument/2006/relationships/hyperlink" Target="https://old.ukr-mobil.com/shlejf_apple_iphone_12_pro_s_razemom_zaryadki_mikrofonom_original_prc_silver_10002208" TargetMode="External"/><Relationship Id="rId_hyperlink_5055" Type="http://schemas.openxmlformats.org/officeDocument/2006/relationships/hyperlink" Target="https://old.ukr-mobil.com/shlejf_apple_iphone_12_s_dinamikom_s_datchikom_priblizheniya_s_mikrofonom_original_prc_10002164" TargetMode="External"/><Relationship Id="rId_hyperlink_5056" Type="http://schemas.openxmlformats.org/officeDocument/2006/relationships/hyperlink" Target="https://old.ukr-mobil.com/shlejf_apple_iphone_12_dlya_besprovodnoj_zaryadki_s_datchikom_nfc_s_knopkami_regulirovki_gromkosti_original_prc_10003829" TargetMode="External"/><Relationship Id="rId_hyperlink_5057" Type="http://schemas.openxmlformats.org/officeDocument/2006/relationships/hyperlink" Target="https://old.ukr-mobil.com/shlejf_apple_iphone_12_s_vspyshkoj_original_prc_10002163" TargetMode="External"/><Relationship Id="rId_hyperlink_5058" Type="http://schemas.openxmlformats.org/officeDocument/2006/relationships/hyperlink" Target="https://old.ukr-mobil.com/shlejf_apple_iphone_12_s_knopkoj_vklyucheniya_s_knopkami_regulirovki_gromkosti_original_prc_10002165" TargetMode="External"/><Relationship Id="rId_hyperlink_5059" Type="http://schemas.openxmlformats.org/officeDocument/2006/relationships/hyperlink" Target="https://old.ukr-mobil.com/shlejf_apple_iphone_12_s_razemom_zaryadki_mikrofonom_original_prc_blue_10002137" TargetMode="External"/><Relationship Id="rId_hyperlink_5060" Type="http://schemas.openxmlformats.org/officeDocument/2006/relationships/hyperlink" Target="https://old.ukr-mobil.com/shlejf_apple_iphone_12_s_razemom_zaryadki_mikrofonom_original_prc_gold_10002138" TargetMode="External"/><Relationship Id="rId_hyperlink_5061" Type="http://schemas.openxmlformats.org/officeDocument/2006/relationships/hyperlink" Target="https://old.ukr-mobil.com/shlejf_apple_iphone_12_s_razemom_zaryadki_mikrofonom_original_prc_graphite_10002136" TargetMode="External"/><Relationship Id="rId_hyperlink_5062" Type="http://schemas.openxmlformats.org/officeDocument/2006/relationships/hyperlink" Target="https://old.ukr-mobil.com/shlejf_apple_iphone_12_s_razemom_zaryadki_mikrofonom_original_prc_silver_10002139" TargetMode="External"/><Relationship Id="rId_hyperlink_5063" Type="http://schemas.openxmlformats.org/officeDocument/2006/relationships/hyperlink" Target="https://old.ukr-mobil.com/shlejf_apple_iphone_13_pro_max_s_datchikom_priblizheniya_s_mikrofonom_bez_dinamika_original_prc_10003882" TargetMode="External"/><Relationship Id="rId_hyperlink_5064" Type="http://schemas.openxmlformats.org/officeDocument/2006/relationships/hyperlink" Target="https://old.ukr-mobil.com/shlejf_apple_iphone_13_pro_max_s_knopkoj_vklyucheniya_s_knopkami_regulirovki_gromkosti_original_prc_10003880" TargetMode="External"/><Relationship Id="rId_hyperlink_5065" Type="http://schemas.openxmlformats.org/officeDocument/2006/relationships/hyperlink" Target="https://old.ukr-mobil.com/index.php?route=product&amp;product_id=10005244" TargetMode="External"/><Relationship Id="rId_hyperlink_5066" Type="http://schemas.openxmlformats.org/officeDocument/2006/relationships/hyperlink" Target="https://old.ukr-mobil.com/index.php?route=product&amp;product_id=10005245" TargetMode="External"/><Relationship Id="rId_hyperlink_5067" Type="http://schemas.openxmlformats.org/officeDocument/2006/relationships/hyperlink" Target="https://old.ukr-mobil.com/shlejf_apple_iphone_13_pro_max_s_razemom_zaryadki_s_mikrofonami_original_prc_silver_10003883" TargetMode="External"/><Relationship Id="rId_hyperlink_5068" Type="http://schemas.openxmlformats.org/officeDocument/2006/relationships/hyperlink" Target="https://old.ukr-mobil.com/shlejf_apple_iphone_13_pro_s_datchikom_priblizheniya_s_mikrofonom_bez_dinamika_original_prc_10003881" TargetMode="External"/><Relationship Id="rId_hyperlink_5069" Type="http://schemas.openxmlformats.org/officeDocument/2006/relationships/hyperlink" Target="https://old.ukr-mobil.com/shlejf_apple_iphone_13_pro_s_razemom_zaryadki_s_mikrofonami_original_prc_black_10004179" TargetMode="External"/><Relationship Id="rId_hyperlink_5070" Type="http://schemas.openxmlformats.org/officeDocument/2006/relationships/hyperlink" Target="https://old.ukr-mobil.com/shlejf_apple_iphone_13_pro_s_razemom_zaryadki_s_mikrofonami_original_prc_silver_10003884" TargetMode="External"/><Relationship Id="rId_hyperlink_5071" Type="http://schemas.openxmlformats.org/officeDocument/2006/relationships/hyperlink" Target="https://old.ukr-mobil.com/shlejf_apple_iphone_13_s_datchikom_priblizheniya_s_mikrofonom_bez_dinamika_original_prc_10003885" TargetMode="External"/><Relationship Id="rId_hyperlink_5072" Type="http://schemas.openxmlformats.org/officeDocument/2006/relationships/hyperlink" Target="https://old.ukr-mobil.com/shlejf_apple_iphone_13_s_knopkoj_vklyucheniya_s_knopkami_regulirovki_gromkosti_original_prc_10003235" TargetMode="External"/><Relationship Id="rId_hyperlink_5073" Type="http://schemas.openxmlformats.org/officeDocument/2006/relationships/hyperlink" Target="https://old.ukr-mobil.com/shlejf_apple_iphone_13_s_razemom_zaryadki_mikrofonom_original_prc_black_10003231" TargetMode="External"/><Relationship Id="rId_hyperlink_5074" Type="http://schemas.openxmlformats.org/officeDocument/2006/relationships/hyperlink" Target="https://old.ukr-mobil.com/shlejf_apple_iphone_13_s_razemom_zaryadki_mikrofonom_original_prc_blue_10003230" TargetMode="External"/><Relationship Id="rId_hyperlink_5075" Type="http://schemas.openxmlformats.org/officeDocument/2006/relationships/hyperlink" Target="https://old.ukr-mobil.com/shlejf_apple_iphone_13_s_razemom_zaryadki_mikrofonom_original_prc_pink_10003234" TargetMode="External"/><Relationship Id="rId_hyperlink_5076" Type="http://schemas.openxmlformats.org/officeDocument/2006/relationships/hyperlink" Target="https://old.ukr-mobil.com/shlejf_apple_iphone_13_s_razemom_zaryadki_mikrofonom_original_prc_red_10003233" TargetMode="External"/><Relationship Id="rId_hyperlink_5077" Type="http://schemas.openxmlformats.org/officeDocument/2006/relationships/hyperlink" Target="https://old.ukr-mobil.com/shlejf_apple_iphone_13_s_razemom_zaryadki_mikrofonom_original_prc_white_10003232" TargetMode="External"/><Relationship Id="rId_hyperlink_5078" Type="http://schemas.openxmlformats.org/officeDocument/2006/relationships/hyperlink" Target="https://old.ukr-mobil.com/index.php?route=product&amp;product_id=10005277" TargetMode="External"/><Relationship Id="rId_hyperlink_5079" Type="http://schemas.openxmlformats.org/officeDocument/2006/relationships/hyperlink" Target="https://old.ukr-mobil.com/index.php?route=product&amp;product_id=10005242" TargetMode="External"/><Relationship Id="rId_hyperlink_5080" Type="http://schemas.openxmlformats.org/officeDocument/2006/relationships/hyperlink" Target="https://old.ukr-mobil.com/index.php?route=product&amp;product_id=10005282" TargetMode="External"/><Relationship Id="rId_hyperlink_5081" Type="http://schemas.openxmlformats.org/officeDocument/2006/relationships/hyperlink" Target="https://old.ukr-mobil.com/index.php?route=product&amp;product_id=10005284" TargetMode="External"/><Relationship Id="rId_hyperlink_5082" Type="http://schemas.openxmlformats.org/officeDocument/2006/relationships/hyperlink" Target="https://old.ukr-mobil.com/index.php?route=product&amp;product_id=10005263" TargetMode="External"/><Relationship Id="rId_hyperlink_5083" Type="http://schemas.openxmlformats.org/officeDocument/2006/relationships/hyperlink" Target="https://old.ukr-mobil.com/index.php?route=product&amp;product_id=10005267" TargetMode="External"/><Relationship Id="rId_hyperlink_5084" Type="http://schemas.openxmlformats.org/officeDocument/2006/relationships/hyperlink" Target="https://old.ukr-mobil.com/index.php?route=product&amp;product_id=10005266" TargetMode="External"/><Relationship Id="rId_hyperlink_5085" Type="http://schemas.openxmlformats.org/officeDocument/2006/relationships/hyperlink" Target="https://old.ukr-mobil.com/index.php?route=product&amp;product_id=10005265" TargetMode="External"/><Relationship Id="rId_hyperlink_5086" Type="http://schemas.openxmlformats.org/officeDocument/2006/relationships/hyperlink" Target="https://old.ukr-mobil.com/index.php?route=product&amp;product_id=10005268" TargetMode="External"/><Relationship Id="rId_hyperlink_5087" Type="http://schemas.openxmlformats.org/officeDocument/2006/relationships/hyperlink" Target="https://old.ukr-mobil.com/index.php?route=product&amp;product_id=10005243" TargetMode="External"/><Relationship Id="rId_hyperlink_5088" Type="http://schemas.openxmlformats.org/officeDocument/2006/relationships/hyperlink" Target="https://old.ukr-mobil.com/index.php?route=product&amp;product_id=10005272" TargetMode="External"/><Relationship Id="rId_hyperlink_5089" Type="http://schemas.openxmlformats.org/officeDocument/2006/relationships/hyperlink" Target="https://old.ukr-mobil.com/index.php?route=product&amp;product_id=10005273" TargetMode="External"/><Relationship Id="rId_hyperlink_5090" Type="http://schemas.openxmlformats.org/officeDocument/2006/relationships/hyperlink" Target="https://old.ukr-mobil.com/index.php?route=product&amp;product_id=10005274" TargetMode="External"/><Relationship Id="rId_hyperlink_5091" Type="http://schemas.openxmlformats.org/officeDocument/2006/relationships/hyperlink" Target="https://old.ukr-mobil.com/index.php?route=product&amp;product_id=10005283" TargetMode="External"/><Relationship Id="rId_hyperlink_5092" Type="http://schemas.openxmlformats.org/officeDocument/2006/relationships/hyperlink" Target="https://old.ukr-mobil.com/index.php?route=product&amp;product_id=10005241" TargetMode="External"/><Relationship Id="rId_hyperlink_5093" Type="http://schemas.openxmlformats.org/officeDocument/2006/relationships/hyperlink" Target="https://old.ukr-mobil.com/index.php?route=product&amp;product_id=10005269" TargetMode="External"/><Relationship Id="rId_hyperlink_5094" Type="http://schemas.openxmlformats.org/officeDocument/2006/relationships/hyperlink" Target="https://old.ukr-mobil.com/index.php?route=product&amp;product_id=10005270" TargetMode="External"/><Relationship Id="rId_hyperlink_5095" Type="http://schemas.openxmlformats.org/officeDocument/2006/relationships/hyperlink" Target="https://old.ukr-mobil.com/index.php?route=product&amp;product_id=10005271" TargetMode="External"/><Relationship Id="rId_hyperlink_5096" Type="http://schemas.openxmlformats.org/officeDocument/2006/relationships/hyperlink" Target="https://old.ukr-mobil.com/index.php?route=product&amp;product_id=10005240" TargetMode="External"/><Relationship Id="rId_hyperlink_5097" Type="http://schemas.openxmlformats.org/officeDocument/2006/relationships/hyperlink" Target="https://old.ukr-mobil.com/index.php?route=product&amp;product_id=10005281" TargetMode="External"/><Relationship Id="rId_hyperlink_5098" Type="http://schemas.openxmlformats.org/officeDocument/2006/relationships/hyperlink" Target="https://old.ukr-mobil.com/index.php?route=product&amp;product_id=10005278" TargetMode="External"/><Relationship Id="rId_hyperlink_5099" Type="http://schemas.openxmlformats.org/officeDocument/2006/relationships/hyperlink" Target="https://old.ukr-mobil.com/index.php?route=product&amp;product_id=10005280" TargetMode="External"/><Relationship Id="rId_hyperlink_5100" Type="http://schemas.openxmlformats.org/officeDocument/2006/relationships/hyperlink" Target="https://old.ukr-mobil.com/index.php?route=product&amp;product_id=10005246" TargetMode="External"/><Relationship Id="rId_hyperlink_5101" Type="http://schemas.openxmlformats.org/officeDocument/2006/relationships/hyperlink" Target="https://old.ukr-mobil.com/index.php?route=product&amp;product_id=10005249" TargetMode="External"/><Relationship Id="rId_hyperlink_5102" Type="http://schemas.openxmlformats.org/officeDocument/2006/relationships/hyperlink" Target="https://old.ukr-mobil.com/index.php?route=product&amp;product_id=10005248" TargetMode="External"/><Relationship Id="rId_hyperlink_5103" Type="http://schemas.openxmlformats.org/officeDocument/2006/relationships/hyperlink" Target="https://old.ukr-mobil.com/index.php?route=product&amp;product_id=10005247" TargetMode="External"/><Relationship Id="rId_hyperlink_5104" Type="http://schemas.openxmlformats.org/officeDocument/2006/relationships/hyperlink" Target="https://old.ukr-mobil.com/index.php?route=product&amp;product_id=10005251" TargetMode="External"/><Relationship Id="rId_hyperlink_5105" Type="http://schemas.openxmlformats.org/officeDocument/2006/relationships/hyperlink" Target="https://old.ukr-mobil.com/shlejf_iphone_4s_z_knopkoyu_menyu_plastikova_knopka_black_3360" TargetMode="External"/><Relationship Id="rId_hyperlink_5106" Type="http://schemas.openxmlformats.org/officeDocument/2006/relationships/hyperlink" Target="https://old.ukr-mobil.com/shlejf_iphone_4s_z_knopkoyu_menyu_plastikova_knopka_white_3361" TargetMode="External"/><Relationship Id="rId_hyperlink_5107" Type="http://schemas.openxmlformats.org/officeDocument/2006/relationships/hyperlink" Target="https://old.ukr-mobil.com/shlejf_iphone_5s_s_razemom_zaryadki_garnitury_original_prc_black_5010" TargetMode="External"/><Relationship Id="rId_hyperlink_5108" Type="http://schemas.openxmlformats.org/officeDocument/2006/relationships/hyperlink" Target="https://old.ukr-mobil.com/shlejf_iphone_6_plus_konnektor_zaryadki_razem_garnitury_s_mikrofonom_original_prc_black_5437" TargetMode="External"/><Relationship Id="rId_hyperlink_5109" Type="http://schemas.openxmlformats.org/officeDocument/2006/relationships/hyperlink" Target="https://old.ukr-mobil.com/shlejf_iphone_6_knopka_home_white_6156" TargetMode="External"/><Relationship Id="rId_hyperlink_5110" Type="http://schemas.openxmlformats.org/officeDocument/2006/relationships/hyperlink" Target="https://old.ukr-mobil.com/shlejf_iphone_6_konnektor_zaryadki_razem_garnitury_s_mikrofonom_original_prc_black_5435" TargetMode="External"/><Relationship Id="rId_hyperlink_5111" Type="http://schemas.openxmlformats.org/officeDocument/2006/relationships/hyperlink" Target="https://old.ukr-mobil.com/shlejf_iphone_6_konnektor_zaryadki_razem_garnitury_s_mikrofonom_original_prc_white_5436" TargetMode="External"/><Relationship Id="rId_hyperlink_5112" Type="http://schemas.openxmlformats.org/officeDocument/2006/relationships/hyperlink" Target="https://old.ukr-mobil.com/shlejf_iphone_6_s_knopkoj_vklyucheniya_vspyshkoj_mikrofonom_original_prc_5526" TargetMode="External"/><Relationship Id="rId_hyperlink_5113" Type="http://schemas.openxmlformats.org/officeDocument/2006/relationships/hyperlink" Target="https://old.ukr-mobil.com/shlejf_iphone_6s_plus_s_razemom_zaryadki_garnitury_original_prc_black_9005" TargetMode="External"/><Relationship Id="rId_hyperlink_5114" Type="http://schemas.openxmlformats.org/officeDocument/2006/relationships/hyperlink" Target="https://old.ukr-mobil.com/shlejf_iphone_6s_plus_s_razemom_zaryadki_garnitury_original_prc_white_9006" TargetMode="External"/><Relationship Id="rId_hyperlink_5115" Type="http://schemas.openxmlformats.org/officeDocument/2006/relationships/hyperlink" Target="https://old.ukr-mobil.com/shlejf_iphone_6s_plus_s_frontalnoj_kameroj_datchikom_priblizheniya_mikrofonom_original_prc_8909" TargetMode="External"/><Relationship Id="rId_hyperlink_5116" Type="http://schemas.openxmlformats.org/officeDocument/2006/relationships/hyperlink" Target="https://old.ukr-mobil.com/shlejf_iphone_6s_knopka_home_black_8415" TargetMode="External"/><Relationship Id="rId_hyperlink_5117" Type="http://schemas.openxmlformats.org/officeDocument/2006/relationships/hyperlink" Target="https://old.ukr-mobil.com/shlejf_iphone_6s_s_knopkoj_vklyucheniya_i_regulirovki_gromkosti_original_prc_7596" TargetMode="External"/><Relationship Id="rId_hyperlink_5118" Type="http://schemas.openxmlformats.org/officeDocument/2006/relationships/hyperlink" Target="https://old.ukr-mobil.com/shlejf_iphone_6s_s_razemom_zaryadki_garnitury_original_prc_black_5937" TargetMode="External"/><Relationship Id="rId_hyperlink_5119" Type="http://schemas.openxmlformats.org/officeDocument/2006/relationships/hyperlink" Target="https://old.ukr-mobil.com/shlejf_iphone_6s_s_razemom_zaryadki_garnitury_original_prc_white_7834" TargetMode="External"/><Relationship Id="rId_hyperlink_5120" Type="http://schemas.openxmlformats.org/officeDocument/2006/relationships/hyperlink" Target="https://old.ukr-mobil.com/shlejf_iphone_6s_s_mikrofonom_s_kameroj_s_datchikom_priblizheniya_original_prc_7517" TargetMode="External"/><Relationship Id="rId_hyperlink_5121" Type="http://schemas.openxmlformats.org/officeDocument/2006/relationships/hyperlink" Target="https://old.ukr-mobil.com/shlejf_iphone_7_plus_s_razemom_na_zaryadku_mikrofonom_white_original_11180" TargetMode="External"/><Relationship Id="rId_hyperlink_5122" Type="http://schemas.openxmlformats.org/officeDocument/2006/relationships/hyperlink" Target="https://old.ukr-mobil.com/shlejf_iphone_7_plus_s_razemom_na_zaryadku_mikrofonom_original_prc_black_8887" TargetMode="External"/><Relationship Id="rId_hyperlink_5123" Type="http://schemas.openxmlformats.org/officeDocument/2006/relationships/hyperlink" Target="https://old.ukr-mobil.com/shlejf_iphone_7_plus_s_razemom_na_zaryadku_mikrofonom_white_8888" TargetMode="External"/><Relationship Id="rId_hyperlink_5124" Type="http://schemas.openxmlformats.org/officeDocument/2006/relationships/hyperlink" Target="https://old.ukr-mobil.com/shlejf_iphone_7_plus_s_frontalnoj_kameroj_datchikom_priblizheniya_mikrofonom_original_8889" TargetMode="External"/><Relationship Id="rId_hyperlink_5125" Type="http://schemas.openxmlformats.org/officeDocument/2006/relationships/hyperlink" Target="https://old.ukr-mobil.com/shlejf_iphone_7_iphone_8_wi-fi_antenny_s_komponentami_original_prc_10000656" TargetMode="External"/><Relationship Id="rId_hyperlink_5126" Type="http://schemas.openxmlformats.org/officeDocument/2006/relationships/hyperlink" Target="https://old.ukr-mobil.com/shlejf_iphone_7_s_knopkoj_vklyucheniya_i_regulirovki_gromkosti_original_prc_7634" TargetMode="External"/><Relationship Id="rId_hyperlink_5127" Type="http://schemas.openxmlformats.org/officeDocument/2006/relationships/hyperlink" Target="https://old.ukr-mobil.com/shlejf_iphone_7_s_razemom_zaryadki_garnitury_original_prc_black_7835" TargetMode="External"/><Relationship Id="rId_hyperlink_5128" Type="http://schemas.openxmlformats.org/officeDocument/2006/relationships/hyperlink" Target="https://old.ukr-mobil.com/shlejf_iphone_7_s_razemom_zaryadki_garnitury_original_prc_white_7836" TargetMode="External"/><Relationship Id="rId_hyperlink_5129" Type="http://schemas.openxmlformats.org/officeDocument/2006/relationships/hyperlink" Target="https://old.ukr-mobil.com/shlejf_iphone_7_s_frontalnoj_kameroj_datchikom_priblizheniya_original_prc_9522" TargetMode="External"/><Relationship Id="rId_hyperlink_5130" Type="http://schemas.openxmlformats.org/officeDocument/2006/relationships/hyperlink" Target="https://old.ukr-mobil.com/shlejf_iphone_8_plus_wi-fi_antenny_s_komponentami_10061" TargetMode="External"/><Relationship Id="rId_hyperlink_5131" Type="http://schemas.openxmlformats.org/officeDocument/2006/relationships/hyperlink" Target="https://old.ukr-mobil.com/shlejf_apple_iphone_8_plus_s_knopkoj_vklyucheniya_s_knopkami_regulirovki_gromkosti_s_vspyshkoj_s_mikrofonom_original_prc_10002142" TargetMode="External"/><Relationship Id="rId_hyperlink_5132" Type="http://schemas.openxmlformats.org/officeDocument/2006/relationships/hyperlink" Target="https://old.ukr-mobil.com/shlejf_iphone_8_plus_s_razemom_zaryadki_mikrofonom_original_prc_black_9796" TargetMode="External"/><Relationship Id="rId_hyperlink_5133" Type="http://schemas.openxmlformats.org/officeDocument/2006/relationships/hyperlink" Target="https://old.ukr-mobil.com/shlejf_iphone_8_plus_s_razemom_zaryadki_mikrofonom_original_prc_gold_10063" TargetMode="External"/><Relationship Id="rId_hyperlink_5134" Type="http://schemas.openxmlformats.org/officeDocument/2006/relationships/hyperlink" Target="https://old.ukr-mobil.com/shlejf_iphone_8_plus_s_razemom_zaryadki_mikrofonom_original_prc_white_9797" TargetMode="External"/><Relationship Id="rId_hyperlink_5135" Type="http://schemas.openxmlformats.org/officeDocument/2006/relationships/hyperlink" Target="https://old.ukr-mobil.com/shlejf_apple_iphone_8_plus_s_frontalnoj_kameroj_datchikom_priblizheniya_mikrofonom_original_prc_10002140" TargetMode="External"/><Relationship Id="rId_hyperlink_5136" Type="http://schemas.openxmlformats.org/officeDocument/2006/relationships/hyperlink" Target="https://old.ukr-mobil.com/shlejf_apple_iphone_8_iphone_se_2020_s_knopkoj_vklyucheniya_s_knopkami_regulirovki_gromkosti_s_vspyshkoj_original_prc_10002143" TargetMode="External"/><Relationship Id="rId_hyperlink_5137" Type="http://schemas.openxmlformats.org/officeDocument/2006/relationships/hyperlink" Target="https://old.ukr-mobil.com/shlejf_apple_iphone_8_iphone_se_2020_s_frontalnoj_kameroj_datchikom_priblizheniya_original_prc_10002145" TargetMode="External"/><Relationship Id="rId_hyperlink_5138" Type="http://schemas.openxmlformats.org/officeDocument/2006/relationships/hyperlink" Target="https://old.ukr-mobil.com/shlejf_iphone_8_s_razemom_zaryadki_original_prc_black_9794" TargetMode="External"/><Relationship Id="rId_hyperlink_5139" Type="http://schemas.openxmlformats.org/officeDocument/2006/relationships/hyperlink" Target="https://old.ukr-mobil.com/shlejf_iphone_8_s_razemom_zaryadki_original_prc_white_9795" TargetMode="External"/><Relationship Id="rId_hyperlink_5140" Type="http://schemas.openxmlformats.org/officeDocument/2006/relationships/hyperlink" Target="https://old.ukr-mobil.com/shlejf_iphone_x_wi-fi_antenny_s_komponentami_original_prc_10065" TargetMode="External"/><Relationship Id="rId_hyperlink_5141" Type="http://schemas.openxmlformats.org/officeDocument/2006/relationships/hyperlink" Target="https://old.ukr-mobil.com/shlejf_apple_iphone_x_dlya_besprovodnoj_zaryadki_s_knopkami_regulirovki_gromkosti_original_prc_10003809" TargetMode="External"/><Relationship Id="rId_hyperlink_5142" Type="http://schemas.openxmlformats.org/officeDocument/2006/relationships/hyperlink" Target="https://old.ukr-mobil.com/shlejf_iphone_x_s_dinamikom_s_datchikom_priblizheniya_s_mikrofonom_original_prc_11820" TargetMode="External"/><Relationship Id="rId_hyperlink_5143" Type="http://schemas.openxmlformats.org/officeDocument/2006/relationships/hyperlink" Target="https://old.ukr-mobil.com/shlejf_iphone_x_regulirovki_gromkosti_original_prc_11694" TargetMode="External"/><Relationship Id="rId_hyperlink_5144" Type="http://schemas.openxmlformats.org/officeDocument/2006/relationships/hyperlink" Target="https://old.ukr-mobil.com/shlejf_iphone_x_s_knopkoj_vklyucheniya_vspishkoj_original_prc_11693" TargetMode="External"/><Relationship Id="rId_hyperlink_5145" Type="http://schemas.openxmlformats.org/officeDocument/2006/relationships/hyperlink" Target="https://old.ukr-mobil.com/shlejf_iphone_x_s_razemom_zaryadki_naushnikov_i_mikrofonom_original_prc_white_10067" TargetMode="External"/><Relationship Id="rId_hyperlink_5146" Type="http://schemas.openxmlformats.org/officeDocument/2006/relationships/hyperlink" Target="https://old.ukr-mobil.com/shlejf_iphone_x_s_razemom_zaryadki_naushnikov_i_mikrofonom_original_prc_black_10066" TargetMode="External"/><Relationship Id="rId_hyperlink_5147" Type="http://schemas.openxmlformats.org/officeDocument/2006/relationships/hyperlink" Target="https://old.ukr-mobil.com/shlejf_iphone_x_s_frontalnoj_kameroj_face_id_original_prc_11093" TargetMode="External"/><Relationship Id="rId_hyperlink_5148" Type="http://schemas.openxmlformats.org/officeDocument/2006/relationships/hyperlink" Target="https://old.ukr-mobil.com/shlejf_apple_iphone_xr_dlya_besprovodnoj_zaryadki_original_prc_10003819" TargetMode="External"/><Relationship Id="rId_hyperlink_5149" Type="http://schemas.openxmlformats.org/officeDocument/2006/relationships/hyperlink" Target="https://old.ukr-mobil.com/shlejf_apple_iphone_xr_s_dinamikom_s_datchikom_priblizheniya_s_mikrofonom_original_prc_10003878" TargetMode="External"/><Relationship Id="rId_hyperlink_5150" Type="http://schemas.openxmlformats.org/officeDocument/2006/relationships/hyperlink" Target="https://old.ukr-mobil.com/shlejf_apple_iphone_xr_s_knopkoj_vklyucheniya_s_knopkami_regulirovki_gromkosti_vspishkoj_original_prc_10003879" TargetMode="External"/><Relationship Id="rId_hyperlink_5151" Type="http://schemas.openxmlformats.org/officeDocument/2006/relationships/hyperlink" Target="https://old.ukr-mobil.com/shlejf_apple_iphone_xr_s_razemom_zaryadki_mikrofonom_original_prc_black_10003818" TargetMode="External"/><Relationship Id="rId_hyperlink_5152" Type="http://schemas.openxmlformats.org/officeDocument/2006/relationships/hyperlink" Target="https://old.ukr-mobil.com/shlejf_apple_iphone_xr_s_razemom_zaryadki_mikrofonom_original_prc_white_10004241" TargetMode="External"/><Relationship Id="rId_hyperlink_5153" Type="http://schemas.openxmlformats.org/officeDocument/2006/relationships/hyperlink" Target="https://old.ukr-mobil.com/shlejf_apple_iphone_xs_max_wi-fi_antenny_s_komponentami_original_prc_10001605" TargetMode="External"/><Relationship Id="rId_hyperlink_5154" Type="http://schemas.openxmlformats.org/officeDocument/2006/relationships/hyperlink" Target="https://old.ukr-mobil.com/shlejf_apple_iphone_xs_max_dlya_besprovodnoj_zaryadki_s_datchikom_nfc_s_knopkami_regulirovki_gromkosti_original_prc_10003811" TargetMode="External"/><Relationship Id="rId_hyperlink_5155" Type="http://schemas.openxmlformats.org/officeDocument/2006/relationships/hyperlink" Target="https://old.ukr-mobil.com/shlejf_apple_iphone_xs_max_s_dinamikom_s_datchikom_priblizheniya_s_mikrofonom_original_prc_10001549" TargetMode="External"/><Relationship Id="rId_hyperlink_5156" Type="http://schemas.openxmlformats.org/officeDocument/2006/relationships/hyperlink" Target="https://old.ukr-mobil.com/shlejf_apple_iphone_xs_max_regulirovki_gromkosti_original_prc_10001603" TargetMode="External"/><Relationship Id="rId_hyperlink_5157" Type="http://schemas.openxmlformats.org/officeDocument/2006/relationships/hyperlink" Target="https://old.ukr-mobil.com/shlejf_apple_iphone_xs_max_s_razemom_zaryadki_mikrofonom_original_prc_black_10001550" TargetMode="External"/><Relationship Id="rId_hyperlink_5158" Type="http://schemas.openxmlformats.org/officeDocument/2006/relationships/hyperlink" Target="https://old.ukr-mobil.com/shlejf_apple_iphone_xs_max_s_razemom_zaryadki_mikrofonom_original_prc_gold_10001601" TargetMode="External"/><Relationship Id="rId_hyperlink_5159" Type="http://schemas.openxmlformats.org/officeDocument/2006/relationships/hyperlink" Target="https://old.ukr-mobil.com/shlejf_apple_iphone_xs_max_s_razemom_zaryadki_mikrofonom_original_prc_white_10001551" TargetMode="External"/><Relationship Id="rId_hyperlink_5160" Type="http://schemas.openxmlformats.org/officeDocument/2006/relationships/hyperlink" Target="https://old.ukr-mobil.com/shlejf_apple_iphone_xs_iphone_xs_max_s_knopkoj_vklyucheniya_vspishkoj_original_prc_10001547" TargetMode="External"/><Relationship Id="rId_hyperlink_5161" Type="http://schemas.openxmlformats.org/officeDocument/2006/relationships/hyperlink" Target="https://old.ukr-mobil.com/shlejf_apple_iphone_xs_wi-fi_antenny_s_komponentami_original_prc_10001604" TargetMode="External"/><Relationship Id="rId_hyperlink_5162" Type="http://schemas.openxmlformats.org/officeDocument/2006/relationships/hyperlink" Target="https://old.ukr-mobil.com/shlejf_apple_iphone_xs_dlya_besprovodnoj_zaryadki_s_datchikom_nfc_s_knopkami_regulirovki_gromkosti_original_prc_10003810" TargetMode="External"/><Relationship Id="rId_hyperlink_5163" Type="http://schemas.openxmlformats.org/officeDocument/2006/relationships/hyperlink" Target="https://old.ukr-mobil.com/shlejf_apple_iphone_xs_regulirovki_gromkosti_original_prc_10001602" TargetMode="External"/><Relationship Id="rId_hyperlink_5164" Type="http://schemas.openxmlformats.org/officeDocument/2006/relationships/hyperlink" Target="https://old.ukr-mobil.com/shlejf_apple_iphone_xs_s_dinamikom_s_datchikom_priblizheniya_s_mikrofonom_original_prc_10001548" TargetMode="External"/><Relationship Id="rId_hyperlink_5165" Type="http://schemas.openxmlformats.org/officeDocument/2006/relationships/hyperlink" Target="https://old.ukr-mobil.com/shlejf_apple_iphone_xs_s_razemom_zaryadki_mikrofonom_original_prc_black_10001544" TargetMode="External"/><Relationship Id="rId_hyperlink_5166" Type="http://schemas.openxmlformats.org/officeDocument/2006/relationships/hyperlink" Target="https://old.ukr-mobil.com/shlejf_apple_iphone_xs_s_razemom_zaryadki_mikrofonom_original_prc_gold_10001600" TargetMode="External"/><Relationship Id="rId_hyperlink_5167" Type="http://schemas.openxmlformats.org/officeDocument/2006/relationships/hyperlink" Target="https://old.ukr-mobil.com/shlejf_apple_iphone_xs_s_razemom_zaryadki_mikrofonom_original_prc_white_10001545" TargetMode="External"/><Relationship Id="rId_hyperlink_5168" Type="http://schemas.openxmlformats.org/officeDocument/2006/relationships/hyperlink" Target="https://old.ukr-mobil.com/shlejf_google_pixel_5_so_skanerom_otpechatka_original_prc_black_10003358" TargetMode="External"/><Relationship Id="rId_hyperlink_5169" Type="http://schemas.openxmlformats.org/officeDocument/2006/relationships/hyperlink" Target="https://old.ukr-mobil.com/index.php?route=product&amp;product_id=10005070" TargetMode="External"/><Relationship Id="rId_hyperlink_5170" Type="http://schemas.openxmlformats.org/officeDocument/2006/relationships/hyperlink" Target="https://old.ukr-mobil.com/index.php?route=product&amp;product_id=10005051" TargetMode="External"/><Relationship Id="rId_hyperlink_5171" Type="http://schemas.openxmlformats.org/officeDocument/2006/relationships/hyperlink" Target="https://old.ukr-mobil.com/index.php?route=product&amp;product_id=10005068" TargetMode="External"/><Relationship Id="rId_hyperlink_5172" Type="http://schemas.openxmlformats.org/officeDocument/2006/relationships/hyperlink" Target="https://old.ukr-mobil.com/index.php?route=product&amp;product_id=10004982" TargetMode="External"/><Relationship Id="rId_hyperlink_5173" Type="http://schemas.openxmlformats.org/officeDocument/2006/relationships/hyperlink" Target="https://old.ukr-mobil.com/index.php?route=product&amp;product_id=10005069" TargetMode="External"/><Relationship Id="rId_hyperlink_5174" Type="http://schemas.openxmlformats.org/officeDocument/2006/relationships/hyperlink" Target="https://old.ukr-mobil.com/index.php?route=product&amp;product_id=10004952" TargetMode="External"/><Relationship Id="rId_hyperlink_5175" Type="http://schemas.openxmlformats.org/officeDocument/2006/relationships/hyperlink" Target="https://old.ukr-mobil.com/index.php?route=product&amp;product_id=10005073" TargetMode="External"/><Relationship Id="rId_hyperlink_5176" Type="http://schemas.openxmlformats.org/officeDocument/2006/relationships/hyperlink" Target="https://old.ukr-mobil.com/index.php?route=product&amp;product_id=10004983" TargetMode="External"/><Relationship Id="rId_hyperlink_5177" Type="http://schemas.openxmlformats.org/officeDocument/2006/relationships/hyperlink" Target="https://old.ukr-mobil.com/index.php?route=product&amp;product_id=10005072" TargetMode="External"/><Relationship Id="rId_hyperlink_5178" Type="http://schemas.openxmlformats.org/officeDocument/2006/relationships/hyperlink" Target="https://old.ukr-mobil.com/index.php?route=product&amp;product_id=10004984" TargetMode="External"/><Relationship Id="rId_hyperlink_5179" Type="http://schemas.openxmlformats.org/officeDocument/2006/relationships/hyperlink" Target="https://old.ukr-mobil.com/index.php?route=product&amp;product_id=10005071" TargetMode="External"/><Relationship Id="rId_hyperlink_5180" Type="http://schemas.openxmlformats.org/officeDocument/2006/relationships/hyperlink" Target="https://old.ukr-mobil.com/index.php?route=product&amp;product_id=10004981" TargetMode="External"/><Relationship Id="rId_hyperlink_5181" Type="http://schemas.openxmlformats.org/officeDocument/2006/relationships/hyperlink" Target="https://old.ukr-mobil.com/shlejf_huawei_g610_knopka_vklyucheniya_regulirovki_gromkosti_5983" TargetMode="External"/><Relationship Id="rId_hyperlink_5182" Type="http://schemas.openxmlformats.org/officeDocument/2006/relationships/hyperlink" Target="https://old.ukr-mobil.com/shlejf_huawei_g630_knopka_vklyucheniya_regulirovki_gromkosti_5984" TargetMode="External"/><Relationship Id="rId_hyperlink_5183" Type="http://schemas.openxmlformats.org/officeDocument/2006/relationships/hyperlink" Target="https://old.ukr-mobil.com/shlejf_huawei_p7_knopka_vklyucheniya_regulirovki_gromkosti_5985" TargetMode="External"/><Relationship Id="rId_hyperlink_5184" Type="http://schemas.openxmlformats.org/officeDocument/2006/relationships/hyperlink" Target="https://old.ukr-mobil.com/shlejf_huawei_y210_knopka_vklyucheniya_5973" TargetMode="External"/><Relationship Id="rId_hyperlink_5185" Type="http://schemas.openxmlformats.org/officeDocument/2006/relationships/hyperlink" Target="https://old.ukr-mobil.com/shlejf_huawei_y220_knopka_vklyucheniya_5974" TargetMode="External"/><Relationship Id="rId_hyperlink_5186" Type="http://schemas.openxmlformats.org/officeDocument/2006/relationships/hyperlink" Target="https://old.ukr-mobil.com/shlejf_huawei_y300_knopka_vklyucheniya_5975" TargetMode="External"/><Relationship Id="rId_hyperlink_5187" Type="http://schemas.openxmlformats.org/officeDocument/2006/relationships/hyperlink" Target="https://old.ukr-mobil.com/shlejf_huawei_y310_knopka_vklyucheniya_5976" TargetMode="External"/><Relationship Id="rId_hyperlink_5188" Type="http://schemas.openxmlformats.org/officeDocument/2006/relationships/hyperlink" Target="https://old.ukr-mobil.com/shlejf_huawei_y325_knopka_vklyucheniya_regulirovki_gromkosti_5978" TargetMode="External"/><Relationship Id="rId_hyperlink_5189" Type="http://schemas.openxmlformats.org/officeDocument/2006/relationships/hyperlink" Target="https://old.ukr-mobil.com/shlejf_huawei_y511_knopka_vklyucheniya_regulirovki_gromkosti_5979" TargetMode="External"/><Relationship Id="rId_hyperlink_5190" Type="http://schemas.openxmlformats.org/officeDocument/2006/relationships/hyperlink" Target="https://old.ukr-mobil.com/shlejf_huawei_y535_knopka_vklyucheniya_regulirovki_gromkosti_5980" TargetMode="External"/><Relationship Id="rId_hyperlink_5191" Type="http://schemas.openxmlformats.org/officeDocument/2006/relationships/hyperlink" Target="https://old.ukr-mobil.com/shlejf_huawei_y550_knopka_vklyucheniya_regulirovki_gromkosti_5981" TargetMode="External"/><Relationship Id="rId_hyperlink_5192" Type="http://schemas.openxmlformats.org/officeDocument/2006/relationships/hyperlink" Target="https://old.ukr-mobil.com/shlejf_huawei_g510_knopka_vklyuchennya_ta_regulyuvannya_guchnost_10001375" TargetMode="External"/><Relationship Id="rId_hyperlink_5193" Type="http://schemas.openxmlformats.org/officeDocument/2006/relationships/hyperlink" Target="https://old.ukr-mobil.com/shlejf_huawei_honor_8_skaner_otpechatka_palca_black_10070" TargetMode="External"/><Relationship Id="rId_hyperlink_5194" Type="http://schemas.openxmlformats.org/officeDocument/2006/relationships/hyperlink" Target="https://old.ukr-mobil.com/shlejf_huawei_honor_8_skaner_otpechatka_palca_blue_10071" TargetMode="External"/><Relationship Id="rId_hyperlink_5195" Type="http://schemas.openxmlformats.org/officeDocument/2006/relationships/hyperlink" Target="https://old.ukr-mobil.com/shlejf_huawei_honor_8_skaner_otpechatka_palca_gold_10072" TargetMode="External"/><Relationship Id="rId_hyperlink_5196" Type="http://schemas.openxmlformats.org/officeDocument/2006/relationships/hyperlink" Target="https://old.ukr-mobil.com/shlejf_huawei_honor_8_frd-l09_honor_8_premium_frd-l19_skaner_otpechatka_palca_white_10001924" TargetMode="External"/><Relationship Id="rId_hyperlink_5197" Type="http://schemas.openxmlformats.org/officeDocument/2006/relationships/hyperlink" Target="https://old.ukr-mobil.com/shlejf_huawei_honor_8_lite_p8_lite_2017_skaner_otpechatka_palca_blue_10094" TargetMode="External"/><Relationship Id="rId_hyperlink_5198" Type="http://schemas.openxmlformats.org/officeDocument/2006/relationships/hyperlink" Target="https://old.ukr-mobil.com/shlejf_huawei_honor_8_lite_p8_lite_2017_skaner_otpechatka_palca_gold_10096" TargetMode="External"/><Relationship Id="rId_hyperlink_5199" Type="http://schemas.openxmlformats.org/officeDocument/2006/relationships/hyperlink" Target="https://old.ukr-mobil.com/shlejf_huawei_honor_8_lite_p8_lite_2017_skaner_otpechatka_palca_white_10095" TargetMode="External"/><Relationship Id="rId_hyperlink_5200" Type="http://schemas.openxmlformats.org/officeDocument/2006/relationships/hyperlink" Target="https://old.ukr-mobil.com/shlejf_huawei_honor_v9_knopka_vklyucheniya_regulirovki_gromkosti_10101" TargetMode="External"/><Relationship Id="rId_hyperlink_5201" Type="http://schemas.openxmlformats.org/officeDocument/2006/relationships/hyperlink" Target="https://old.ukr-mobil.com/shlejf_huawei_mate_10_skaner_otpechatka_palca_gold_10084" TargetMode="External"/><Relationship Id="rId_hyperlink_5202" Type="http://schemas.openxmlformats.org/officeDocument/2006/relationships/hyperlink" Target="https://old.ukr-mobil.com/shlejf_huawei_mate_10_pro_knopka_vklyucheniya_regulirovki_gromkosti_10086" TargetMode="External"/><Relationship Id="rId_hyperlink_5203" Type="http://schemas.openxmlformats.org/officeDocument/2006/relationships/hyperlink" Target="https://old.ukr-mobil.com/shlejf_huawei_mate_7_s_razemom_zaryadki_mikrofonom_10079" TargetMode="External"/><Relationship Id="rId_hyperlink_5204" Type="http://schemas.openxmlformats.org/officeDocument/2006/relationships/hyperlink" Target="https://old.ukr-mobil.com/shlejf_huawei_mate_8_s_razemom_zaryadki_mikrofonami_10080" TargetMode="External"/><Relationship Id="rId_hyperlink_5205" Type="http://schemas.openxmlformats.org/officeDocument/2006/relationships/hyperlink" Target="https://old.ukr-mobil.com/shlejf_huawei_nova_s_razemom_zaryadki_mikrofonom_10087" TargetMode="External"/><Relationship Id="rId_hyperlink_5206" Type="http://schemas.openxmlformats.org/officeDocument/2006/relationships/hyperlink" Target="https://old.ukr-mobil.com/shlejf_huawei_nova_2_2017_skaner_otpechatka_palca_f11435_10000711" TargetMode="External"/><Relationship Id="rId_hyperlink_5207" Type="http://schemas.openxmlformats.org/officeDocument/2006/relationships/hyperlink" Target="https://old.ukr-mobil.com/shlejf_huawei_nova_2_s_razemom_zaryadki_mikrofonom_10090" TargetMode="External"/><Relationship Id="rId_hyperlink_5208" Type="http://schemas.openxmlformats.org/officeDocument/2006/relationships/hyperlink" Target="https://old.ukr-mobil.com/shlejf_huawei_nova_5t_honor_20_20_pro_so_skanerom_otpechatka_original_prc_black_10003360" TargetMode="External"/><Relationship Id="rId_hyperlink_5209" Type="http://schemas.openxmlformats.org/officeDocument/2006/relationships/hyperlink" Target="https://old.ukr-mobil.com/shlejf_huawei_nova_lite_2017_y6_pro_2017_p9_lite_mini_s_razemom_zaryadki_mikrofonom_10088" TargetMode="External"/><Relationship Id="rId_hyperlink_5210" Type="http://schemas.openxmlformats.org/officeDocument/2006/relationships/hyperlink" Target="https://old.ukr-mobil.com/shlejf_huawei_p_smart_konnektora_naushnikov_konnektora_zaryadki_s_mikrofonom_plata_zaryadki_11668" TargetMode="External"/><Relationship Id="rId_hyperlink_5211" Type="http://schemas.openxmlformats.org/officeDocument/2006/relationships/hyperlink" Target="https://old.ukr-mobil.com/shlejf_huawei_p_smart_2021_ppa-lx2_y7a_honor_10x_lite_mezhplatnyj_high_copy_10002596" TargetMode="External"/><Relationship Id="rId_hyperlink_5212" Type="http://schemas.openxmlformats.org/officeDocument/2006/relationships/hyperlink" Target="https://old.ukr-mobil.com/shlejf_huawei_p_smart_2021_s_razemom_zaryadki_garnitury_mikrofonom_high_copy_10002593" TargetMode="External"/><Relationship Id="rId_hyperlink_5213" Type="http://schemas.openxmlformats.org/officeDocument/2006/relationships/hyperlink" Target="https://old.ukr-mobil.com/shlejf_huawei_p_smart_2021_s_razemom_zaryadki_garnitury_mikrofonom_original_10002595" TargetMode="External"/><Relationship Id="rId_hyperlink_5214" Type="http://schemas.openxmlformats.org/officeDocument/2006/relationships/hyperlink" Target="https://old.ukr-mobil.com/shlejf_huawei_p_smart_2021_so_skanerom_otpechatka_original_prc_black_10003361" TargetMode="External"/><Relationship Id="rId_hyperlink_5215" Type="http://schemas.openxmlformats.org/officeDocument/2006/relationships/hyperlink" Target="https://old.ukr-mobil.com/shlejf_huawei_p_smart_plus_konnektora_naushnikov_konnektora_zaryadki_s_mikrofonom_plata_zaryadki_11669" TargetMode="External"/><Relationship Id="rId_hyperlink_5216" Type="http://schemas.openxmlformats.org/officeDocument/2006/relationships/hyperlink" Target="https://old.ukr-mobil.com/shlejf_huawei_p_smart_plus_ine-lx1_nova_3_par-lx1_nova_3i_nova_3is_konnektora_naushnikov_konnektora_zaryadki_s_mikrofonom_original_10002958" TargetMode="External"/><Relationship Id="rId_hyperlink_5217" Type="http://schemas.openxmlformats.org/officeDocument/2006/relationships/hyperlink" Target="https://old.ukr-mobil.com/shlejf_huawei_p20_lite_s_razemom_zaryadki_garnitury_mikrofonom_original_prc_11670" TargetMode="External"/><Relationship Id="rId_hyperlink_5218" Type="http://schemas.openxmlformats.org/officeDocument/2006/relationships/hyperlink" Target="https://old.ukr-mobil.com/shlejf_huawei_p40_lite_so_skanerom_otpechatka_original_prc_black_10003359" TargetMode="External"/><Relationship Id="rId_hyperlink_5219" Type="http://schemas.openxmlformats.org/officeDocument/2006/relationships/hyperlink" Target="https://old.ukr-mobil.com/shlejf_huawei_p8_lite_ale_l21_knopka_vklyucheniya_regulirovki_gromkosti_10092" TargetMode="External"/><Relationship Id="rId_hyperlink_5220" Type="http://schemas.openxmlformats.org/officeDocument/2006/relationships/hyperlink" Target="https://old.ukr-mobil.com/shlejf_huawei_y320_knopka_vklyuchennya_ta_regulyuvannya_guchnost_10001376" TargetMode="External"/><Relationship Id="rId_hyperlink_5221" Type="http://schemas.openxmlformats.org/officeDocument/2006/relationships/hyperlink" Target="https://old.ukr-mobil.com/shlejf_huawei_y6_2018_atu-l21_y6_prime_2018_honor_7a_pro_konnektora_zaryadki_s_mikrofonom_plata_zaryadki_11671" TargetMode="External"/><Relationship Id="rId_hyperlink_5222" Type="http://schemas.openxmlformats.org/officeDocument/2006/relationships/hyperlink" Target="https://old.ukr-mobil.com/index.php?route=product&amp;product_id=10005125" TargetMode="External"/><Relationship Id="rId_hyperlink_5223" Type="http://schemas.openxmlformats.org/officeDocument/2006/relationships/hyperlink" Target="https://old.ukr-mobil.com/shlejf_lenovo_a516_knopka_vklyuchennya_original_5960" TargetMode="External"/><Relationship Id="rId_hyperlink_5224" Type="http://schemas.openxmlformats.org/officeDocument/2006/relationships/hyperlink" Target="https://old.ukr-mobil.com/shlejf_lenovo_a516_regulirovki_gromkosti_original_5966" TargetMode="External"/><Relationship Id="rId_hyperlink_5225" Type="http://schemas.openxmlformats.org/officeDocument/2006/relationships/hyperlink" Target="https://old.ukr-mobil.com/shlejf_lenovo_a560_knopka_vklyuchennya_original_5959" TargetMode="External"/><Relationship Id="rId_hyperlink_5226" Type="http://schemas.openxmlformats.org/officeDocument/2006/relationships/hyperlink" Target="https://old.ukr-mobil.com/shlejf_lenovo_a7020_vibe_k5_note_knopka_vklyucheniya_regulirovki_gromkosti_9083" TargetMode="External"/><Relationship Id="rId_hyperlink_5227" Type="http://schemas.openxmlformats.org/officeDocument/2006/relationships/hyperlink" Target="https://old.ukr-mobil.com/shlejf_lenovo_a850_regulirovki_gromkosti_5958" TargetMode="External"/><Relationship Id="rId_hyperlink_5228" Type="http://schemas.openxmlformats.org/officeDocument/2006/relationships/hyperlink" Target="https://old.ukr-mobil.com/shlejf_lenovo_s720_knopka_vklyuchennya_5556" TargetMode="External"/><Relationship Id="rId_hyperlink_5229" Type="http://schemas.openxmlformats.org/officeDocument/2006/relationships/hyperlink" Target="https://old.ukr-mobil.com/shlejf_lenovo_s720_knopki_regulyuvannya_guchnost_5557" TargetMode="External"/><Relationship Id="rId_hyperlink_5230" Type="http://schemas.openxmlformats.org/officeDocument/2006/relationships/hyperlink" Target="https://old.ukr-mobil.com/shlejf_lenovo_s820_knopka_vklyuchennya_5554" TargetMode="External"/><Relationship Id="rId_hyperlink_5231" Type="http://schemas.openxmlformats.org/officeDocument/2006/relationships/hyperlink" Target="https://old.ukr-mobil.com/shlejf_lenovo_s960_knopki_regulyuvannya_guchnost_5558" TargetMode="External"/><Relationship Id="rId_hyperlink_5232" Type="http://schemas.openxmlformats.org/officeDocument/2006/relationships/hyperlink" Target="https://old.ukr-mobil.com/shlejf_lg_d800_g2_d801_g2_d803_optimus_g2_s_konnektorom_zaryadki_naushnikov_mikrofonom_4847" TargetMode="External"/><Relationship Id="rId_hyperlink_5233" Type="http://schemas.openxmlformats.org/officeDocument/2006/relationships/hyperlink" Target="https://old.ukr-mobil.com/shlejf_lg_ku580_orig_nal_2941" TargetMode="External"/><Relationship Id="rId_hyperlink_5234" Type="http://schemas.openxmlformats.org/officeDocument/2006/relationships/hyperlink" Target="https://old.ukr-mobil.com/shlejf_motorola_e6s_xt2053_so_skanerom_otpechatka_original_prc_blue_10003412" TargetMode="External"/><Relationship Id="rId_hyperlink_5235" Type="http://schemas.openxmlformats.org/officeDocument/2006/relationships/hyperlink" Target="https://old.ukr-mobil.com/shlejf_motorola_e6s_xt2053_so_skanerom_otpechatka_original_prc_grey_10003413" TargetMode="External"/><Relationship Id="rId_hyperlink_5236" Type="http://schemas.openxmlformats.org/officeDocument/2006/relationships/hyperlink" Target="https://old.ukr-mobil.com/shlejf_motorola_e7_plus_xt2081_e7_power_xt2097_so_skanerom_otpechatka_original_prc_blue_10003354" TargetMode="External"/><Relationship Id="rId_hyperlink_5237" Type="http://schemas.openxmlformats.org/officeDocument/2006/relationships/hyperlink" Target="https://old.ukr-mobil.com/index.php?route=product&amp;product_id=10005287" TargetMode="External"/><Relationship Id="rId_hyperlink_5238" Type="http://schemas.openxmlformats.org/officeDocument/2006/relationships/hyperlink" Target="https://old.ukr-mobil.com/index.php?route=product&amp;product_id=10005297" TargetMode="External"/><Relationship Id="rId_hyperlink_5239" Type="http://schemas.openxmlformats.org/officeDocument/2006/relationships/hyperlink" Target="https://old.ukr-mobil.com/index.php?route=product&amp;product_id=10005299" TargetMode="External"/><Relationship Id="rId_hyperlink_5240" Type="http://schemas.openxmlformats.org/officeDocument/2006/relationships/hyperlink" Target="https://old.ukr-mobil.com/index.php?route=product&amp;product_id=10005298" TargetMode="External"/><Relationship Id="rId_hyperlink_5241" Type="http://schemas.openxmlformats.org/officeDocument/2006/relationships/hyperlink" Target="https://old.ukr-mobil.com/index.php?route=product&amp;product_id=10005081" TargetMode="External"/><Relationship Id="rId_hyperlink_5242" Type="http://schemas.openxmlformats.org/officeDocument/2006/relationships/hyperlink" Target="https://old.ukr-mobil.com/index.php?route=product&amp;product_id=10005055" TargetMode="External"/><Relationship Id="rId_hyperlink_5243" Type="http://schemas.openxmlformats.org/officeDocument/2006/relationships/hyperlink" Target="https://old.ukr-mobil.com/index.php?route=product&amp;product_id=10004948" TargetMode="External"/><Relationship Id="rId_hyperlink_5244" Type="http://schemas.openxmlformats.org/officeDocument/2006/relationships/hyperlink" Target="https://old.ukr-mobil.com/index.php?route=product&amp;product_id=10005080" TargetMode="External"/><Relationship Id="rId_hyperlink_5245" Type="http://schemas.openxmlformats.org/officeDocument/2006/relationships/hyperlink" Target="https://old.ukr-mobil.com/index.php?route=product&amp;product_id=10005045" TargetMode="External"/><Relationship Id="rId_hyperlink_5246" Type="http://schemas.openxmlformats.org/officeDocument/2006/relationships/hyperlink" Target="https://old.ukr-mobil.com/index.php?route=product&amp;product_id=10004988" TargetMode="External"/><Relationship Id="rId_hyperlink_5247" Type="http://schemas.openxmlformats.org/officeDocument/2006/relationships/hyperlink" Target="https://old.ukr-mobil.com/shlejf_motorola_g8_power_xt2041_so_skanerom_otpechatka_original_prc_black_10003356" TargetMode="External"/><Relationship Id="rId_hyperlink_5248" Type="http://schemas.openxmlformats.org/officeDocument/2006/relationships/hyperlink" Target="https://old.ukr-mobil.com/shlejf_motorola_g9_plus_xt2087_so_skanerom_otpechatka_original_prc_blue_10003353" TargetMode="External"/><Relationship Id="rId_hyperlink_5249" Type="http://schemas.openxmlformats.org/officeDocument/2006/relationships/hyperlink" Target="https://old.ukr-mobil.com/shlejf_motorola_g9_power_xt2091-3_xt2091-4_so_skanerom_otpechatka_original_prc_green_10003352" TargetMode="External"/><Relationship Id="rId_hyperlink_5250" Type="http://schemas.openxmlformats.org/officeDocument/2006/relationships/hyperlink" Target="https://old.ukr-mobil.com/index.php?route=product&amp;product_id=10005293" TargetMode="External"/><Relationship Id="rId_hyperlink_5251" Type="http://schemas.openxmlformats.org/officeDocument/2006/relationships/hyperlink" Target="https://old.ukr-mobil.com/index.php?route=product&amp;product_id=10005294" TargetMode="External"/><Relationship Id="rId_hyperlink_5252" Type="http://schemas.openxmlformats.org/officeDocument/2006/relationships/hyperlink" Target="https://old.ukr-mobil.com/index.php?route=product&amp;product_id=10005295" TargetMode="External"/><Relationship Id="rId_hyperlink_5253" Type="http://schemas.openxmlformats.org/officeDocument/2006/relationships/hyperlink" Target="https://old.ukr-mobil.com/index.php?route=product&amp;product_id=10005290" TargetMode="External"/><Relationship Id="rId_hyperlink_5254" Type="http://schemas.openxmlformats.org/officeDocument/2006/relationships/hyperlink" Target="https://old.ukr-mobil.com/index.php?route=product&amp;product_id=10005289" TargetMode="External"/><Relationship Id="rId_hyperlink_5255" Type="http://schemas.openxmlformats.org/officeDocument/2006/relationships/hyperlink" Target="https://old.ukr-mobil.com/index.php?route=product&amp;product_id=10005288" TargetMode="External"/><Relationship Id="rId_hyperlink_5256" Type="http://schemas.openxmlformats.org/officeDocument/2006/relationships/hyperlink" Target="https://old.ukr-mobil.com/index.php?route=product&amp;product_id=10005291" TargetMode="External"/><Relationship Id="rId_hyperlink_5257" Type="http://schemas.openxmlformats.org/officeDocument/2006/relationships/hyperlink" Target="https://old.ukr-mobil.com/index.php?route=product&amp;product_id=10005292" TargetMode="External"/><Relationship Id="rId_hyperlink_5258" Type="http://schemas.openxmlformats.org/officeDocument/2006/relationships/hyperlink" Target="https://old.ukr-mobil.com/index.php?route=product&amp;product_id=10005296" TargetMode="External"/><Relationship Id="rId_hyperlink_5259" Type="http://schemas.openxmlformats.org/officeDocument/2006/relationships/hyperlink" Target="https://old.ukr-mobil.com/index.php?route=product&amp;product_id=10005300" TargetMode="External"/><Relationship Id="rId_hyperlink_5260" Type="http://schemas.openxmlformats.org/officeDocument/2006/relationships/hyperlink" Target="https://old.ukr-mobil.com/shlejf_motorola_one_action_xt2013_onevision_xt1970_so_skanerom_otpechatka_original_prc_black_10003355" TargetMode="External"/><Relationship Id="rId_hyperlink_5261" Type="http://schemas.openxmlformats.org/officeDocument/2006/relationships/hyperlink" Target="https://old.ukr-mobil.com/shlejf_motorola_xt1941-4_moto_one_xt1941-2_moto_p30_play_s_razemom_zaryadki_mikrofonom_high_copy_10002348" TargetMode="External"/><Relationship Id="rId_hyperlink_5262" Type="http://schemas.openxmlformats.org/officeDocument/2006/relationships/hyperlink" Target="https://old.ukr-mobil.com/shlejf_motorola_xt2013_moto_one_action_xt1970_moto_one_vision_s_razemom_zaryadki_mikrofonom_high_copy_10002347" TargetMode="External"/><Relationship Id="rId_hyperlink_5263" Type="http://schemas.openxmlformats.org/officeDocument/2006/relationships/hyperlink" Target="https://old.ukr-mobil.com/shlejf_nokia_3_1_plus_s_razemom_zaryadki_mikrofonom_plata_zaryadki_10001118" TargetMode="External"/><Relationship Id="rId_hyperlink_5264" Type="http://schemas.openxmlformats.org/officeDocument/2006/relationships/hyperlink" Target="https://old.ukr-mobil.com/shlejf_nokia_3_1_s_razemom_zaryadki_mikrofonom_plata_zaryadki_10001117" TargetMode="External"/><Relationship Id="rId_hyperlink_5265" Type="http://schemas.openxmlformats.org/officeDocument/2006/relationships/hyperlink" Target="https://old.ukr-mobil.com/shlejf_nokia_5_dual_sim_konnektora_zaryadki_s_mikrofonom_plata_zaryadki_11672" TargetMode="External"/><Relationship Id="rId_hyperlink_5266" Type="http://schemas.openxmlformats.org/officeDocument/2006/relationships/hyperlink" Target="https://old.ukr-mobil.com/shlejf_nokia_6_dual_sim_konnektora_zaryadki_s_mikrofonom_plata_zaryadki_11673" TargetMode="External"/><Relationship Id="rId_hyperlink_5267" Type="http://schemas.openxmlformats.org/officeDocument/2006/relationships/hyperlink" Target="https://old.ukr-mobil.com/shlejf_nokia_6_1_plus_s_razemom_zaryadki_mikrofonom_plata_zaryadki_10001119" TargetMode="External"/><Relationship Id="rId_hyperlink_5268" Type="http://schemas.openxmlformats.org/officeDocument/2006/relationships/hyperlink" Target="https://old.ukr-mobil.com/shlejf_nokia_6_1_s_razemom_zaryadki_mikrofonom_plata_zaryadki_10001120" TargetMode="External"/><Relationship Id="rId_hyperlink_5269" Type="http://schemas.openxmlformats.org/officeDocument/2006/relationships/hyperlink" Target="https://old.ukr-mobil.com/shlejf_oppo_a12_cph2083_cph2077_s_razemom_zaryadki_garnitury_mikrofonom_high_copy_10002350" TargetMode="External"/><Relationship Id="rId_hyperlink_5270" Type="http://schemas.openxmlformats.org/officeDocument/2006/relationships/hyperlink" Target="https://old.ukr-mobil.com/shlejf_oppo_a15_cph2185_a15s_cph2179_mezhplatnyj_high_copy_10002353" TargetMode="External"/><Relationship Id="rId_hyperlink_5271" Type="http://schemas.openxmlformats.org/officeDocument/2006/relationships/hyperlink" Target="https://old.ukr-mobil.com/shlejf_oppo_a15_cph2185_a15s_cph2179_s_knopkoj_vklyucheniya_regulirovki_gromkosti_high_copy_10002354" TargetMode="External"/><Relationship Id="rId_hyperlink_5272" Type="http://schemas.openxmlformats.org/officeDocument/2006/relationships/hyperlink" Target="https://old.ukr-mobil.com/shlejf_oppo_a15_cph2185_a15s_cph2179_s_razemom_zaryadki_garnitury_mikrofonom_high_copy_10002351" TargetMode="External"/><Relationship Id="rId_hyperlink_5273" Type="http://schemas.openxmlformats.org/officeDocument/2006/relationships/hyperlink" Target="https://old.ukr-mobil.com/shlejf_oppo_a15_cph2185_a15s_cph2179_s_razemom_zaryadki_garnitury_mikrofonom_original_10002352" TargetMode="External"/><Relationship Id="rId_hyperlink_5274" Type="http://schemas.openxmlformats.org/officeDocument/2006/relationships/hyperlink" Target="https://old.ukr-mobil.com/shlejf_oppo_a5_2020_a9_2020_mezhplatnyj_high_copy_10002357" TargetMode="External"/><Relationship Id="rId_hyperlink_5275" Type="http://schemas.openxmlformats.org/officeDocument/2006/relationships/hyperlink" Target="https://old.ukr-mobil.com/shlejf_oppo_a5_2020_a9_2020_s_razemom_zaryadki_garnitury_mikrofonom_high_copy_10002355" TargetMode="External"/><Relationship Id="rId_hyperlink_5276" Type="http://schemas.openxmlformats.org/officeDocument/2006/relationships/hyperlink" Target="https://old.ukr-mobil.com/shlejf_oppo_a5_2020_a9_2020_s_razemom_zaryadki_garnitury_mikrofonom_original_10002356" TargetMode="External"/><Relationship Id="rId_hyperlink_5277" Type="http://schemas.openxmlformats.org/officeDocument/2006/relationships/hyperlink" Target="https://old.ukr-mobil.com/shlejf_oppo_a52_a92_s_razemom_zaryadki_garnitury_mikrofonom_high_copy_10002358" TargetMode="External"/><Relationship Id="rId_hyperlink_5278" Type="http://schemas.openxmlformats.org/officeDocument/2006/relationships/hyperlink" Target="https://old.ukr-mobil.com/shlejf_oppo_a52_a92_s_razemom_zaryadki_garnitury_mikrofonom_original_10002359" TargetMode="External"/><Relationship Id="rId_hyperlink_5279" Type="http://schemas.openxmlformats.org/officeDocument/2006/relationships/hyperlink" Target="https://old.ukr-mobil.com/shlejf_oppo_a52_so_skanerom_otpechatka_original_prc_twilight_black_10003366" TargetMode="External"/><Relationship Id="rId_hyperlink_5280" Type="http://schemas.openxmlformats.org/officeDocument/2006/relationships/hyperlink" Target="https://old.ukr-mobil.com/shlejf_oppo_a53_cph2127_cph2131_mezhplatnyj_high_copy_10002361" TargetMode="External"/><Relationship Id="rId_hyperlink_5281" Type="http://schemas.openxmlformats.org/officeDocument/2006/relationships/hyperlink" Target="https://old.ukr-mobil.com/shlejf_oppo_a53_cph2127_cph2131_s_razemom_zaryadki_garnitury_mikrofonom_high_copy_10002360" TargetMode="External"/><Relationship Id="rId_hyperlink_5282" Type="http://schemas.openxmlformats.org/officeDocument/2006/relationships/hyperlink" Target="https://old.ukr-mobil.com/shlejf_oppo_realme_6_pro_s_razemom_zaryadki_garnitury_mikrofonom_high_copy_10002362" TargetMode="External"/><Relationship Id="rId_hyperlink_5283" Type="http://schemas.openxmlformats.org/officeDocument/2006/relationships/hyperlink" Target="https://old.ukr-mobil.com/shlejf_oppo_realme_6_pro_s_razemom_zaryadki_garnitury_mikrofonom_original_10002363" TargetMode="External"/><Relationship Id="rId_hyperlink_5284" Type="http://schemas.openxmlformats.org/officeDocument/2006/relationships/hyperlink" Target="https://old.ukr-mobil.com/shlejf_oppo_realme_6_mezhplatnyj_high_copy_10002366" TargetMode="External"/><Relationship Id="rId_hyperlink_5285" Type="http://schemas.openxmlformats.org/officeDocument/2006/relationships/hyperlink" Target="https://old.ukr-mobil.com/shlejf_oppo_realme_6_s_razemom_zaryadki_garnitury_mikrofonom_high_copy_10002364" TargetMode="External"/><Relationship Id="rId_hyperlink_5286" Type="http://schemas.openxmlformats.org/officeDocument/2006/relationships/hyperlink" Target="https://old.ukr-mobil.com/shlejf_oppo_realme_6_s_razemom_zaryadki_garnitury_mikrofonom_original_10002365" TargetMode="External"/><Relationship Id="rId_hyperlink_5287" Type="http://schemas.openxmlformats.org/officeDocument/2006/relationships/hyperlink" Target="https://old.ukr-mobil.com/shlejf_oppo_realme_6_so_skanerom_otpechatka_original_prc_black_10003365" TargetMode="External"/><Relationship Id="rId_hyperlink_5288" Type="http://schemas.openxmlformats.org/officeDocument/2006/relationships/hyperlink" Target="https://old.ukr-mobil.com/shlejf_oppo_realme_c20_realme_c21_s_razemom_zaryadki_garnitury_mikrofonom_original_10003888" TargetMode="External"/><Relationship Id="rId_hyperlink_5289" Type="http://schemas.openxmlformats.org/officeDocument/2006/relationships/hyperlink" Target="https://old.ukr-mobil.com/shlejf_oppo_realme_c21y_realme_c25y_s_razemom_zaryadki_garnitury_mikrofonom_original_10003887" TargetMode="External"/><Relationship Id="rId_hyperlink_5290" Type="http://schemas.openxmlformats.org/officeDocument/2006/relationships/hyperlink" Target="https://old.ukr-mobil.com/shlejf_oppo_realme_c25y_2021_rmx3269_s_razemom_zaryadki_garnitury_mikrofonom_original_10003886" TargetMode="External"/><Relationship Id="rId_hyperlink_5291" Type="http://schemas.openxmlformats.org/officeDocument/2006/relationships/hyperlink" Target="https://old.ukr-mobil.com/shlejf_realme_c11_realme_s12_realme_s15_mezhplatnyj_high_copy_10002369" TargetMode="External"/><Relationship Id="rId_hyperlink_5292" Type="http://schemas.openxmlformats.org/officeDocument/2006/relationships/hyperlink" Target="https://old.ukr-mobil.com/shlejf_realme_c11_realme_s12_realme_s15_s_knopkoj_vklyucheniya_regulirovki_gromkosti_high_copy_10002368" TargetMode="External"/><Relationship Id="rId_hyperlink_5293" Type="http://schemas.openxmlformats.org/officeDocument/2006/relationships/hyperlink" Target="https://old.ukr-mobil.com/shlejf_realme_c3_realme_c11_realme_s12_realme_s15_s_razemom_zaryadki_garnitury_mikrofonom_high_copy_10002367" TargetMode="External"/><Relationship Id="rId_hyperlink_5294" Type="http://schemas.openxmlformats.org/officeDocument/2006/relationships/hyperlink" Target="https://old.ukr-mobil.com/shlejf_poco_x3_x3_nfc_x3_pro_s_razemom_zaryadki_garnitury_mikrofonom_high_copy_10002374" TargetMode="External"/><Relationship Id="rId_hyperlink_5295" Type="http://schemas.openxmlformats.org/officeDocument/2006/relationships/hyperlink" Target="https://old.ukr-mobil.com/shlejf_samsung_a022_galaxy_a02_mezhplatnyj_original_10001870" TargetMode="External"/><Relationship Id="rId_hyperlink_5296" Type="http://schemas.openxmlformats.org/officeDocument/2006/relationships/hyperlink" Target="https://old.ukr-mobil.com/shlejf_samsung_a022_galaxy_a02_s_razemom_zaryadki_garnitury_mikrofonom_high_copy_10002146" TargetMode="External"/><Relationship Id="rId_hyperlink_5297" Type="http://schemas.openxmlformats.org/officeDocument/2006/relationships/hyperlink" Target="https://old.ukr-mobil.com/shlejf_samsung_a022_galaxy_a02_s_razemom_zaryadki_garnitury_original_10001869" TargetMode="External"/><Relationship Id="rId_hyperlink_5298" Type="http://schemas.openxmlformats.org/officeDocument/2006/relationships/hyperlink" Target="https://old.ukr-mobil.com/shlejf_samsung_a025_galaxy_a02s_s_razemom_zaryadki_garnitury_original_10001871" TargetMode="External"/><Relationship Id="rId_hyperlink_5299" Type="http://schemas.openxmlformats.org/officeDocument/2006/relationships/hyperlink" Target="https://old.ukr-mobil.com/shlejf_samsung_a037_galaxy_a03s_so_skanerom_otpechatka_palca_original_black_10003390" TargetMode="External"/><Relationship Id="rId_hyperlink_5300" Type="http://schemas.openxmlformats.org/officeDocument/2006/relationships/hyperlink" Target="https://old.ukr-mobil.com/shlejf_samsung_a037_galaxy_a03s_so_skanerom_otpechatka_palca_original_blue_10003391" TargetMode="External"/><Relationship Id="rId_hyperlink_5301" Type="http://schemas.openxmlformats.org/officeDocument/2006/relationships/hyperlink" Target="https://old.ukr-mobil.com/index.php?route=product&amp;product_id=10005063" TargetMode="External"/><Relationship Id="rId_hyperlink_5302" Type="http://schemas.openxmlformats.org/officeDocument/2006/relationships/hyperlink" Target="https://old.ukr-mobil.com/index.php?route=product&amp;product_id=10004634" TargetMode="External"/><Relationship Id="rId_hyperlink_5303" Type="http://schemas.openxmlformats.org/officeDocument/2006/relationships/hyperlink" Target="https://old.ukr-mobil.com/index.php?route=product&amp;product_id=10004633" TargetMode="External"/><Relationship Id="rId_hyperlink_5304" Type="http://schemas.openxmlformats.org/officeDocument/2006/relationships/hyperlink" Target="https://old.ukr-mobil.com/index.php?route=product&amp;product_id=10005067" TargetMode="External"/><Relationship Id="rId_hyperlink_5305" Type="http://schemas.openxmlformats.org/officeDocument/2006/relationships/hyperlink" Target="https://old.ukr-mobil.com/index.php?route=product&amp;product_id=10004929" TargetMode="External"/><Relationship Id="rId_hyperlink_5306" Type="http://schemas.openxmlformats.org/officeDocument/2006/relationships/hyperlink" Target="https://old.ukr-mobil.com/index.php?route=product&amp;product_id=10004630" TargetMode="External"/><Relationship Id="rId_hyperlink_5307" Type="http://schemas.openxmlformats.org/officeDocument/2006/relationships/hyperlink" Target="https://old.ukr-mobil.com/index.php?route=product&amp;product_id=10004632" TargetMode="External"/><Relationship Id="rId_hyperlink_5308" Type="http://schemas.openxmlformats.org/officeDocument/2006/relationships/hyperlink" Target="https://old.ukr-mobil.com/index.php?route=product&amp;product_id=10004631" TargetMode="External"/><Relationship Id="rId_hyperlink_5309" Type="http://schemas.openxmlformats.org/officeDocument/2006/relationships/hyperlink" Target="https://old.ukr-mobil.com/index.php?route=product&amp;product_id=10004641" TargetMode="External"/><Relationship Id="rId_hyperlink_5310" Type="http://schemas.openxmlformats.org/officeDocument/2006/relationships/hyperlink" Target="https://old.ukr-mobil.com/shlejf_samsung_a105_galaxy_a10_m105_galaxy_m10_m205_m305_s_knopkoj_vklyucheniya_regulirovki_gromkosti_original_prc_10000796" TargetMode="External"/><Relationship Id="rId_hyperlink_5311" Type="http://schemas.openxmlformats.org/officeDocument/2006/relationships/hyperlink" Target="https://old.ukr-mobil.com/shlejf_samsung_a105_galaxy_a10_mezhplatnyj_original_prc_10000771" TargetMode="External"/><Relationship Id="rId_hyperlink_5312" Type="http://schemas.openxmlformats.org/officeDocument/2006/relationships/hyperlink" Target="https://old.ukr-mobil.com/shlejf_samsung_a105_galaxy_a10_s_razemom_zaryadki_garnitury_original_prc_12184" TargetMode="External"/><Relationship Id="rId_hyperlink_5313" Type="http://schemas.openxmlformats.org/officeDocument/2006/relationships/hyperlink" Target="https://old.ukr-mobil.com/shlejf_samsung_a107_galaxy_a10s_mezhplatnyj_original_prc_10000772" TargetMode="External"/><Relationship Id="rId_hyperlink_5314" Type="http://schemas.openxmlformats.org/officeDocument/2006/relationships/hyperlink" Target="https://old.ukr-mobil.com/shlejf_samsung_a107_galaxy_a10s_s_knopkoj_vklyucheniya_original_prc_10000778" TargetMode="External"/><Relationship Id="rId_hyperlink_5315" Type="http://schemas.openxmlformats.org/officeDocument/2006/relationships/hyperlink" Target="https://old.ukr-mobil.com/shlejf_samsung_a107_galaxy_a10s_s_razemom_zaryadki_garnitury_original_prc_10001962" TargetMode="External"/><Relationship Id="rId_hyperlink_5316" Type="http://schemas.openxmlformats.org/officeDocument/2006/relationships/hyperlink" Target="https://old.ukr-mobil.com/shlejf_samsung_a107_galaxy_a10s_s_razemom_zaryadki_garnitury_m16_original_prc_10002972" TargetMode="External"/><Relationship Id="rId_hyperlink_5317" Type="http://schemas.openxmlformats.org/officeDocument/2006/relationships/hyperlink" Target="https://old.ukr-mobil.com/shlejf_samsung_a107_galaxy_a10s_so_skanerom_otpechatka_palca_black_10003379" TargetMode="External"/><Relationship Id="rId_hyperlink_5318" Type="http://schemas.openxmlformats.org/officeDocument/2006/relationships/hyperlink" Target="https://old.ukr-mobil.com/shlejf_samsung_a107_galaxy_a10s_so_skanerom_otpechatka_palca_blue_10003378" TargetMode="External"/><Relationship Id="rId_hyperlink_5319" Type="http://schemas.openxmlformats.org/officeDocument/2006/relationships/hyperlink" Target="https://old.ukr-mobil.com/shlejf_samsung_a115_galaxy_a11_s_razemom_zaryadki_mikrofonom_original_prc_10001179" TargetMode="External"/><Relationship Id="rId_hyperlink_5320" Type="http://schemas.openxmlformats.org/officeDocument/2006/relationships/hyperlink" Target="https://old.ukr-mobil.com/shlejf_samsung_a125_galaxy_a12_s_skanerom_otpechatka_palca_black_10001873" TargetMode="External"/><Relationship Id="rId_hyperlink_5321" Type="http://schemas.openxmlformats.org/officeDocument/2006/relationships/hyperlink" Target="https://old.ukr-mobil.com/shlejf_samsung_a125_galaxy_a12_m127_galaxy_m12_so_skanerom_otpechatka_palca_knopka_vklyucheniya_original_black_10003376" TargetMode="External"/><Relationship Id="rId_hyperlink_5322" Type="http://schemas.openxmlformats.org/officeDocument/2006/relationships/hyperlink" Target="https://old.ukr-mobil.com/shlejf_samsung_a125_galaxy_a12_m127_galaxy_m12_so_skanerom_otpechatka_palca_knopka_vklyucheniya_original_white_10003377" TargetMode="External"/><Relationship Id="rId_hyperlink_5323" Type="http://schemas.openxmlformats.org/officeDocument/2006/relationships/hyperlink" Target="https://old.ukr-mobil.com/shlejf_samsung_a125_galaxy_a12_s_razemom_zaryadki_garnitury_high_copy_10001961" TargetMode="External"/><Relationship Id="rId_hyperlink_5324" Type="http://schemas.openxmlformats.org/officeDocument/2006/relationships/hyperlink" Target="https://old.ukr-mobil.com/shlejf_samsung_a125_galaxy_a12_s_razemom_zaryadki_garnitury_original_10001872" TargetMode="External"/><Relationship Id="rId_hyperlink_5325" Type="http://schemas.openxmlformats.org/officeDocument/2006/relationships/hyperlink" Target="https://old.ukr-mobil.com/shlejf_samsung_a125_galaxy_a12_s_razemom_zaryadki_garnitury_original_prc_10002628" TargetMode="External"/><Relationship Id="rId_hyperlink_5326" Type="http://schemas.openxmlformats.org/officeDocument/2006/relationships/hyperlink" Target="https://old.ukr-mobil.com/index.php?route=product&amp;product_id=10005065" TargetMode="External"/><Relationship Id="rId_hyperlink_5327" Type="http://schemas.openxmlformats.org/officeDocument/2006/relationships/hyperlink" Target="https://old.ukr-mobil.com/index.php?route=product&amp;product_id=10004638" TargetMode="External"/><Relationship Id="rId_hyperlink_5328" Type="http://schemas.openxmlformats.org/officeDocument/2006/relationships/hyperlink" Target="https://old.ukr-mobil.com/index.php?route=product&amp;product_id=10004637" TargetMode="External"/><Relationship Id="rId_hyperlink_5329" Type="http://schemas.openxmlformats.org/officeDocument/2006/relationships/hyperlink" Target="https://old.ukr-mobil.com/shlejf_samsung_a135_galaxy_a13_so_skanerom_otpechatka_palca_knopka_vklyucheniya_original_black_10003382" TargetMode="External"/><Relationship Id="rId_hyperlink_5330" Type="http://schemas.openxmlformats.org/officeDocument/2006/relationships/hyperlink" Target="https://old.ukr-mobil.com/index.php?route=product&amp;product_id=10004951" TargetMode="External"/><Relationship Id="rId_hyperlink_5331" Type="http://schemas.openxmlformats.org/officeDocument/2006/relationships/hyperlink" Target="https://old.ukr-mobil.com/index.php?route=product&amp;product_id=10004636" TargetMode="External"/><Relationship Id="rId_hyperlink_5332" Type="http://schemas.openxmlformats.org/officeDocument/2006/relationships/hyperlink" Target="https://old.ukr-mobil.com/index.php?route=product&amp;product_id=10004635" TargetMode="External"/><Relationship Id="rId_hyperlink_5333" Type="http://schemas.openxmlformats.org/officeDocument/2006/relationships/hyperlink" Target="https://old.ukr-mobil.com/index.php?route=product&amp;product_id=10004950" TargetMode="External"/><Relationship Id="rId_hyperlink_5334" Type="http://schemas.openxmlformats.org/officeDocument/2006/relationships/hyperlink" Target="https://old.ukr-mobil.com/index.php?route=product&amp;product_id=10005101" TargetMode="External"/><Relationship Id="rId_hyperlink_5335" Type="http://schemas.openxmlformats.org/officeDocument/2006/relationships/hyperlink" Target="https://old.ukr-mobil.com/index.php?route=product&amp;product_id=10004640" TargetMode="External"/><Relationship Id="rId_hyperlink_5336" Type="http://schemas.openxmlformats.org/officeDocument/2006/relationships/hyperlink" Target="https://old.ukr-mobil.com/index.php?route=product&amp;product_id=10004931" TargetMode="External"/><Relationship Id="rId_hyperlink_5337" Type="http://schemas.openxmlformats.org/officeDocument/2006/relationships/hyperlink" Target="https://old.ukr-mobil.com/index.php?route=product&amp;product_id=10004912" TargetMode="External"/><Relationship Id="rId_hyperlink_5338" Type="http://schemas.openxmlformats.org/officeDocument/2006/relationships/hyperlink" Target="https://old.ukr-mobil.com/shlejf_samsung_a205_galaxy_a20_a305_a405_a505_a705_s_knopkoj_vklyucheniya_regulirovki_gromkosti_original_prc_10000777" TargetMode="External"/><Relationship Id="rId_hyperlink_5339" Type="http://schemas.openxmlformats.org/officeDocument/2006/relationships/hyperlink" Target="https://old.ukr-mobil.com/shlejf_samsung_a205_galaxy_a20_mezhplatnyj_original_prc_10000773" TargetMode="External"/><Relationship Id="rId_hyperlink_5340" Type="http://schemas.openxmlformats.org/officeDocument/2006/relationships/hyperlink" Target="https://old.ukr-mobil.com/shlejf_samsung_a205_galaxy_a20_s_razemom_zaryadki_garnitury_original_12185" TargetMode="External"/><Relationship Id="rId_hyperlink_5341" Type="http://schemas.openxmlformats.org/officeDocument/2006/relationships/hyperlink" Target="https://old.ukr-mobil.com/shlejf_samsung_a207_galaxy_a20s_mezhplatnyj_original_prc_10000774" TargetMode="External"/><Relationship Id="rId_hyperlink_5342" Type="http://schemas.openxmlformats.org/officeDocument/2006/relationships/hyperlink" Target="https://old.ukr-mobil.com/shlejf_samsung_a207_galaxy_a20s_s_razemom_zaryadki_garnitury_mikrofonom_high_copy_10002403" TargetMode="External"/><Relationship Id="rId_hyperlink_5343" Type="http://schemas.openxmlformats.org/officeDocument/2006/relationships/hyperlink" Target="https://old.ukr-mobil.com/index.php?route=product&amp;product_id=10004703" TargetMode="External"/><Relationship Id="rId_hyperlink_5344" Type="http://schemas.openxmlformats.org/officeDocument/2006/relationships/hyperlink" Target="https://old.ukr-mobil.com/shlejf_samsung_a207_galaxy_a20s_s_knopkoj_vklyucheniya_original_prc_10000779" TargetMode="External"/><Relationship Id="rId_hyperlink_5345" Type="http://schemas.openxmlformats.org/officeDocument/2006/relationships/hyperlink" Target="https://old.ukr-mobil.com/shlejf_samsung_a217_galaxy_a21s_s_razemom_zaryadki_garnitury_mikrofonom_high_copy_10002375" TargetMode="External"/><Relationship Id="rId_hyperlink_5346" Type="http://schemas.openxmlformats.org/officeDocument/2006/relationships/hyperlink" Target="https://old.ukr-mobil.com/shlejf_samsung_a217_galaxy_a21s_s_razemom_zaryadki_garnitury_mikrofonom_original_10002376" TargetMode="External"/><Relationship Id="rId_hyperlink_5347" Type="http://schemas.openxmlformats.org/officeDocument/2006/relationships/hyperlink" Target="https://old.ukr-mobil.com/shlejf_samsung_a217_galaxy_a21s_so_skanerom_otpechatka_palca_black_10003380" TargetMode="External"/><Relationship Id="rId_hyperlink_5348" Type="http://schemas.openxmlformats.org/officeDocument/2006/relationships/hyperlink" Target="https://old.ukr-mobil.com/shlejf_samsung_a225_galaxy_a22_a325_galaxy_a32_mezhplatnyj_high_copy_10002379" TargetMode="External"/><Relationship Id="rId_hyperlink_5349" Type="http://schemas.openxmlformats.org/officeDocument/2006/relationships/hyperlink" Target="https://old.ukr-mobil.com/shlejf_samsung_a225_galaxy_a22_s_razemom_zaryadki_garnitury_mikrofonom_original_10002378" TargetMode="External"/><Relationship Id="rId_hyperlink_5350" Type="http://schemas.openxmlformats.org/officeDocument/2006/relationships/hyperlink" Target="https://old.ukr-mobil.com/shlejf_samsung_a225_galaxy_a22_s_razemom_zaryadki_garnitury_mikrofonom_original_prc_10002377" TargetMode="External"/><Relationship Id="rId_hyperlink_5351" Type="http://schemas.openxmlformats.org/officeDocument/2006/relationships/hyperlink" Target="https://old.ukr-mobil.com/shlejf_samsung_a225_galaxy_a22_so_skanerom_otpechatka_palca_knopka_vklyucheniya_original_black_10003392" TargetMode="External"/><Relationship Id="rId_hyperlink_5352" Type="http://schemas.openxmlformats.org/officeDocument/2006/relationships/hyperlink" Target="https://old.ukr-mobil.com/shlejf_samsung_a225_galaxy_a22_so_skanerom_otpechatka_palca_knopka_vklyucheniya_original_green_10003393" TargetMode="External"/><Relationship Id="rId_hyperlink_5353" Type="http://schemas.openxmlformats.org/officeDocument/2006/relationships/hyperlink" Target="https://old.ukr-mobil.com/shlejf_samsung_a225_galaxy_a22_so_skanerom_otpechatka_palca_knopka_vklyucheniya_original_purple_10003395" TargetMode="External"/><Relationship Id="rId_hyperlink_5354" Type="http://schemas.openxmlformats.org/officeDocument/2006/relationships/hyperlink" Target="https://old.ukr-mobil.com/shlejf_samsung_a225_galaxy_a22_so_skanerom_otpechatka_palca_knopka_vklyucheniya_original_white_10003394" TargetMode="External"/><Relationship Id="rId_hyperlink_5355" Type="http://schemas.openxmlformats.org/officeDocument/2006/relationships/hyperlink" Target="https://old.ukr-mobil.com/shlejf_samsung_a226_galaxy_a22_5g_so_skanerom_otpechatka_palca_original_black_10003374" TargetMode="External"/><Relationship Id="rId_hyperlink_5356" Type="http://schemas.openxmlformats.org/officeDocument/2006/relationships/hyperlink" Target="https://old.ukr-mobil.com/index.php?route=product&amp;product_id=10004629" TargetMode="External"/><Relationship Id="rId_hyperlink_5357" Type="http://schemas.openxmlformats.org/officeDocument/2006/relationships/hyperlink" Target="https://old.ukr-mobil.com/index.php?route=product&amp;product_id=10004628" TargetMode="External"/><Relationship Id="rId_hyperlink_5358" Type="http://schemas.openxmlformats.org/officeDocument/2006/relationships/hyperlink" Target="https://old.ukr-mobil.com/shlejf_samsung_a305_galaxy_a30_s_razemom_zaryadki_garnitury_original_12182" TargetMode="External"/><Relationship Id="rId_hyperlink_5359" Type="http://schemas.openxmlformats.org/officeDocument/2006/relationships/hyperlink" Target="https://old.ukr-mobil.com/shlejf_samsung_a307_galaxy_a30s_mezhplatnyj_original_prc_10000775" TargetMode="External"/><Relationship Id="rId_hyperlink_5360" Type="http://schemas.openxmlformats.org/officeDocument/2006/relationships/hyperlink" Target="https://old.ukr-mobil.com/shlejf_samsung_a307_galaxy_a30s_s_razemom_zaryadki_garnitury_original_prc_10002147" TargetMode="External"/><Relationship Id="rId_hyperlink_5361" Type="http://schemas.openxmlformats.org/officeDocument/2006/relationships/hyperlink" Target="https://old.ukr-mobil.com/shlejf_samsung_a315_galaxy_a31_a415_galaxy_a41_s_knopkoj_vklyucheniya_regulirovki_gromkosti_10002380" TargetMode="External"/><Relationship Id="rId_hyperlink_5362" Type="http://schemas.openxmlformats.org/officeDocument/2006/relationships/hyperlink" Target="https://old.ukr-mobil.com/shlejf_samsung_a315_galaxy_a31_mezhplatnyj_original_prc_10001875" TargetMode="External"/><Relationship Id="rId_hyperlink_5363" Type="http://schemas.openxmlformats.org/officeDocument/2006/relationships/hyperlink" Target="https://old.ukr-mobil.com/shlejf_samsung_a315_galaxy_a31_s_razemom_zaryadki_garnitury_original_prc_10001180" TargetMode="External"/><Relationship Id="rId_hyperlink_5364" Type="http://schemas.openxmlformats.org/officeDocument/2006/relationships/hyperlink" Target="https://old.ukr-mobil.com/shlejf_samsung_a315_galaxy_a31_so_skanerom_otpechatka_palca_original_10003389" TargetMode="External"/><Relationship Id="rId_hyperlink_5365" Type="http://schemas.openxmlformats.org/officeDocument/2006/relationships/hyperlink" Target="https://old.ukr-mobil.com/shlejf_samsung_a325_galaxy_a32_4g_a525_galaxy_a52_a725_galaxy_a72_so_skanerom_otpechatka_palca_original_10003388" TargetMode="External"/><Relationship Id="rId_hyperlink_5366" Type="http://schemas.openxmlformats.org/officeDocument/2006/relationships/hyperlink" Target="https://old.ukr-mobil.com/shlejf_samsung_a325_galaxy_a32_s_knopkoj_vklyucheniya_regulirovki_gromkosti_high_copy_10002404" TargetMode="External"/><Relationship Id="rId_hyperlink_5367" Type="http://schemas.openxmlformats.org/officeDocument/2006/relationships/hyperlink" Target="https://old.ukr-mobil.com/shlejf_samsung_a325_galaxy_a32_s_razemom_zaryadki_garnitury_mikrofonom_original_10002382" TargetMode="External"/><Relationship Id="rId_hyperlink_5368" Type="http://schemas.openxmlformats.org/officeDocument/2006/relationships/hyperlink" Target="https://old.ukr-mobil.com/shlejf_samsung_a325_galaxy_a32_s_razemom_zaryadki_garnitury_mikrofonom_original_prc_10002381" TargetMode="External"/><Relationship Id="rId_hyperlink_5369" Type="http://schemas.openxmlformats.org/officeDocument/2006/relationships/hyperlink" Target="https://old.ukr-mobil.com/index.php?route=product&amp;product_id=10005123" TargetMode="External"/><Relationship Id="rId_hyperlink_5370" Type="http://schemas.openxmlformats.org/officeDocument/2006/relationships/hyperlink" Target="https://old.ukr-mobil.com/index.php?route=product&amp;product_id=10005038" TargetMode="External"/><Relationship Id="rId_hyperlink_5371" Type="http://schemas.openxmlformats.org/officeDocument/2006/relationships/hyperlink" Target="https://old.ukr-mobil.com/index.php?route=product&amp;product_id=10005064" TargetMode="External"/><Relationship Id="rId_hyperlink_5372" Type="http://schemas.openxmlformats.org/officeDocument/2006/relationships/hyperlink" Target="https://old.ukr-mobil.com/index.php?route=product&amp;product_id=10004933" TargetMode="External"/><Relationship Id="rId_hyperlink_5373" Type="http://schemas.openxmlformats.org/officeDocument/2006/relationships/hyperlink" Target="https://old.ukr-mobil.com/index.php?route=product&amp;product_id=10004913" TargetMode="External"/><Relationship Id="rId_hyperlink_5374" Type="http://schemas.openxmlformats.org/officeDocument/2006/relationships/hyperlink" Target="https://old.ukr-mobil.com/index.php?route=product&amp;product_id=10005066" TargetMode="External"/><Relationship Id="rId_hyperlink_5375" Type="http://schemas.openxmlformats.org/officeDocument/2006/relationships/hyperlink" Target="https://old.ukr-mobil.com/index.php?route=product&amp;product_id=10004930" TargetMode="External"/><Relationship Id="rId_hyperlink_5376" Type="http://schemas.openxmlformats.org/officeDocument/2006/relationships/hyperlink" Target="https://old.ukr-mobil.com/index.php?route=product&amp;product_id=10004914" TargetMode="External"/><Relationship Id="rId_hyperlink_5377" Type="http://schemas.openxmlformats.org/officeDocument/2006/relationships/hyperlink" Target="https://old.ukr-mobil.com/shlejf_samsung_a405_galaxy_a40_s_razemom_zaryadki_garnitury_original_prc_10000448" TargetMode="External"/><Relationship Id="rId_hyperlink_5378" Type="http://schemas.openxmlformats.org/officeDocument/2006/relationships/hyperlink" Target="https://old.ukr-mobil.com/shlejf_samsung_a505_galaxy_a50_mezhplatnyj_original_prc_10000776" TargetMode="External"/><Relationship Id="rId_hyperlink_5379" Type="http://schemas.openxmlformats.org/officeDocument/2006/relationships/hyperlink" Target="https://old.ukr-mobil.com/shlejf_samsung_a505_galaxy_a50_s_razemom_zaryadki_garnitury_original_10001963" TargetMode="External"/><Relationship Id="rId_hyperlink_5380" Type="http://schemas.openxmlformats.org/officeDocument/2006/relationships/hyperlink" Target="https://old.ukr-mobil.com/shlejf_samsung_a505_galaxy_a50_s_razemom_zaryadki_garnitury_original_prc_12183" TargetMode="External"/><Relationship Id="rId_hyperlink_5381" Type="http://schemas.openxmlformats.org/officeDocument/2006/relationships/hyperlink" Target="https://old.ukr-mobil.com/shlejf_samsung_a515_galaxy_a51_a715_galaxy_a71_s_knopkoj_vklyucheniya_regulirovki_gromkosti_10002406" TargetMode="External"/><Relationship Id="rId_hyperlink_5382" Type="http://schemas.openxmlformats.org/officeDocument/2006/relationships/hyperlink" Target="https://old.ukr-mobil.com/shlejf_samsung_a515_galaxy_a51_a715_galaxy_a71_so_skanerom_otpechatka_palca_original_10003387" TargetMode="External"/><Relationship Id="rId_hyperlink_5383" Type="http://schemas.openxmlformats.org/officeDocument/2006/relationships/hyperlink" Target="https://old.ukr-mobil.com/shlejf_samsung_a515_galaxy_a51_mezhplatnyj_original_prc_10001876" TargetMode="External"/><Relationship Id="rId_hyperlink_5384" Type="http://schemas.openxmlformats.org/officeDocument/2006/relationships/hyperlink" Target="https://old.ukr-mobil.com/shlejf_samsung_a515_galaxy_a51_s_razemom_zaryadki_garnitury_original_10002276" TargetMode="External"/><Relationship Id="rId_hyperlink_5385" Type="http://schemas.openxmlformats.org/officeDocument/2006/relationships/hyperlink" Target="https://old.ukr-mobil.com/shlejf_samsung_a515_galaxy_a51_s_razemom_zaryadki_garnitury_original_prc_10001181" TargetMode="External"/><Relationship Id="rId_hyperlink_5386" Type="http://schemas.openxmlformats.org/officeDocument/2006/relationships/hyperlink" Target="https://old.ukr-mobil.com/shlejf_samsung_a606_galaxy_a60_m405_galaxy_m40_s_razemom_zaryadki_mikrofonom_original_prc_10000781" TargetMode="External"/><Relationship Id="rId_hyperlink_5387" Type="http://schemas.openxmlformats.org/officeDocument/2006/relationships/hyperlink" Target="https://old.ukr-mobil.com/shlejf_samsung_a700_a700h_a700f_galaxy_a7_s_razemom_zaryadki_garnitury_original_7991" TargetMode="External"/><Relationship Id="rId_hyperlink_5388" Type="http://schemas.openxmlformats.org/officeDocument/2006/relationships/hyperlink" Target="https://old.ukr-mobil.com/shlejf_samsung_a705_galaxy_a70_mezhplatnyj_original_prc_10001170" TargetMode="External"/><Relationship Id="rId_hyperlink_5389" Type="http://schemas.openxmlformats.org/officeDocument/2006/relationships/hyperlink" Target="https://old.ukr-mobil.com/shlejf_samsung_a705_galaxy_a70_s_razemom_zaryadki_garnitury_original_10002277" TargetMode="External"/><Relationship Id="rId_hyperlink_5390" Type="http://schemas.openxmlformats.org/officeDocument/2006/relationships/hyperlink" Target="https://old.ukr-mobil.com/shlejf_samsung_a705_galaxy_a70_s_razemom_zaryadki_garnitury_original_10000735" TargetMode="External"/><Relationship Id="rId_hyperlink_5391" Type="http://schemas.openxmlformats.org/officeDocument/2006/relationships/hyperlink" Target="https://old.ukr-mobil.com/shlejf_samsung_a710_galaxy_a7_2016_s_knopkoj_menyu_home_original_gold_8158" TargetMode="External"/><Relationship Id="rId_hyperlink_5392" Type="http://schemas.openxmlformats.org/officeDocument/2006/relationships/hyperlink" Target="https://old.ukr-mobil.com/shlejf_samsung_a710_galaxy_a7_duos_s_razemom_zaryadki_garnitury_s_mikrofonom_original_8008" TargetMode="External"/><Relationship Id="rId_hyperlink_5393" Type="http://schemas.openxmlformats.org/officeDocument/2006/relationships/hyperlink" Target="https://old.ukr-mobil.com/shlejf_samsung_a715_galaxy_a71_mezhplatnyj_high_copy_10002405" TargetMode="External"/><Relationship Id="rId_hyperlink_5394" Type="http://schemas.openxmlformats.org/officeDocument/2006/relationships/hyperlink" Target="https://old.ukr-mobil.com/shlejf_samsung_a715_galaxy_a71_s_razemom_zaryadki_garnitury_original_10001100" TargetMode="External"/><Relationship Id="rId_hyperlink_5395" Type="http://schemas.openxmlformats.org/officeDocument/2006/relationships/hyperlink" Target="https://old.ukr-mobil.com/shlejf_samsung_a715_galaxy_a71_s_razemom_zaryadki_garnitury_original_prc_10001182" TargetMode="External"/><Relationship Id="rId_hyperlink_5396" Type="http://schemas.openxmlformats.org/officeDocument/2006/relationships/hyperlink" Target="https://old.ukr-mobil.com/shlejf_samsung_a750_galaxy_a7_2018_s_razemom_zaryadki_garnitury_original_10002278" TargetMode="External"/><Relationship Id="rId_hyperlink_5397" Type="http://schemas.openxmlformats.org/officeDocument/2006/relationships/hyperlink" Target="https://old.ukr-mobil.com/shlejf_samsung_a750_galaxy_a7_2018_s_razemom_zaryadki_garnitury_original_10000449" TargetMode="External"/><Relationship Id="rId_hyperlink_5398" Type="http://schemas.openxmlformats.org/officeDocument/2006/relationships/hyperlink" Target="https://old.ukr-mobil.com/shlejf_samsung_g610_galaxy_j7_prime_knopki_menyu_konnektora_naushnikov_s_komponentami_12200" TargetMode="External"/><Relationship Id="rId_hyperlink_5399" Type="http://schemas.openxmlformats.org/officeDocument/2006/relationships/hyperlink" Target="https://old.ukr-mobil.com/shlejf_samsung_g928f_galaxy_s6_edge_plus_s_razemom_zaryadki_garnitury_original_6005" TargetMode="External"/><Relationship Id="rId_hyperlink_5400" Type="http://schemas.openxmlformats.org/officeDocument/2006/relationships/hyperlink" Target="https://old.ukr-mobil.com/shlejf_samsung_g930f_galaxy_s7_s_datchikom_priblizheniya_vspyshkoj_original_8144" TargetMode="External"/><Relationship Id="rId_hyperlink_5401" Type="http://schemas.openxmlformats.org/officeDocument/2006/relationships/hyperlink" Target="https://old.ukr-mobil.com/shlejf_samsung_g930f_galaxy_s7_s_knopkoj_menyu_home_black_8149" TargetMode="External"/><Relationship Id="rId_hyperlink_5402" Type="http://schemas.openxmlformats.org/officeDocument/2006/relationships/hyperlink" Target="https://old.ukr-mobil.com/shlejf_samsung_g930f_galaxy_s7_s_knopkoj_menyu_home_gold_8151" TargetMode="External"/><Relationship Id="rId_hyperlink_5403" Type="http://schemas.openxmlformats.org/officeDocument/2006/relationships/hyperlink" Target="https://old.ukr-mobil.com/shlejf_samsung_g935f_galaxy_s7_edge_s_razemom_zaryadki_mikrofonom_original_8142" TargetMode="External"/><Relationship Id="rId_hyperlink_5404" Type="http://schemas.openxmlformats.org/officeDocument/2006/relationships/hyperlink" Target="https://old.ukr-mobil.com/shlejf_samsung_g950_galaxy_s8_s_razemom_zaryadki_mikrofonom_8907" TargetMode="External"/><Relationship Id="rId_hyperlink_5405" Type="http://schemas.openxmlformats.org/officeDocument/2006/relationships/hyperlink" Target="https://old.ukr-mobil.com/shlejf_samsung_g955_galaxy_s8_plus_s_razemom_zaryadki_mikrofonom_8908" TargetMode="External"/><Relationship Id="rId_hyperlink_5406" Type="http://schemas.openxmlformats.org/officeDocument/2006/relationships/hyperlink" Target="https://old.ukr-mobil.com/shlejf_samsung_g960_galaxy_s9_g965_galaxy_s9_plus_so_skanerom_otpechatka_palca_original_black_10003383" TargetMode="External"/><Relationship Id="rId_hyperlink_5407" Type="http://schemas.openxmlformats.org/officeDocument/2006/relationships/hyperlink" Target="https://old.ukr-mobil.com/shlejf_samsung_g960_galaxy_s9_g965_galaxy_s9_plus_so_skanerom_otpechatka_palca_original_blue_10003384" TargetMode="External"/><Relationship Id="rId_hyperlink_5408" Type="http://schemas.openxmlformats.org/officeDocument/2006/relationships/hyperlink" Target="https://old.ukr-mobil.com/shlejf_samsung_g960_galaxy_s9_s_razemom_zaryadki_mikrofonom_original_11682" TargetMode="External"/><Relationship Id="rId_hyperlink_5409" Type="http://schemas.openxmlformats.org/officeDocument/2006/relationships/hyperlink" Target="https://old.ukr-mobil.com/shlejf_samsung_g965_galaxy_s9_plus_s_razemom_zaryadki_mikrofonom_original_11683" TargetMode="External"/><Relationship Id="rId_hyperlink_5410" Type="http://schemas.openxmlformats.org/officeDocument/2006/relationships/hyperlink" Target="https://old.ukr-mobil.com/shlejf_samsung_g980_galaxy_s20_s_razemom_zaryadki_mikrofonom_original_prc_10001184" TargetMode="External"/><Relationship Id="rId_hyperlink_5411" Type="http://schemas.openxmlformats.org/officeDocument/2006/relationships/hyperlink" Target="https://old.ukr-mobil.com/shlejf_samsung_g985_galaxy_s20_plus_s_razemom_zaryadki_mikrofonom_original_prc_10001185" TargetMode="External"/><Relationship Id="rId_hyperlink_5412" Type="http://schemas.openxmlformats.org/officeDocument/2006/relationships/hyperlink" Target="https://old.ukr-mobil.com/shlejf_samsung_g988_galaxy_s20_ultra_s_razemom_zaryadki_mikrofonom_original_prc_10001186" TargetMode="External"/><Relationship Id="rId_hyperlink_5413" Type="http://schemas.openxmlformats.org/officeDocument/2006/relationships/hyperlink" Target="https://old.ukr-mobil.com/shlejf_samsung_i9003_z_roz_mom_na_batareyu_v_bro_m_krofon_3690" TargetMode="External"/><Relationship Id="rId_hyperlink_5414" Type="http://schemas.openxmlformats.org/officeDocument/2006/relationships/hyperlink" Target="https://old.ukr-mobil.com/shlejf_samsung_i9220_n7000_z_m_krofonom_ta_roz_mom_na_zaryadku_3755" TargetMode="External"/><Relationship Id="rId_hyperlink_5415" Type="http://schemas.openxmlformats.org/officeDocument/2006/relationships/hyperlink" Target="https://old.ukr-mobil.com/shlejf_samsung_i9305_na_sim_5268" TargetMode="External"/><Relationship Id="rId_hyperlink_5416" Type="http://schemas.openxmlformats.org/officeDocument/2006/relationships/hyperlink" Target="https://old.ukr-mobil.com/shlejf_samsung_j250_galaxy_j2_2018_s_knopkoj_menyu_home_12198" TargetMode="External"/><Relationship Id="rId_hyperlink_5417" Type="http://schemas.openxmlformats.org/officeDocument/2006/relationships/hyperlink" Target="https://old.ukr-mobil.com/shlejf_samsung_j320_galaxy_j3_2016_knopki_menyu_konnektora_naushnikov_s_komponentami_9931" TargetMode="External"/><Relationship Id="rId_hyperlink_5418" Type="http://schemas.openxmlformats.org/officeDocument/2006/relationships/hyperlink" Target="https://old.ukr-mobil.com/shlejf_samsung_j330_galaxy_j3_2017_konnektora_naushnikov_s_mikrofonom_12196" TargetMode="External"/><Relationship Id="rId_hyperlink_5419" Type="http://schemas.openxmlformats.org/officeDocument/2006/relationships/hyperlink" Target="https://old.ukr-mobil.com/shlejf_samsung_j400_galaxy_j4_2018_s_knopkoj_menyu_home_12199" TargetMode="External"/><Relationship Id="rId_hyperlink_5420" Type="http://schemas.openxmlformats.org/officeDocument/2006/relationships/hyperlink" Target="https://old.ukr-mobil.com/shlejf_samsung_m105_galaxy_m10_s_razemom_zaryadki_garnitury_original_12186" TargetMode="External"/><Relationship Id="rId_hyperlink_5421" Type="http://schemas.openxmlformats.org/officeDocument/2006/relationships/hyperlink" Target="https://old.ukr-mobil.com/index.php?route=product&amp;product_id=10004932" TargetMode="External"/><Relationship Id="rId_hyperlink_5422" Type="http://schemas.openxmlformats.org/officeDocument/2006/relationships/hyperlink" Target="https://old.ukr-mobil.com/index.php?route=product&amp;product_id=10004911" TargetMode="External"/><Relationship Id="rId_hyperlink_5423" Type="http://schemas.openxmlformats.org/officeDocument/2006/relationships/hyperlink" Target="https://old.ukr-mobil.com/shlejf_samsung_m205_galaxy_m20_s_razemom_zaryadki_garnitury_original_12187" TargetMode="External"/><Relationship Id="rId_hyperlink_5424" Type="http://schemas.openxmlformats.org/officeDocument/2006/relationships/hyperlink" Target="https://old.ukr-mobil.com/shlejf_samsung_m307_galaxy_m30s_m315_galaxy_m31_s_razemom_zaryadki_garnitury_original_10001115" TargetMode="External"/><Relationship Id="rId_hyperlink_5425" Type="http://schemas.openxmlformats.org/officeDocument/2006/relationships/hyperlink" Target="https://old.ukr-mobil.com/shlejf_samsung_m317_galaxy_m31s_s_razemom_zaryadki_garnitury_mikrofonom_original_10002407" TargetMode="External"/><Relationship Id="rId_hyperlink_5426" Type="http://schemas.openxmlformats.org/officeDocument/2006/relationships/hyperlink" Target="https://old.ukr-mobil.com/shlejf_samsung_m325_galaxy_m32_so_skanerom_otpechatka_palca_knopka_vklyucheniya_original_black_10003375" TargetMode="External"/><Relationship Id="rId_hyperlink_5427" Type="http://schemas.openxmlformats.org/officeDocument/2006/relationships/hyperlink" Target="https://old.ukr-mobil.com/shlejf_samsung_m526_galaxy_m52_so_skanerom_otpechatka_palca_knopka_vklyucheniya_original_black_10003385" TargetMode="External"/><Relationship Id="rId_hyperlink_5428" Type="http://schemas.openxmlformats.org/officeDocument/2006/relationships/hyperlink" Target="https://old.ukr-mobil.com/shlejf_samsung_m526_galaxy_m52_so_skanerom_otpechatka_palca_knopka_vklyucheniya_original_silver_10003386" TargetMode="External"/><Relationship Id="rId_hyperlink_5429" Type="http://schemas.openxmlformats.org/officeDocument/2006/relationships/hyperlink" Target="https://old.ukr-mobil.com/shlejf_samsung_m536_galaxy_m53_so_skanerom_otpechatka_palca_knopka_vklyucheniya_original_brown_10003373" TargetMode="External"/><Relationship Id="rId_hyperlink_5430" Type="http://schemas.openxmlformats.org/officeDocument/2006/relationships/hyperlink" Target="https://old.ukr-mobil.com/shlejf_samsung_n920_galaxy_note_5_s_razemom_zaryadki_garnitury_mikrofonom_original_8906" TargetMode="External"/><Relationship Id="rId_hyperlink_5431" Type="http://schemas.openxmlformats.org/officeDocument/2006/relationships/hyperlink" Target="https://old.ukr-mobil.com/shlejf_samsung_n950_galaxy_note_8_s_razemom_zaryadki_mikrofonom_original_prc_11681" TargetMode="External"/><Relationship Id="rId_hyperlink_5432" Type="http://schemas.openxmlformats.org/officeDocument/2006/relationships/hyperlink" Target="https://old.ukr-mobil.com/shlejf_samsung_n960_galaxy_note_9_s_razemom_zaryadki_s_mikrofonom_original_12192" TargetMode="External"/><Relationship Id="rId_hyperlink_5433" Type="http://schemas.openxmlformats.org/officeDocument/2006/relationships/hyperlink" Target="https://old.ukr-mobil.com/shlejf_samsung_n970_galaxy_note_10_s_razemom_zaryadki_mikrofonom_original_prc_10000782" TargetMode="External"/><Relationship Id="rId_hyperlink_5434" Type="http://schemas.openxmlformats.org/officeDocument/2006/relationships/hyperlink" Target="https://old.ukr-mobil.com/shlejf_samsung_n975_galaxy_note_10_plus_s_razemom_zaryadki_mikrofonom_original_prc_10001183" TargetMode="External"/><Relationship Id="rId_hyperlink_5435" Type="http://schemas.openxmlformats.org/officeDocument/2006/relationships/hyperlink" Target="https://old.ukr-mobil.com/shlejf_samsung_n985_galaxy_note_20_ultra_s_razemom_zaryadki_original_prc_10002148" TargetMode="External"/><Relationship Id="rId_hyperlink_5436" Type="http://schemas.openxmlformats.org/officeDocument/2006/relationships/hyperlink" Target="https://old.ukr-mobil.com/shlejf_samsung_s5260_z_roz_mom_na_naushnik_3050" TargetMode="External"/><Relationship Id="rId_hyperlink_5437" Type="http://schemas.openxmlformats.org/officeDocument/2006/relationships/hyperlink" Target="https://old.ukr-mobil.com/index.php?route=product&amp;product_id=10005037" TargetMode="External"/><Relationship Id="rId_hyperlink_5438" Type="http://schemas.openxmlformats.org/officeDocument/2006/relationships/hyperlink" Target="https://old.ukr-mobil.com/shlejf_sony_c6602_xperia_z_c6603_xperia_z_knopka_vklyucheniya_regulirovki_gromkosti_s_mikrofonom_4840" TargetMode="External"/><Relationship Id="rId_hyperlink_5439" Type="http://schemas.openxmlformats.org/officeDocument/2006/relationships/hyperlink" Target="https://old.ukr-mobil.com/shlejf_sony_xperia_10_ii_xq-au51_xq-au52_so_skanerom_otpechatka_original_black_10003411" TargetMode="External"/><Relationship Id="rId_hyperlink_5440" Type="http://schemas.openxmlformats.org/officeDocument/2006/relationships/hyperlink" Target="https://old.ukr-mobil.com/index.php?route=product&amp;product_id=10005078" TargetMode="External"/><Relationship Id="rId_hyperlink_5441" Type="http://schemas.openxmlformats.org/officeDocument/2006/relationships/hyperlink" Target="https://old.ukr-mobil.com/index.php?route=product&amp;product_id=10004977" TargetMode="External"/><Relationship Id="rId_hyperlink_5442" Type="http://schemas.openxmlformats.org/officeDocument/2006/relationships/hyperlink" Target="https://old.ukr-mobil.com/index.php?route=product&amp;product_id=10004978" TargetMode="External"/><Relationship Id="rId_hyperlink_5443" Type="http://schemas.openxmlformats.org/officeDocument/2006/relationships/hyperlink" Target="https://old.ukr-mobil.com/index.php?route=product&amp;product_id=10005042" TargetMode="External"/><Relationship Id="rId_hyperlink_5444" Type="http://schemas.openxmlformats.org/officeDocument/2006/relationships/hyperlink" Target="https://old.ukr-mobil.com/index.php?route=product&amp;product_id=10004945" TargetMode="External"/><Relationship Id="rId_hyperlink_5445" Type="http://schemas.openxmlformats.org/officeDocument/2006/relationships/hyperlink" Target="https://old.ukr-mobil.com/index.php?route=product&amp;product_id=10004927" TargetMode="External"/><Relationship Id="rId_hyperlink_5446" Type="http://schemas.openxmlformats.org/officeDocument/2006/relationships/hyperlink" Target="https://old.ukr-mobil.com/index.php?route=product&amp;product_id=10004976" TargetMode="External"/><Relationship Id="rId_hyperlink_5447" Type="http://schemas.openxmlformats.org/officeDocument/2006/relationships/hyperlink" Target="https://old.ukr-mobil.com/index.php?route=product&amp;product_id=10005050" TargetMode="External"/><Relationship Id="rId_hyperlink_5448" Type="http://schemas.openxmlformats.org/officeDocument/2006/relationships/hyperlink" Target="https://old.ukr-mobil.com/index.php?route=product&amp;product_id=10006051" TargetMode="External"/><Relationship Id="rId_hyperlink_5449" Type="http://schemas.openxmlformats.org/officeDocument/2006/relationships/hyperlink" Target="https://old.ukr-mobil.com/index.php?route=product&amp;product_id=10004979" TargetMode="External"/><Relationship Id="rId_hyperlink_5450" Type="http://schemas.openxmlformats.org/officeDocument/2006/relationships/hyperlink" Target="https://old.ukr-mobil.com/index.php?route=product&amp;product_id=10004980" TargetMode="External"/><Relationship Id="rId_hyperlink_5451" Type="http://schemas.openxmlformats.org/officeDocument/2006/relationships/hyperlink" Target="https://old.ukr-mobil.com/index.php?route=product&amp;product_id=10004943" TargetMode="External"/><Relationship Id="rId_hyperlink_5452" Type="http://schemas.openxmlformats.org/officeDocument/2006/relationships/hyperlink" Target="https://old.ukr-mobil.com/index.php?route=product&amp;product_id=10004928" TargetMode="External"/><Relationship Id="rId_hyperlink_5453" Type="http://schemas.openxmlformats.org/officeDocument/2006/relationships/hyperlink" Target="https://old.ukr-mobil.com/index.php?route=product&amp;product_id=10005076" TargetMode="External"/><Relationship Id="rId_hyperlink_5454" Type="http://schemas.openxmlformats.org/officeDocument/2006/relationships/hyperlink" Target="https://old.ukr-mobil.com/index.php?route=product&amp;product_id=10004946" TargetMode="External"/><Relationship Id="rId_hyperlink_5455" Type="http://schemas.openxmlformats.org/officeDocument/2006/relationships/hyperlink" Target="https://old.ukr-mobil.com/index.php?route=product&amp;product_id=10004924" TargetMode="External"/><Relationship Id="rId_hyperlink_5456" Type="http://schemas.openxmlformats.org/officeDocument/2006/relationships/hyperlink" Target="https://old.ukr-mobil.com/index.php?route=product&amp;product_id=10004975" TargetMode="External"/><Relationship Id="rId_hyperlink_5457" Type="http://schemas.openxmlformats.org/officeDocument/2006/relationships/hyperlink" Target="https://old.ukr-mobil.com/index.php?route=product&amp;product_id=10004974" TargetMode="External"/><Relationship Id="rId_hyperlink_5458" Type="http://schemas.openxmlformats.org/officeDocument/2006/relationships/hyperlink" Target="https://old.ukr-mobil.com/index.php?route=product&amp;product_id=10005077" TargetMode="External"/><Relationship Id="rId_hyperlink_5459" Type="http://schemas.openxmlformats.org/officeDocument/2006/relationships/hyperlink" Target="https://old.ukr-mobil.com/index.php?route=product&amp;product_id=10004926" TargetMode="External"/><Relationship Id="rId_hyperlink_5460" Type="http://schemas.openxmlformats.org/officeDocument/2006/relationships/hyperlink" Target="https://old.ukr-mobil.com/index.php?route=product&amp;product_id=10005044" TargetMode="External"/><Relationship Id="rId_hyperlink_5461" Type="http://schemas.openxmlformats.org/officeDocument/2006/relationships/hyperlink" Target="https://old.ukr-mobil.com/index.php?route=product&amp;product_id=10004985" TargetMode="External"/><Relationship Id="rId_hyperlink_5462" Type="http://schemas.openxmlformats.org/officeDocument/2006/relationships/hyperlink" Target="https://old.ukr-mobil.com/shlejf_tecno_spark_6_go_ke5_s_razemom_zaryadki_garnitury_mikrofonom_original_prc_10003890" TargetMode="External"/><Relationship Id="rId_hyperlink_5463" Type="http://schemas.openxmlformats.org/officeDocument/2006/relationships/hyperlink" Target="https://old.ukr-mobil.com/index.php?route=product&amp;product_id=10004921" TargetMode="External"/><Relationship Id="rId_hyperlink_5464" Type="http://schemas.openxmlformats.org/officeDocument/2006/relationships/hyperlink" Target="https://old.ukr-mobil.com/index.php?route=product&amp;product_id=10005074" TargetMode="External"/><Relationship Id="rId_hyperlink_5465" Type="http://schemas.openxmlformats.org/officeDocument/2006/relationships/hyperlink" Target="https://old.ukr-mobil.com/index.php?route=product&amp;product_id=10004944" TargetMode="External"/><Relationship Id="rId_hyperlink_5466" Type="http://schemas.openxmlformats.org/officeDocument/2006/relationships/hyperlink" Target="https://old.ukr-mobil.com/index.php?route=product&amp;product_id=10005075" TargetMode="External"/><Relationship Id="rId_hyperlink_5467" Type="http://schemas.openxmlformats.org/officeDocument/2006/relationships/hyperlink" Target="https://old.ukr-mobil.com/index.php?route=product&amp;product_id=10005043" TargetMode="External"/><Relationship Id="rId_hyperlink_5468" Type="http://schemas.openxmlformats.org/officeDocument/2006/relationships/hyperlink" Target="https://old.ukr-mobil.com/index.php?route=product&amp;product_id=10004923" TargetMode="External"/><Relationship Id="rId_hyperlink_5469" Type="http://schemas.openxmlformats.org/officeDocument/2006/relationships/hyperlink" Target="https://old.ukr-mobil.com/index.php?route=product&amp;product_id=10004942" TargetMode="External"/><Relationship Id="rId_hyperlink_5470" Type="http://schemas.openxmlformats.org/officeDocument/2006/relationships/hyperlink" Target="https://old.ukr-mobil.com/index.php?route=product&amp;product_id=10005052" TargetMode="External"/><Relationship Id="rId_hyperlink_5471" Type="http://schemas.openxmlformats.org/officeDocument/2006/relationships/hyperlink" Target="https://old.ukr-mobil.com/index.php?route=product&amp;product_id=10005053" TargetMode="External"/><Relationship Id="rId_hyperlink_5472" Type="http://schemas.openxmlformats.org/officeDocument/2006/relationships/hyperlink" Target="https://old.ukr-mobil.com/index.php?route=product&amp;product_id=10005054" TargetMode="External"/><Relationship Id="rId_hyperlink_5473" Type="http://schemas.openxmlformats.org/officeDocument/2006/relationships/hyperlink" Target="https://old.ukr-mobil.com/index.php?route=product&amp;product_id=10005048" TargetMode="External"/><Relationship Id="rId_hyperlink_5474" Type="http://schemas.openxmlformats.org/officeDocument/2006/relationships/hyperlink" Target="https://old.ukr-mobil.com/index.php?route=product&amp;product_id=10005079" TargetMode="External"/><Relationship Id="rId_hyperlink_5475" Type="http://schemas.openxmlformats.org/officeDocument/2006/relationships/hyperlink" Target="https://old.ukr-mobil.com/index.php?route=product&amp;product_id=10004919" TargetMode="External"/><Relationship Id="rId_hyperlink_5476" Type="http://schemas.openxmlformats.org/officeDocument/2006/relationships/hyperlink" Target="https://old.ukr-mobil.com/index.php?route=product&amp;product_id=10004987" TargetMode="External"/><Relationship Id="rId_hyperlink_5477" Type="http://schemas.openxmlformats.org/officeDocument/2006/relationships/hyperlink" Target="https://old.ukr-mobil.com/shlejf_xiaomi_11t_11t_pro_so_skanerom_otpechatka_palca_knopka_vklyucheniya_original_black_10003402" TargetMode="External"/><Relationship Id="rId_hyperlink_5478" Type="http://schemas.openxmlformats.org/officeDocument/2006/relationships/hyperlink" Target="https://old.ukr-mobil.com/shlejf_xiaomi_11t_11t_pro_so_skanerom_otpechatka_palca_knopka_vklyucheniya_original_blue_10003370" TargetMode="External"/><Relationship Id="rId_hyperlink_5479" Type="http://schemas.openxmlformats.org/officeDocument/2006/relationships/hyperlink" Target="https://old.ukr-mobil.com/shlejf_xiaomi_11t_nizhnyaya_plata_s_razemom_zaryadki_razemom_sim-karty_mikrofonom_original_10003477" TargetMode="External"/><Relationship Id="rId_hyperlink_5480" Type="http://schemas.openxmlformats.org/officeDocument/2006/relationships/hyperlink" Target="https://old.ukr-mobil.com/shlejf_xiaomi_12_12x_nizhnyaya_plata_s_razemom_zaryadki_razemom_sim-karty_mikrofonom_original_10003474" TargetMode="External"/><Relationship Id="rId_hyperlink_5481" Type="http://schemas.openxmlformats.org/officeDocument/2006/relationships/hyperlink" Target="https://old.ukr-mobil.com/index.php?route=product&amp;product_id=10005062" TargetMode="External"/><Relationship Id="rId_hyperlink_5482" Type="http://schemas.openxmlformats.org/officeDocument/2006/relationships/hyperlink" Target="https://old.ukr-mobil.com/index.php?route=product&amp;product_id=10005039" TargetMode="External"/><Relationship Id="rId_hyperlink_5483" Type="http://schemas.openxmlformats.org/officeDocument/2006/relationships/hyperlink" Target="https://old.ukr-mobil.com/shlejf_xiaomi_mi_11_lite_nizhnyaya_plata_s_razemom_zaryadki_mikrofonom_high_quality_10003470" TargetMode="External"/><Relationship Id="rId_hyperlink_5484" Type="http://schemas.openxmlformats.org/officeDocument/2006/relationships/hyperlink" Target="https://old.ukr-mobil.com/shlejf_xiaomi_mi_11_lite_nizhnyaya_plata_s_razemom_zaryadki_mikrofonom_original_10003471" TargetMode="External"/><Relationship Id="rId_hyperlink_5485" Type="http://schemas.openxmlformats.org/officeDocument/2006/relationships/hyperlink" Target="https://old.ukr-mobil.com/shlejf_xiaomi_mi_11_lite_knopki_vklyucheniya_skaner_otpechatka_palca_touch_id_original_black_10003057" TargetMode="External"/><Relationship Id="rId_hyperlink_5486" Type="http://schemas.openxmlformats.org/officeDocument/2006/relationships/hyperlink" Target="https://old.ukr-mobil.com/shlejf_xiaomi_mi_11_lite_knopki_vklyucheniya_skaner_otpechatka_palca_touch_id_original_blue_10003058" TargetMode="External"/><Relationship Id="rId_hyperlink_5487" Type="http://schemas.openxmlformats.org/officeDocument/2006/relationships/hyperlink" Target="https://old.ukr-mobil.com/shlejf_xiaomi_mi_11_lite_knopki_vklyucheniya_skaner_otpechatka_palca_touch_id_original_pink_10003059" TargetMode="External"/><Relationship Id="rId_hyperlink_5488" Type="http://schemas.openxmlformats.org/officeDocument/2006/relationships/hyperlink" Target="https://old.ukr-mobil.com/shlejf_xiaomi_mi_11_pro_mi_11_ultra_s_razemom_zaryadki_high_quality_10003475" TargetMode="External"/><Relationship Id="rId_hyperlink_5489" Type="http://schemas.openxmlformats.org/officeDocument/2006/relationships/hyperlink" Target="https://old.ukr-mobil.com/shlejf_xiaomi_mi_11_nizhnyaya_plata_s_razemom_zaryadki_razemom_sim-karty_mikrofonom_high_quality_10003473" TargetMode="External"/><Relationship Id="rId_hyperlink_5490" Type="http://schemas.openxmlformats.org/officeDocument/2006/relationships/hyperlink" Target="https://old.ukr-mobil.com/shlejf_xiaomi_mi_11_nizhnyaya_plata_s_razemom_zaryadki_razemom_sim-karty_mikrofonom_original_10003472" TargetMode="External"/><Relationship Id="rId_hyperlink_5491" Type="http://schemas.openxmlformats.org/officeDocument/2006/relationships/hyperlink" Target="https://old.ukr-mobil.com/shlejf_xiaomi_mi_11i_nizhnyaya_plata_s_razemom_zaryadki_mikrofonom_original_10003478" TargetMode="External"/><Relationship Id="rId_hyperlink_5492" Type="http://schemas.openxmlformats.org/officeDocument/2006/relationships/hyperlink" Target="https://old.ukr-mobil.com/shlejf_xiaomi_mi_11i_nizhnyaya_plata_s_razemom_zaryadki_mikrofonom_original_prc_10003476" TargetMode="External"/><Relationship Id="rId_hyperlink_5493" Type="http://schemas.openxmlformats.org/officeDocument/2006/relationships/hyperlink" Target="https://old.ukr-mobil.com/shlejf_xiaomi_mi_8_lite_nizhnyaya_plata_s_razemom_zaryadki_mikrofonom_12190" TargetMode="External"/><Relationship Id="rId_hyperlink_5494" Type="http://schemas.openxmlformats.org/officeDocument/2006/relationships/hyperlink" Target="https://old.ukr-mobil.com/shlejf_xiaomi_mi_8_se_nizhnyaya_plata_s_razemom_zaryadki_mikrofonom_10001113" TargetMode="External"/><Relationship Id="rId_hyperlink_5495" Type="http://schemas.openxmlformats.org/officeDocument/2006/relationships/hyperlink" Target="https://old.ukr-mobil.com/shlejf_xiaomi_mi_8_nizhnyaya_plata_s_razemom_zaryadki_mikrofonom_12197" TargetMode="External"/><Relationship Id="rId_hyperlink_5496" Type="http://schemas.openxmlformats.org/officeDocument/2006/relationships/hyperlink" Target="https://old.ukr-mobil.com/shlejf_xiaomi_mi_9_lite_nizhnyaya_plata_s_razemom_zaryadki_mikrofonom_original_prc_10000783" TargetMode="External"/><Relationship Id="rId_hyperlink_5497" Type="http://schemas.openxmlformats.org/officeDocument/2006/relationships/hyperlink" Target="https://old.ukr-mobil.com/shlejf_xiaomi_mi_9_se_mezhplatnyj_original_prc_10000784" TargetMode="External"/><Relationship Id="rId_hyperlink_5498" Type="http://schemas.openxmlformats.org/officeDocument/2006/relationships/hyperlink" Target="https://old.ukr-mobil.com/shlejf_xiaomi_mi_9t_mi_9t_pro_redmi_k20_redmi_k20_pro_mezhplatnyj_original_10001878" TargetMode="External"/><Relationship Id="rId_hyperlink_5499" Type="http://schemas.openxmlformats.org/officeDocument/2006/relationships/hyperlink" Target="https://old.ukr-mobil.com/shlejf_xiaomi_mi_9t_mi_9t_pro_redmi_k20_redmi_k20_pro_nizhnyaya_plata_s_razemom_zaryadki_sim_konnektor_original_10001877" TargetMode="External"/><Relationship Id="rId_hyperlink_5500" Type="http://schemas.openxmlformats.org/officeDocument/2006/relationships/hyperlink" Target="https://old.ukr-mobil.com/shlejf_xiaomi_mi_a2_lite_redmi_6_pro_nizhnyaya_plata_s_razemom_zaryadki_mikrofonom_12194" TargetMode="External"/><Relationship Id="rId_hyperlink_5501" Type="http://schemas.openxmlformats.org/officeDocument/2006/relationships/hyperlink" Target="https://old.ukr-mobil.com/shlejf_xiaomi_mi_a2_redmi_6x_nizhnyaya_plata_s_razemom_zaryadki_mikrofonom_11678" TargetMode="External"/><Relationship Id="rId_hyperlink_5502" Type="http://schemas.openxmlformats.org/officeDocument/2006/relationships/hyperlink" Target="https://old.ukr-mobil.com/shlejf_xiaomi_mi_max_nizhnyaya_plata_s_razemom_zaryadki_mikrofonom_10473" TargetMode="External"/><Relationship Id="rId_hyperlink_5503" Type="http://schemas.openxmlformats.org/officeDocument/2006/relationships/hyperlink" Target="https://old.ukr-mobil.com/shlejf_xiaomi_mi_mix_nizhnyaya_plata_s_razemom_zaryadki_mikrofonom_11679" TargetMode="External"/><Relationship Id="rId_hyperlink_5504" Type="http://schemas.openxmlformats.org/officeDocument/2006/relationships/hyperlink" Target="https://old.ukr-mobil.com/shlejf_xiaomi_mi_note_10_mi_note_10_lite_mi_note_10_pro_mezhplatnyj_high_copy_10002630" TargetMode="External"/><Relationship Id="rId_hyperlink_5505" Type="http://schemas.openxmlformats.org/officeDocument/2006/relationships/hyperlink" Target="https://old.ukr-mobil.com/shlejf_xiaomi_mi_note_10_mi_note_10_pro_mezhplatnyj_original_10001880" TargetMode="External"/><Relationship Id="rId_hyperlink_5506" Type="http://schemas.openxmlformats.org/officeDocument/2006/relationships/hyperlink" Target="https://old.ukr-mobil.com/shlejf_xiaomi_mi4c_s_knopkoj_vklyucheniya_regulirovki_gromkosti_10478" TargetMode="External"/><Relationship Id="rId_hyperlink_5507" Type="http://schemas.openxmlformats.org/officeDocument/2006/relationships/hyperlink" Target="https://old.ukr-mobil.com/shlejf_xiaomi_mi4i_mezhplatnyj_9114" TargetMode="External"/><Relationship Id="rId_hyperlink_5508" Type="http://schemas.openxmlformats.org/officeDocument/2006/relationships/hyperlink" Target="https://old.ukr-mobil.com/shlejf_xiaomi_mi4i_s_knopkoj_vklyucheniya_regulirovki_gromkosti_9103" TargetMode="External"/><Relationship Id="rId_hyperlink_5509" Type="http://schemas.openxmlformats.org/officeDocument/2006/relationships/hyperlink" Target="https://old.ukr-mobil.com/shlejf_xiaomi_mi_note_10_mi_note_10_pro_nizhnyaya_plata_s_razemom_zaryadki_mikrofonom_original_10001879" TargetMode="External"/><Relationship Id="rId_hyperlink_5510" Type="http://schemas.openxmlformats.org/officeDocument/2006/relationships/hyperlink" Target="https://old.ukr-mobil.com/shlejf_xiaomi_redmi_10_redmi_10_2022_redmi_10_prime_redmi_10_prime_2022_so_skanerom_otpechatka_palca_black_10003409" TargetMode="External"/><Relationship Id="rId_hyperlink_5511" Type="http://schemas.openxmlformats.org/officeDocument/2006/relationships/hyperlink" Target="https://old.ukr-mobil.com/index.php?route=product&amp;product_id=10006115" TargetMode="External"/><Relationship Id="rId_hyperlink_5512" Type="http://schemas.openxmlformats.org/officeDocument/2006/relationships/hyperlink" Target="https://old.ukr-mobil.com/shlejf_xiaomi_redmi_10_nizhnyaya_plata_s_razemom_zaryadki_mikrofonom_original_prc_10002568" TargetMode="External"/><Relationship Id="rId_hyperlink_5513" Type="http://schemas.openxmlformats.org/officeDocument/2006/relationships/hyperlink" Target="https://old.ukr-mobil.com/index.php?route=product&amp;product_id=10005060" TargetMode="External"/><Relationship Id="rId_hyperlink_5514" Type="http://schemas.openxmlformats.org/officeDocument/2006/relationships/hyperlink" Target="https://old.ukr-mobil.com/index.php?route=product&amp;product_id=10004940" TargetMode="External"/><Relationship Id="rId_hyperlink_5515" Type="http://schemas.openxmlformats.org/officeDocument/2006/relationships/hyperlink" Target="https://old.ukr-mobil.com/index.php?route=product&amp;product_id=10004915" TargetMode="External"/><Relationship Id="rId_hyperlink_5516" Type="http://schemas.openxmlformats.org/officeDocument/2006/relationships/hyperlink" Target="https://old.ukr-mobil.com/index.php?route=product&amp;product_id=10004955" TargetMode="External"/><Relationship Id="rId_hyperlink_5517" Type="http://schemas.openxmlformats.org/officeDocument/2006/relationships/hyperlink" Target="https://old.ukr-mobil.com/index.php?route=product&amp;product_id=10004956" TargetMode="External"/><Relationship Id="rId_hyperlink_5518" Type="http://schemas.openxmlformats.org/officeDocument/2006/relationships/hyperlink" Target="https://old.ukr-mobil.com/index.php?route=product&amp;product_id=10005061" TargetMode="External"/><Relationship Id="rId_hyperlink_5519" Type="http://schemas.openxmlformats.org/officeDocument/2006/relationships/hyperlink" Target="https://old.ukr-mobil.com/index.php?route=product&amp;product_id=10004647" TargetMode="External"/><Relationship Id="rId_hyperlink_5520" Type="http://schemas.openxmlformats.org/officeDocument/2006/relationships/hyperlink" Target="https://old.ukr-mobil.com/index.php?route=product&amp;product_id=10004646" TargetMode="External"/><Relationship Id="rId_hyperlink_5521" Type="http://schemas.openxmlformats.org/officeDocument/2006/relationships/hyperlink" Target="https://old.ukr-mobil.com/index.php?route=product&amp;product_id=10004949" TargetMode="External"/><Relationship Id="rId_hyperlink_5522" Type="http://schemas.openxmlformats.org/officeDocument/2006/relationships/hyperlink" Target="https://old.ukr-mobil.com/shlejf_xiaomi_redmi_3_mezhplatnyj_9115" TargetMode="External"/><Relationship Id="rId_hyperlink_5523" Type="http://schemas.openxmlformats.org/officeDocument/2006/relationships/hyperlink" Target="https://old.ukr-mobil.com/shlejf_xiaomi_redmi_4x_nizhnyaya_plata_s_razemom_zaryadki_mikrofonom_10468" TargetMode="External"/><Relationship Id="rId_hyperlink_5524" Type="http://schemas.openxmlformats.org/officeDocument/2006/relationships/hyperlink" Target="https://old.ukr-mobil.com/shlejf_xiaomi_redmi_7_nizhnyaya_plata_s_razemom_zaryadki_mikrofonom_12201" TargetMode="External"/><Relationship Id="rId_hyperlink_5525" Type="http://schemas.openxmlformats.org/officeDocument/2006/relationships/hyperlink" Target="https://old.ukr-mobil.com/shlejf_xiaomi_redmi_7_nizhnyaya_plata_s_razemom_zaryadki_mikrofonom_original_10002281" TargetMode="External"/><Relationship Id="rId_hyperlink_5526" Type="http://schemas.openxmlformats.org/officeDocument/2006/relationships/hyperlink" Target="https://old.ukr-mobil.com/shlejf_xiaomi_redmi_8_redmi_8a_mezhplatnyj_original_prc_10000785" TargetMode="External"/><Relationship Id="rId_hyperlink_5527" Type="http://schemas.openxmlformats.org/officeDocument/2006/relationships/hyperlink" Target="https://old.ukr-mobil.com/shlejf_xiaomi_redmi_8_redmi_8a_s_razemom_zaryadki_mikrofonom_original_prc_10000663" TargetMode="External"/><Relationship Id="rId_hyperlink_5528" Type="http://schemas.openxmlformats.org/officeDocument/2006/relationships/hyperlink" Target="https://old.ukr-mobil.com/shlejf_xiaomi_redmi_8_redmi_8a_s_razemom_zaryadki_mikrofonom_original_10002282" TargetMode="External"/><Relationship Id="rId_hyperlink_5529" Type="http://schemas.openxmlformats.org/officeDocument/2006/relationships/hyperlink" Target="https://old.ukr-mobil.com/shlejf_xiaomi_redmi_9_mezhplatnyj_original_10001882" TargetMode="External"/><Relationship Id="rId_hyperlink_5530" Type="http://schemas.openxmlformats.org/officeDocument/2006/relationships/hyperlink" Target="https://old.ukr-mobil.com/shlejf_xiaomi_redmi_9_nizhnyaya_plata_s_razemom_zaryadki_mikrofonom_high_copy_10002283" TargetMode="External"/><Relationship Id="rId_hyperlink_5531" Type="http://schemas.openxmlformats.org/officeDocument/2006/relationships/hyperlink" Target="https://old.ukr-mobil.com/shlejf_xiaomi_redmi_9_nizhnyaya_plata_s_razemom_zaryadki_mikrofonom_original_10001881" TargetMode="External"/><Relationship Id="rId_hyperlink_5532" Type="http://schemas.openxmlformats.org/officeDocument/2006/relationships/hyperlink" Target="https://old.ukr-mobil.com/shlejf_xiaomi_redmi_9a_redmi_9c_nizhnyaya_plata_s_razemom_zaryadki_mikrofonom_high_copy_10002284" TargetMode="External"/><Relationship Id="rId_hyperlink_5533" Type="http://schemas.openxmlformats.org/officeDocument/2006/relationships/hyperlink" Target="https://old.ukr-mobil.com/shlejf_xiaomi_redmi_9a_redmi_9c_nizhnyaya_plata_s_razemom_zaryadki_mikrofonom_original_10001883" TargetMode="External"/><Relationship Id="rId_hyperlink_5534" Type="http://schemas.openxmlformats.org/officeDocument/2006/relationships/hyperlink" Target="https://old.ukr-mobil.com/shlejf_xiaomi_redmi_9c_so_skanerom_otpechatka_palca_black_10003403" TargetMode="External"/><Relationship Id="rId_hyperlink_5535" Type="http://schemas.openxmlformats.org/officeDocument/2006/relationships/hyperlink" Target="https://old.ukr-mobil.com/shlejf_xiaomi_redmi_9c_so_skanerom_otpechatka_palca_blue_10003404" TargetMode="External"/><Relationship Id="rId_hyperlink_5536" Type="http://schemas.openxmlformats.org/officeDocument/2006/relationships/hyperlink" Target="https://old.ukr-mobil.com/shlejf_xiaomi_redmi_9c_so_skanerom_otpechatka_palca_red_10003405" TargetMode="External"/><Relationship Id="rId_hyperlink_5537" Type="http://schemas.openxmlformats.org/officeDocument/2006/relationships/hyperlink" Target="https://old.ukr-mobil.com/shlejf_xiaomi_poco_m3_redmi_9t_nizhnyaya_plata_s_razemom_zaryadki_mikrofonom_high_copy_10002285" TargetMode="External"/><Relationship Id="rId_hyperlink_5538" Type="http://schemas.openxmlformats.org/officeDocument/2006/relationships/hyperlink" Target="https://old.ukr-mobil.com/shlejf_xiaomi_poco_m3_redmi_9t_nizhnyaya_plata_s_razemom_zaryadki_mikrofonom_original_10002286" TargetMode="External"/><Relationship Id="rId_hyperlink_5539" Type="http://schemas.openxmlformats.org/officeDocument/2006/relationships/hyperlink" Target="https://old.ukr-mobil.com/shlejf_xiaomi_redmi_9t_poco_m3_so_skanerom_otpechatka_original_prc_black_10003362" TargetMode="External"/><Relationship Id="rId_hyperlink_5540" Type="http://schemas.openxmlformats.org/officeDocument/2006/relationships/hyperlink" Target="https://old.ukr-mobil.com/shlejf_xiaomi_redmi_9t_poco_m3_so_skanerom_otpechatka_original_prc_blue_10003363" TargetMode="External"/><Relationship Id="rId_hyperlink_5541" Type="http://schemas.openxmlformats.org/officeDocument/2006/relationships/hyperlink" Target="https://old.ukr-mobil.com/shlejf_xiaomi_redmi_9t_poco_m3_so_skanerom_otpechatka_original_prc_green_10003364" TargetMode="External"/><Relationship Id="rId_hyperlink_5542" Type="http://schemas.openxmlformats.org/officeDocument/2006/relationships/hyperlink" Target="https://old.ukr-mobil.com/shlejf_xiaomi_redmi_note_10_5g_nizhnyaya_plata_s_razemom_zaryadki_mikrofonom_original_prc_10002627" TargetMode="External"/><Relationship Id="rId_hyperlink_5543" Type="http://schemas.openxmlformats.org/officeDocument/2006/relationships/hyperlink" Target="https://old.ukr-mobil.com/shlejf_xiaomi_redmi_note_10_5g_poco_m3_pro_so_skanerom_otpechatka_palca_gray_10003400" TargetMode="External"/><Relationship Id="rId_hyperlink_5544" Type="http://schemas.openxmlformats.org/officeDocument/2006/relationships/hyperlink" Target="https://old.ukr-mobil.com/shlejf_xiaomi_redmi_note_10_pro_mezhplatnyj_original_prc_10002289" TargetMode="External"/><Relationship Id="rId_hyperlink_5545" Type="http://schemas.openxmlformats.org/officeDocument/2006/relationships/hyperlink" Target="https://old.ukr-mobil.com/shlejf_xiaomi_redmi_note_10_pro_nizhnyaya_plata_s_razemom_zaryadki_mikrofonom_high_copy_10002287" TargetMode="External"/><Relationship Id="rId_hyperlink_5546" Type="http://schemas.openxmlformats.org/officeDocument/2006/relationships/hyperlink" Target="https://old.ukr-mobil.com/shlejf_xiaomi_redmi_note_10_pro_nizhnyaya_plata_s_razemom_zaryadki_mikrofonom_original_10002288" TargetMode="External"/><Relationship Id="rId_hyperlink_5547" Type="http://schemas.openxmlformats.org/officeDocument/2006/relationships/hyperlink" Target="https://old.ukr-mobil.com/shlejf_xiaomi_redmi_note_10_pro_so_skanerom_otpechatka_palca_original_black_10003407" TargetMode="External"/><Relationship Id="rId_hyperlink_5548" Type="http://schemas.openxmlformats.org/officeDocument/2006/relationships/hyperlink" Target="https://old.ukr-mobil.com/shlejf_xiaomi_redmi_note_10_pro_so_skanerom_otpechatka_palca_original_blue_10003408" TargetMode="External"/><Relationship Id="rId_hyperlink_5549" Type="http://schemas.openxmlformats.org/officeDocument/2006/relationships/hyperlink" Target="https://old.ukr-mobil.com/shlejf_xiaomi_redmi_note_10_redmi_note_10s_mezhplatnyj_high_copy_10002292" TargetMode="External"/><Relationship Id="rId_hyperlink_5550" Type="http://schemas.openxmlformats.org/officeDocument/2006/relationships/hyperlink" Target="https://old.ukr-mobil.com/shlejf_xiaomi_redmi_note_10_redmi_note_10s_nizhnyaya_plata_s_razemom_zaryadki_naushnikov_mikrofonom_high_copy_10002290" TargetMode="External"/><Relationship Id="rId_hyperlink_5551" Type="http://schemas.openxmlformats.org/officeDocument/2006/relationships/hyperlink" Target="https://old.ukr-mobil.com/shlejf_xiaomi_redmi_note_10_redmi_note_10s_nizhnyaya_plata_s_razemom_zaryadki_naushnikov_mikrofonom_original_10002291" TargetMode="External"/><Relationship Id="rId_hyperlink_5552" Type="http://schemas.openxmlformats.org/officeDocument/2006/relationships/hyperlink" Target="https://old.ukr-mobil.com/shlejf_xiaomi_redmi_note_10_redmi_note_10s_so_skanerom_otpechatka_palca_original_black_10003410" TargetMode="External"/><Relationship Id="rId_hyperlink_5553" Type="http://schemas.openxmlformats.org/officeDocument/2006/relationships/hyperlink" Target="https://old.ukr-mobil.com/shlejf_xiaomi_redmi_note_11_pro_redmi_note_11_pro_5g_poco_x4_pro_5g_so_skanerom_otpechatka_palca_silver_10003401" TargetMode="External"/><Relationship Id="rId_hyperlink_5554" Type="http://schemas.openxmlformats.org/officeDocument/2006/relationships/hyperlink" Target="https://old.ukr-mobil.com/shlejf_xiaomi_redmi_note_11_redmi_note_11s_nizhnyaya_plata_s_razemom_zaryadki_mikrofonom_original_10003479" TargetMode="External"/><Relationship Id="rId_hyperlink_5555" Type="http://schemas.openxmlformats.org/officeDocument/2006/relationships/hyperlink" Target="https://old.ukr-mobil.com/shlejf_xiaomi_redmi_note_11_redmi_note_11s_nizhnyaya_plata_s_razemom_zaryadki_mikrofonom_original_prc_10003480" TargetMode="External"/><Relationship Id="rId_hyperlink_5556" Type="http://schemas.openxmlformats.org/officeDocument/2006/relationships/hyperlink" Target="https://old.ukr-mobil.com/shlejf_xiaomi_redmi_note_11_redmi_note_11s_mezhplatnyj_high_quality_10003481" TargetMode="External"/><Relationship Id="rId_hyperlink_5557" Type="http://schemas.openxmlformats.org/officeDocument/2006/relationships/hyperlink" Target="https://old.ukr-mobil.com/shlejf_xiaomi_redmi_note_11_redmi_note_11s_poco_m4_pro_so_skanerom_otpechatka_palca_black_10003397" TargetMode="External"/><Relationship Id="rId_hyperlink_5558" Type="http://schemas.openxmlformats.org/officeDocument/2006/relationships/hyperlink" Target="https://old.ukr-mobil.com/shlejf_xiaomi_redmi_note_11_redmi_note_11s_poco_m4_pro_so_skanerom_otpechatka_palca_blue_10003398" TargetMode="External"/><Relationship Id="rId_hyperlink_5559" Type="http://schemas.openxmlformats.org/officeDocument/2006/relationships/hyperlink" Target="https://old.ukr-mobil.com/shlejf_xiaomi_redmi_note_11_redmi_note_11s_poco_m4_pro_so_skanerom_otpechatka_palca_silver_10003399" TargetMode="External"/><Relationship Id="rId_hyperlink_5560" Type="http://schemas.openxmlformats.org/officeDocument/2006/relationships/hyperlink" Target="https://old.ukr-mobil.com/index.php?route=product&amp;product_id=10004947" TargetMode="External"/><Relationship Id="rId_hyperlink_5561" Type="http://schemas.openxmlformats.org/officeDocument/2006/relationships/hyperlink" Target="https://old.ukr-mobil.com/index.php?route=product&amp;product_id=10005058" TargetMode="External"/><Relationship Id="rId_hyperlink_5562" Type="http://schemas.openxmlformats.org/officeDocument/2006/relationships/hyperlink" Target="https://old.ukr-mobil.com/index.php?route=product&amp;product_id=10004916" TargetMode="External"/><Relationship Id="rId_hyperlink_5563" Type="http://schemas.openxmlformats.org/officeDocument/2006/relationships/hyperlink" Target="https://old.ukr-mobil.com/index.php?route=product&amp;product_id=10005049" TargetMode="External"/><Relationship Id="rId_hyperlink_5564" Type="http://schemas.openxmlformats.org/officeDocument/2006/relationships/hyperlink" Target="https://old.ukr-mobil.com/index.php?route=product&amp;product_id=10004953" TargetMode="External"/><Relationship Id="rId_hyperlink_5565" Type="http://schemas.openxmlformats.org/officeDocument/2006/relationships/hyperlink" Target="https://old.ukr-mobil.com/index.php?route=product&amp;product_id=10004954" TargetMode="External"/><Relationship Id="rId_hyperlink_5566" Type="http://schemas.openxmlformats.org/officeDocument/2006/relationships/hyperlink" Target="https://old.ukr-mobil.com/index.php?route=product&amp;product_id=10004941" TargetMode="External"/><Relationship Id="rId_hyperlink_5567" Type="http://schemas.openxmlformats.org/officeDocument/2006/relationships/hyperlink" Target="https://old.ukr-mobil.com/index.php?route=product&amp;product_id=10004917" TargetMode="External"/><Relationship Id="rId_hyperlink_5568" Type="http://schemas.openxmlformats.org/officeDocument/2006/relationships/hyperlink" Target="https://old.ukr-mobil.com/index.php?route=product&amp;product_id=10005040" TargetMode="External"/><Relationship Id="rId_hyperlink_5569" Type="http://schemas.openxmlformats.org/officeDocument/2006/relationships/hyperlink" Target="https://old.ukr-mobil.com/index.php?route=product&amp;product_id=10005056" TargetMode="External"/><Relationship Id="rId_hyperlink_5570" Type="http://schemas.openxmlformats.org/officeDocument/2006/relationships/hyperlink" Target="https://old.ukr-mobil.com/index.php?route=product&amp;product_id=10005057" TargetMode="External"/><Relationship Id="rId_hyperlink_5571" Type="http://schemas.openxmlformats.org/officeDocument/2006/relationships/hyperlink" Target="https://old.ukr-mobil.com/index.php?route=product&amp;product_id=10005059" TargetMode="External"/><Relationship Id="rId_hyperlink_5572" Type="http://schemas.openxmlformats.org/officeDocument/2006/relationships/hyperlink" Target="https://old.ukr-mobil.com/index.php?route=product&amp;product_id=10005041" TargetMode="External"/><Relationship Id="rId_hyperlink_5573" Type="http://schemas.openxmlformats.org/officeDocument/2006/relationships/hyperlink" Target="https://old.ukr-mobil.com/shlejf_xiaomi_redmi_note_2_mezhplatnyj_9107" TargetMode="External"/><Relationship Id="rId_hyperlink_5574" Type="http://schemas.openxmlformats.org/officeDocument/2006/relationships/hyperlink" Target="https://old.ukr-mobil.com/shlejf_xiaomi_redmi_note_4_s_skanerom_otpchetaka_palca_seryj_10000487" TargetMode="External"/><Relationship Id="rId_hyperlink_5575" Type="http://schemas.openxmlformats.org/officeDocument/2006/relationships/hyperlink" Target="https://old.ukr-mobil.com/shlejf_xiaomi_redmi_note_4x_nizhnyaya_plata_s_razemom_zaryadki_mikrofonom_10460" TargetMode="External"/><Relationship Id="rId_hyperlink_5576" Type="http://schemas.openxmlformats.org/officeDocument/2006/relationships/hyperlink" Target="https://old.ukr-mobil.com/shlejf_xiaomi_redmi_note_5_nizhnyaya_plata_s_razemom_zaryadki_naushnikov_mikrofonom_11659" TargetMode="External"/><Relationship Id="rId_hyperlink_5577" Type="http://schemas.openxmlformats.org/officeDocument/2006/relationships/hyperlink" Target="https://old.ukr-mobil.com/shlejf_xiaomi_redmi_note_5_nizhnyaya_plata_s_razemom_zaryadki_naushnikov_mikrofonom_original_prc_10002203" TargetMode="External"/><Relationship Id="rId_hyperlink_5578" Type="http://schemas.openxmlformats.org/officeDocument/2006/relationships/hyperlink" Target="https://old.ukr-mobil.com/shlejf_xiaomi_redmi_note_7_nizhnyaya_plata_s_razemom_zaryadki_mikrofonom_12193" TargetMode="External"/><Relationship Id="rId_hyperlink_5579" Type="http://schemas.openxmlformats.org/officeDocument/2006/relationships/hyperlink" Target="https://old.ukr-mobil.com/shlejf_xiaomi_redmi_note_7_nizhnyaya_plata_s_razemom_zaryadki_mikrofonom_original_10002293" TargetMode="External"/><Relationship Id="rId_hyperlink_5580" Type="http://schemas.openxmlformats.org/officeDocument/2006/relationships/hyperlink" Target="https://old.ukr-mobil.com/shlejf_xiaomi_redmi_note_8_pro_s_razemom_zaryadki_garnitury_mikrofonom_original_prc_10001114" TargetMode="External"/><Relationship Id="rId_hyperlink_5581" Type="http://schemas.openxmlformats.org/officeDocument/2006/relationships/hyperlink" Target="https://old.ukr-mobil.com/shlejf_xiaomi_redmi_note_8_pro_s_razemom_zaryadki_garnitury_mikrofonom_original_10002294" TargetMode="External"/><Relationship Id="rId_hyperlink_5582" Type="http://schemas.openxmlformats.org/officeDocument/2006/relationships/hyperlink" Target="https://old.ukr-mobil.com/shlejf_xiaomi_redmi_note_8_mezhplatnyj_original_prc_10000770" TargetMode="External"/><Relationship Id="rId_hyperlink_5583" Type="http://schemas.openxmlformats.org/officeDocument/2006/relationships/hyperlink" Target="https://old.ukr-mobil.com/shlejf_xiaomi_redmi_note_8_s_razemom_zaryadki_garnitury_mikrofonom_original_prc_10000786" TargetMode="External"/><Relationship Id="rId_hyperlink_5584" Type="http://schemas.openxmlformats.org/officeDocument/2006/relationships/hyperlink" Target="https://old.ukr-mobil.com/shlejf_xiaomi_redmi_note_8_so_skanerom_otpechatka_palca_black_10003396" TargetMode="External"/><Relationship Id="rId_hyperlink_5585" Type="http://schemas.openxmlformats.org/officeDocument/2006/relationships/hyperlink" Target="https://old.ukr-mobil.com/shlejf_xiaomi_redmi_note_8t_s_razemom_zaryadki_garnitury_mikrofonom_original_prc_10000727" TargetMode="External"/><Relationship Id="rId_hyperlink_5586" Type="http://schemas.openxmlformats.org/officeDocument/2006/relationships/hyperlink" Target="https://old.ukr-mobil.com/shlejf_xiaomi_redmi_note_9_pro_redmi_note_9s_mezhplatnyj_original_prc_10001887" TargetMode="External"/><Relationship Id="rId_hyperlink_5587" Type="http://schemas.openxmlformats.org/officeDocument/2006/relationships/hyperlink" Target="https://old.ukr-mobil.com/shlejf_xiaomi_redmi_note_9_pro_redmi_note_9s_s_razemom_zaryadki_garnitury_mikrofonom_high_copy_10002296" TargetMode="External"/><Relationship Id="rId_hyperlink_5588" Type="http://schemas.openxmlformats.org/officeDocument/2006/relationships/hyperlink" Target="https://old.ukr-mobil.com/shlejf_xiaomi_redmi_note_9_pro_redmi_note_9s_s_razemom_zaryadki_garnitury_mikrofonom_original_10001884" TargetMode="External"/><Relationship Id="rId_hyperlink_5589" Type="http://schemas.openxmlformats.org/officeDocument/2006/relationships/hyperlink" Target="https://old.ukr-mobil.com/shlejf_xiaomi_redmi_note_9_mezhplatnyj_original_prc_10001886" TargetMode="External"/><Relationship Id="rId_hyperlink_5590" Type="http://schemas.openxmlformats.org/officeDocument/2006/relationships/hyperlink" Target="https://old.ukr-mobil.com/shlejf_xiaomi_redmi_note_9_s_razemom_zaryadki_garnitury_mikrofonom_high_copy_10002629" TargetMode="External"/><Relationship Id="rId_hyperlink_5591" Type="http://schemas.openxmlformats.org/officeDocument/2006/relationships/hyperlink" Target="https://old.ukr-mobil.com/shlejf_xiaomi_redmi_note_9_s_razemom_zaryadki_garnitury_mikrofonom_original_10001885" TargetMode="External"/><Relationship Id="rId_hyperlink_5592" Type="http://schemas.openxmlformats.org/officeDocument/2006/relationships/hyperlink" Target="https://old.ukr-mobil.com/shlejf_xiaomi_redmi_note_9_so_skanerom_otpechatka_palca_black_10003406" TargetMode="External"/><Relationship Id="rId_hyperlink_5593" Type="http://schemas.openxmlformats.org/officeDocument/2006/relationships/hyperlink" Target="https://old.ukr-mobil.com/shlejf_xiaomi_redmi_note_9s_note_9_pro_note_9_pro_max_so_skanerom_otpechatka_original_prc_black_10003367" TargetMode="External"/><Relationship Id="rId_hyperlink_5594" Type="http://schemas.openxmlformats.org/officeDocument/2006/relationships/hyperlink" Target="https://old.ukr-mobil.com/shlejf_xiaomi_redmi_s2_nizhnyaya_plata_s_razemom_zaryadki_mikrofonom_11680" TargetMode="External"/><Relationship Id="rId_hyperlink_5595" Type="http://schemas.openxmlformats.org/officeDocument/2006/relationships/hyperlink" Target="https://old.ukr-mobil.com/shlejf_zte_blade_a7s_2020_v10_vita_so_skanerom_otpechatka_original_prc_black_10003372" TargetMode="External"/><Relationship Id="rId_hyperlink_5596" Type="http://schemas.openxmlformats.org/officeDocument/2006/relationships/hyperlink" Target="https://old.ukr-mobil.com/shlejf_zte_blade_a7s_2020_v10_vita_so_skanerom_otpechatka_original_prc_blue_10003414" TargetMode="External"/><Relationship Id="rId_hyperlink_5597" Type="http://schemas.openxmlformats.org/officeDocument/2006/relationships/hyperlink" Target="https://old.ukr-mobil.com/shlejf_programmiruemyj_jcid_dlya_akumulyatora_apple_iphone_11_pro_iphone_11_pro_max_ver_3_0_10003317" TargetMode="External"/><Relationship Id="rId_hyperlink_5598" Type="http://schemas.openxmlformats.org/officeDocument/2006/relationships/hyperlink" Target="https://old.ukr-mobil.com/shlejf_programmiruemyj_jcid_dlya_akumulyatora_apple_iphone_11_ver_3_0_10003316" TargetMode="External"/><Relationship Id="rId_hyperlink_5599" Type="http://schemas.openxmlformats.org/officeDocument/2006/relationships/hyperlink" Target="https://old.ukr-mobil.com/shlejf_programmiruemyj_jcid_dlya_akumulyatora_apple_iphone_12_pro_max_ver_3_0_10003318" TargetMode="External"/><Relationship Id="rId_hyperlink_5600" Type="http://schemas.openxmlformats.org/officeDocument/2006/relationships/hyperlink" Target="https://old.ukr-mobil.com/shlejf_programmiruemyj_jcid_dlya_akumulyatora_apple_iphone_12_iphone_12_mini_iphone_12_pro_ver_3_0_10003319" TargetMode="External"/><Relationship Id="rId_hyperlink_5601" Type="http://schemas.openxmlformats.org/officeDocument/2006/relationships/hyperlink" Target="https://old.ukr-mobil.com/shlejf_programmiruemyj_jcid_dlya_akumulyatora_apple_iphone_13_pro_iphone_13_pro_max_ver_3_0_10003321" TargetMode="External"/><Relationship Id="rId_hyperlink_5602" Type="http://schemas.openxmlformats.org/officeDocument/2006/relationships/hyperlink" Target="https://old.ukr-mobil.com/shlejf_programmiruemyj_jcid_dlya_akumulyatora_apple_iphone_13_iphone_13_mini_ver_3_0_10003320" TargetMode="External"/><Relationship Id="rId_hyperlink_5603" Type="http://schemas.openxmlformats.org/officeDocument/2006/relationships/hyperlink" Target="https://old.ukr-mobil.com/index.php?route=product&amp;product_id=10005003" TargetMode="External"/><Relationship Id="rId_hyperlink_5604" Type="http://schemas.openxmlformats.org/officeDocument/2006/relationships/hyperlink" Target="https://old.ukr-mobil.com/index.php?route=product&amp;product_id=10005001" TargetMode="External"/><Relationship Id="rId_hyperlink_5605" Type="http://schemas.openxmlformats.org/officeDocument/2006/relationships/hyperlink" Target="https://old.ukr-mobil.com/shlejf_dlya_iphone_11_pro_iphone_11_pro_max_jcid_face_id_tag-on_repair_fpc_ver_1_1_bez_razborki_10004273" TargetMode="External"/><Relationship Id="rId_hyperlink_5606" Type="http://schemas.openxmlformats.org/officeDocument/2006/relationships/hyperlink" Target="https://old.ukr-mobil.com/shlejf_dlya_iphone_11_jcid_face_id_tag-on_repair_fpc_ver_1_1_bez_razborki_10004240" TargetMode="External"/><Relationship Id="rId_hyperlink_5607" Type="http://schemas.openxmlformats.org/officeDocument/2006/relationships/hyperlink" Target="https://old.ukr-mobil.com/shlejf_dlya_iphone_12_pro_max_jcid_face_id_tag-on_repair_fpc_ver_1_1_bez_razborki_10004275" TargetMode="External"/><Relationship Id="rId_hyperlink_5608" Type="http://schemas.openxmlformats.org/officeDocument/2006/relationships/hyperlink" Target="https://old.ukr-mobil.com/shlejf_dlya_iphone_12_iphone_12_pro_jcid_face_id_tag-on_repair_fpc_ver_1_1_bez_razborki_10004274" TargetMode="External"/><Relationship Id="rId_hyperlink_5609" Type="http://schemas.openxmlformats.org/officeDocument/2006/relationships/hyperlink" Target="https://old.ukr-mobil.com/shlejf_dlya_iphone_x_jcid_face_id_tag-on_repair_fpc_ver_1_1_bez_razborki_10004271" TargetMode="External"/><Relationship Id="rId_hyperlink_5610" Type="http://schemas.openxmlformats.org/officeDocument/2006/relationships/hyperlink" Target="https://old.ukr-mobil.com/shlejf_dlya_iphone_xr_iphone_xs_iphone_xs_max_jcid_face_id_tag-on_repair_fpc_ver_1_1_bez_razborki_10004272" TargetMode="External"/><Relationship Id="rId_hyperlink_5611" Type="http://schemas.openxmlformats.org/officeDocument/2006/relationships/hyperlink" Target="https://old.ukr-mobil.com/bajonet_dlya_obektivov_nikon_18-55_18-105_18-135_55-200_7546" TargetMode="External"/><Relationship Id="rId_hyperlink_5612" Type="http://schemas.openxmlformats.org/officeDocument/2006/relationships/hyperlink" Target="https://old.ukr-mobil.com/kolco_barrel_obektiva_canon_a3200_canon_a3300_canon_a3350_canon_pc1589_canon_pc1590_vneshnee_7551" TargetMode="External"/><Relationship Id="rId_hyperlink_5613" Type="http://schemas.openxmlformats.org/officeDocument/2006/relationships/hyperlink" Target="https://old.ukr-mobil.com/kolco_barrel_obektiva_nikon_s3100_original_7545" TargetMode="External"/><Relationship Id="rId_hyperlink_5614" Type="http://schemas.openxmlformats.org/officeDocument/2006/relationships/hyperlink" Target="https://old.ukr-mobil.com/kolco-separator_dlya_obektivov_canon_a2300_canon_a1300_canon_pc1740_canon_pc1732_canon_a810_pc1741_canon_a1400_canon_pc1900_canon_a2_7549" TargetMode="External"/><Relationship Id="rId_hyperlink_5615" Type="http://schemas.openxmlformats.org/officeDocument/2006/relationships/hyperlink" Target="https://old.ukr-mobil.com/shesterni_dlya_cifrovogo_fotoapparata_canon_a2500_komplekt_2_sht_7550" TargetMode="External"/><Relationship Id="rId_hyperlink_5616" Type="http://schemas.openxmlformats.org/officeDocument/2006/relationships/hyperlink" Target="https://old.ukr-mobil.com/shesterni_obektiva_canon_a4000_canon_a4050_canon_pc1730_komplekt_3_sht_10000408" TargetMode="External"/><Relationship Id="rId_hyperlink_5617" Type="http://schemas.openxmlformats.org/officeDocument/2006/relationships/hyperlink" Target="https://old.ukr-mobil.com/shesternya_avtofokusa_obektiva_nikon_s3000_samsung_st60_7561" TargetMode="External"/><Relationship Id="rId_hyperlink_5618" Type="http://schemas.openxmlformats.org/officeDocument/2006/relationships/hyperlink" Target="https://old.ukr-mobil.com/shesternya_obektiva_canon_a480_canon_a490_canon_a495_canon_a800_canon_pc1351_canon_pc1471_canon_pc1470_canon_pc1592_7558" TargetMode="External"/><Relationship Id="rId_hyperlink_5619" Type="http://schemas.openxmlformats.org/officeDocument/2006/relationships/hyperlink" Target="https://old.ukr-mobil.com/shesternya_fokusirovki_obektiva_nikon_18-55_7565" TargetMode="External"/><Relationship Id="rId_hyperlink_5620" Type="http://schemas.openxmlformats.org/officeDocument/2006/relationships/hyperlink" Target="https://old.ukr-mobil.com/matrica_panasonic_mn39670_dlya_fotoaparata_olympus_fe-340_7566" TargetMode="External"/><Relationship Id="rId_hyperlink_5621" Type="http://schemas.openxmlformats.org/officeDocument/2006/relationships/hyperlink" Target="https://old.ukr-mobil.com/shlejf_obektiva_olympus_fe170_fe210_nikon_s220_7560" TargetMode="External"/><Relationship Id="rId_hyperlink_5622" Type="http://schemas.openxmlformats.org/officeDocument/2006/relationships/hyperlink" Target="https://old.ukr-mobil.com/shlejf_fokusirovki_obektiva_canon_18-55_is_7547" TargetMode="External"/><Relationship Id="rId_hyperlink_5623" Type="http://schemas.openxmlformats.org/officeDocument/2006/relationships/hyperlink" Target="https://old.ukr-mobil.com/displej_dlya_ehlektrotransporta_pod_universalnyj_kontroller_kruglyj_36v-72v_10003259" TargetMode="External"/><Relationship Id="rId_hyperlink_5624" Type="http://schemas.openxmlformats.org/officeDocument/2006/relationships/hyperlink" Target="https://old.ukr-mobil.com/displej_dlya_ehlektrotransporta_pod_universalnyj_kontroller_pryamougolnyj_36v-72v_10003258" TargetMode="External"/><Relationship Id="rId_hyperlink_5625" Type="http://schemas.openxmlformats.org/officeDocument/2006/relationships/hyperlink" Target="https://old.ukr-mobil.com/displej_dlya_ehlektrotransporta_sovmestimyj_s_kt_kontrollerom_24v-48v_led880_10003656" TargetMode="External"/><Relationship Id="rId_hyperlink_5626" Type="http://schemas.openxmlformats.org/officeDocument/2006/relationships/hyperlink" Target="https://old.ukr-mobil.com/displej_dlya_ehlektrotransporta_sovmestimyj_s_kt_kontrollerom_lcd3u_10003659" TargetMode="External"/><Relationship Id="rId_hyperlink_5627" Type="http://schemas.openxmlformats.org/officeDocument/2006/relationships/hyperlink" Target="https://old.ukr-mobil.com/displej_dlya_ehlektrotransporta_sovmestimyj_s_kt_kontrollerom_lcd4_10003657" TargetMode="External"/><Relationship Id="rId_hyperlink_5628" Type="http://schemas.openxmlformats.org/officeDocument/2006/relationships/hyperlink" Target="https://old.ukr-mobil.com/displej_dlya_ehlektrotransporta_sovmestimyj_s_kt_kontrollerom_lcd7c_10003658" TargetMode="External"/><Relationship Id="rId_hyperlink_5629" Type="http://schemas.openxmlformats.org/officeDocument/2006/relationships/hyperlink" Target="https://old.ukr-mobil.com/index.php?route=product&amp;product_id=10005893" TargetMode="External"/><Relationship Id="rId_hyperlink_5630" Type="http://schemas.openxmlformats.org/officeDocument/2006/relationships/hyperlink" Target="https://old.ukr-mobil.com/zaryadnoe_ustrojstvo_li-ion_24v_2a_shteker_5_5_2_5_vyhodnoe_napryazhenie_29_4v_10003119" TargetMode="External"/><Relationship Id="rId_hyperlink_5631" Type="http://schemas.openxmlformats.org/officeDocument/2006/relationships/hyperlink" Target="https://old.ukr-mobil.com/zaryadnoe_ustrojstvo_li-ion_24v_2a_shteker_xlr_vyhodnoe_napryazhenie_29_4v_10003120" TargetMode="External"/><Relationship Id="rId_hyperlink_5632" Type="http://schemas.openxmlformats.org/officeDocument/2006/relationships/hyperlink" Target="https://old.ukr-mobil.com/index.php?route=product&amp;product_id=10005733" TargetMode="External"/><Relationship Id="rId_hyperlink_5633" Type="http://schemas.openxmlformats.org/officeDocument/2006/relationships/hyperlink" Target="https://old.ukr-mobil.com/index.php?route=product&amp;product_id=10005734" TargetMode="External"/><Relationship Id="rId_hyperlink_5634" Type="http://schemas.openxmlformats.org/officeDocument/2006/relationships/hyperlink" Target="https://old.ukr-mobil.com/index.php?route=product&amp;product_id=10005954" TargetMode="External"/><Relationship Id="rId_hyperlink_5635" Type="http://schemas.openxmlformats.org/officeDocument/2006/relationships/hyperlink" Target="https://old.ukr-mobil.com/zaryadnoe_ustrojstvo_li-ion_36v_2a_dlya_samokata_xiaomi_mijia_m365_vyhodnoe_napryazhenie_42v_10003143" TargetMode="External"/><Relationship Id="rId_hyperlink_5636" Type="http://schemas.openxmlformats.org/officeDocument/2006/relationships/hyperlink" Target="https://old.ukr-mobil.com/index.php?route=product&amp;product_id=10005803" TargetMode="External"/><Relationship Id="rId_hyperlink_5637" Type="http://schemas.openxmlformats.org/officeDocument/2006/relationships/hyperlink" Target="https://old.ukr-mobil.com/zaryadnoe_ustrojstvo_li-ion_36v_2a_shteker_5_5_2_5_vyhodnoe_napryazhenie_42v_10003121" TargetMode="External"/><Relationship Id="rId_hyperlink_5638" Type="http://schemas.openxmlformats.org/officeDocument/2006/relationships/hyperlink" Target="https://old.ukr-mobil.com/index.php?route=product&amp;product_id=10005804" TargetMode="External"/><Relationship Id="rId_hyperlink_5639" Type="http://schemas.openxmlformats.org/officeDocument/2006/relationships/hyperlink" Target="https://old.ukr-mobil.com/zaryadnoe_ustrojstvo_li-ion_36v_2a_shteker_c13_vyhodnoe_napryazhenie_42v_10003921" TargetMode="External"/><Relationship Id="rId_hyperlink_5640" Type="http://schemas.openxmlformats.org/officeDocument/2006/relationships/hyperlink" Target="https://old.ukr-mobil.com/index.php?route=product&amp;product_id=10005802" TargetMode="External"/><Relationship Id="rId_hyperlink_5641" Type="http://schemas.openxmlformats.org/officeDocument/2006/relationships/hyperlink" Target="https://old.ukr-mobil.com/zaryadnoe_ustrojstvo_li-ion_36v_2a_shteker_rca_vyhodnoe_napryazhenie_42v_10003123" TargetMode="External"/><Relationship Id="rId_hyperlink_5642" Type="http://schemas.openxmlformats.org/officeDocument/2006/relationships/hyperlink" Target="https://old.ukr-mobil.com/zaryadnoe_ustrojstvo_li-ion_36v_2a_shteker_xlr_vyhodnoe_napryazhenie_42v_10003122" TargetMode="External"/><Relationship Id="rId_hyperlink_5643" Type="http://schemas.openxmlformats.org/officeDocument/2006/relationships/hyperlink" Target="https://old.ukr-mobil.com/index.php?route=product&amp;product_id=10005805" TargetMode="External"/><Relationship Id="rId_hyperlink_5644" Type="http://schemas.openxmlformats.org/officeDocument/2006/relationships/hyperlink" Target="https://old.ukr-mobil.com/zaryadnoe_ustrojstvo_li-ion_36v_3a_shteker_5_5_2_5_vyhodnoe_napryazhenie_42v_10003124" TargetMode="External"/><Relationship Id="rId_hyperlink_5645" Type="http://schemas.openxmlformats.org/officeDocument/2006/relationships/hyperlink" Target="https://old.ukr-mobil.com/zaryadnoe_ustrojstvo_li-ion_36v_3a_shteker_rca_vyhodnoe_napryazhenie_42v_10003125" TargetMode="External"/><Relationship Id="rId_hyperlink_5646" Type="http://schemas.openxmlformats.org/officeDocument/2006/relationships/hyperlink" Target="https://old.ukr-mobil.com/zaryadnoe_ustrojstvo_li-ion_36v_3a_shteker_xlr_vyhodnoe_napryazhenie_42v_10003126" TargetMode="External"/><Relationship Id="rId_hyperlink_5647" Type="http://schemas.openxmlformats.org/officeDocument/2006/relationships/hyperlink" Target="https://old.ukr-mobil.com/zaryadnoe_ustrojstvo_li-ion_36v_5a_shteker_5_5_2_5_vyhodnoe_napryazhenie_42v_10003918" TargetMode="External"/><Relationship Id="rId_hyperlink_5648" Type="http://schemas.openxmlformats.org/officeDocument/2006/relationships/hyperlink" Target="https://old.ukr-mobil.com/index.php?route=product&amp;product_id=10005888" TargetMode="External"/><Relationship Id="rId_hyperlink_5649" Type="http://schemas.openxmlformats.org/officeDocument/2006/relationships/hyperlink" Target="https://old.ukr-mobil.com/zaryadnoe_ustrojstvo_li-ion_48v_2a_shteker_5_5_2_5_vyhodnoe_napryazhenie_54_6v_10003127" TargetMode="External"/><Relationship Id="rId_hyperlink_5650" Type="http://schemas.openxmlformats.org/officeDocument/2006/relationships/hyperlink" Target="https://old.ukr-mobil.com/zaryadnoe_ustrojstvo_li-ion_48v_2a_shteker_c13_vyhodnoe_napryazhenie_54_6v_10003922" TargetMode="External"/><Relationship Id="rId_hyperlink_5651" Type="http://schemas.openxmlformats.org/officeDocument/2006/relationships/hyperlink" Target="https://old.ukr-mobil.com/index.php?route=product&amp;product_id=10005892" TargetMode="External"/><Relationship Id="rId_hyperlink_5652" Type="http://schemas.openxmlformats.org/officeDocument/2006/relationships/hyperlink" Target="https://old.ukr-mobil.com/index.php?route=product&amp;product_id=10005887" TargetMode="External"/><Relationship Id="rId_hyperlink_5653" Type="http://schemas.openxmlformats.org/officeDocument/2006/relationships/hyperlink" Target="https://old.ukr-mobil.com/zaryadnoe_ustrojstvo_li-ion_48v_3a_shteker_5_5_2_5_vyhodnoe_napryazhenie_54_6v_10003128" TargetMode="External"/><Relationship Id="rId_hyperlink_5654" Type="http://schemas.openxmlformats.org/officeDocument/2006/relationships/hyperlink" Target="https://old.ukr-mobil.com/index.php?route=product&amp;product_id=10005894" TargetMode="External"/><Relationship Id="rId_hyperlink_5655" Type="http://schemas.openxmlformats.org/officeDocument/2006/relationships/hyperlink" Target="https://old.ukr-mobil.com/index.php?route=product&amp;product_id=10005895" TargetMode="External"/><Relationship Id="rId_hyperlink_5656" Type="http://schemas.openxmlformats.org/officeDocument/2006/relationships/hyperlink" Target="https://old.ukr-mobil.com/zaryadnoe_ustrojstvo_li-ion_48v_5a_shteker_5_5_2_5_vyhodnoe_napryazhenie_54_6v_10003919" TargetMode="External"/><Relationship Id="rId_hyperlink_5657" Type="http://schemas.openxmlformats.org/officeDocument/2006/relationships/hyperlink" Target="https://old.ukr-mobil.com/index.php?route=product&amp;product_id=10005890" TargetMode="External"/><Relationship Id="rId_hyperlink_5658" Type="http://schemas.openxmlformats.org/officeDocument/2006/relationships/hyperlink" Target="https://old.ukr-mobil.com/zaryadnoe_ustrojstvo_li-ion_48v_8a_shteker_5_5_2_5_vyhodnoe_napryazhenie_54_6v_10003920" TargetMode="External"/><Relationship Id="rId_hyperlink_5659" Type="http://schemas.openxmlformats.org/officeDocument/2006/relationships/hyperlink" Target="https://old.ukr-mobil.com/index.php?route=product&amp;product_id=10005886" TargetMode="External"/><Relationship Id="rId_hyperlink_5660" Type="http://schemas.openxmlformats.org/officeDocument/2006/relationships/hyperlink" Target="https://old.ukr-mobil.com/zaryadnoe_ustrojstvo_li-ion_58_8v_3a_shteker_5_5_2_5_vyhodnoe_napryazhenie_58_8v_14s_s_ventelyatorom_10004268" TargetMode="External"/><Relationship Id="rId_hyperlink_5661" Type="http://schemas.openxmlformats.org/officeDocument/2006/relationships/hyperlink" Target="https://old.ukr-mobil.com/index.php?route=product&amp;product_id=10005891" TargetMode="External"/><Relationship Id="rId_hyperlink_5662" Type="http://schemas.openxmlformats.org/officeDocument/2006/relationships/hyperlink" Target="https://old.ukr-mobil.com/zaryadnoe_ustrojstvo_li-ion_60v_3a_shteker_5_5_2_5_vyhodnoe_napryazhenie_67_2v_10003129" TargetMode="External"/><Relationship Id="rId_hyperlink_5663" Type="http://schemas.openxmlformats.org/officeDocument/2006/relationships/hyperlink" Target="https://old.ukr-mobil.com/zaryadnoe_ustrojstvo_li-ion_60v_3a_shteker_c13_vyhodnoe_napryazhenie_67_2v_10003130" TargetMode="External"/><Relationship Id="rId_hyperlink_5664" Type="http://schemas.openxmlformats.org/officeDocument/2006/relationships/hyperlink" Target="https://old.ukr-mobil.com/zaryadnoe_ustrojstvo_li-ion_60v_3a_shteker_gx12m_vyhodnoe_napryazhenie_67_2v_10003131" TargetMode="External"/><Relationship Id="rId_hyperlink_5665" Type="http://schemas.openxmlformats.org/officeDocument/2006/relationships/hyperlink" Target="https://old.ukr-mobil.com/zaryadnoe_ustrojstvo_li-ion_60v_5a_shteker_5_5_2_5_vyhodnoe_napryazhenie_67_2v_10003132" TargetMode="External"/><Relationship Id="rId_hyperlink_5666" Type="http://schemas.openxmlformats.org/officeDocument/2006/relationships/hyperlink" Target="https://old.ukr-mobil.com/zaryadnoe_ustrojstvo_li-ion_60v_5a_shteker_c13_vyhodnoe_napryazhenie_67_2v_10003133" TargetMode="External"/><Relationship Id="rId_hyperlink_5667" Type="http://schemas.openxmlformats.org/officeDocument/2006/relationships/hyperlink" Target="https://old.ukr-mobil.com/zaryadnoe_ustrojstvo_li-ion_60v_5a_shteker_gx12m_vyhodnoe_napryazhenie_67_2v_10003134" TargetMode="External"/><Relationship Id="rId_hyperlink_5668" Type="http://schemas.openxmlformats.org/officeDocument/2006/relationships/hyperlink" Target="https://old.ukr-mobil.com/zaryadnoe_ustrojstvo_li-ion_60v_8a_shteker_c13_vyhodnoe_napryazhenie_67_2v_10003136" TargetMode="External"/><Relationship Id="rId_hyperlink_5669" Type="http://schemas.openxmlformats.org/officeDocument/2006/relationships/hyperlink" Target="https://old.ukr-mobil.com/zaryadnoe_ustrojstvo_li-ion_60v_8a_shteker_gx12m_vyhodnoe_napryazhenie_67_2v_10003135" TargetMode="External"/><Relationship Id="rId_hyperlink_5670" Type="http://schemas.openxmlformats.org/officeDocument/2006/relationships/hyperlink" Target="https://old.ukr-mobil.com/zaryadnoe_ustrojstvo_li-ion_63v_3a_shteker_5_5_2_5_vyhodnoe_napryazhenie_63v_15s_s_ventelyatorom_10004269" TargetMode="External"/><Relationship Id="rId_hyperlink_5671" Type="http://schemas.openxmlformats.org/officeDocument/2006/relationships/hyperlink" Target="https://old.ukr-mobil.com/zaryadnoe_ustrojstvo_li-ion_63v_5a_shteker_5_5_2_5_vyhodnoe_napryazhenie_63v_15s_s_ventelyatorom_10004270" TargetMode="External"/><Relationship Id="rId_hyperlink_5672" Type="http://schemas.openxmlformats.org/officeDocument/2006/relationships/hyperlink" Target="https://old.ukr-mobil.com/zaryadnoe_ustrojstvo_li-ion_67_2v_2a_shteker_c13_vyhodnoe_napryazhenie_67_2v_16s_s_ventelyatorom_10004299" TargetMode="External"/><Relationship Id="rId_hyperlink_5673" Type="http://schemas.openxmlformats.org/officeDocument/2006/relationships/hyperlink" Target="https://old.ukr-mobil.com/index.php?route=product&amp;product_id=10005889" TargetMode="External"/><Relationship Id="rId_hyperlink_5674" Type="http://schemas.openxmlformats.org/officeDocument/2006/relationships/hyperlink" Target="https://old.ukr-mobil.com/zaryadnoe_ustrojstvo_li-ion_72v_3a_shteker_5_5_2_5_vyhodnoe_napryazhenie_84v_10003137" TargetMode="External"/><Relationship Id="rId_hyperlink_5675" Type="http://schemas.openxmlformats.org/officeDocument/2006/relationships/hyperlink" Target="https://old.ukr-mobil.com/zaryadnoe_ustrojstvo_li-ion_72v_3a_shteker_c13_vyhodnoe_napryazhenie_84v_10003138" TargetMode="External"/><Relationship Id="rId_hyperlink_5676" Type="http://schemas.openxmlformats.org/officeDocument/2006/relationships/hyperlink" Target="https://old.ukr-mobil.com/zaryadnoe_ustrojstvo_li-ion_72v_5a_shteker_5_5_2_5_vyhodnoe_napryazhenie_84v_10003139" TargetMode="External"/><Relationship Id="rId_hyperlink_5677" Type="http://schemas.openxmlformats.org/officeDocument/2006/relationships/hyperlink" Target="https://old.ukr-mobil.com/zaryadnoe_ustrojstvo_li-ion_72v_5a_shteker_c13_vyhodnoe_napryazhenie_84v_10003140" TargetMode="External"/><Relationship Id="rId_hyperlink_5678" Type="http://schemas.openxmlformats.org/officeDocument/2006/relationships/hyperlink" Target="https://old.ukr-mobil.com/zaryadnoe_ustrojstvo_li-ion_72v_8a_shteker_c13_vyhodnoe_napryazhenie_84v_10003141" TargetMode="External"/><Relationship Id="rId_hyperlink_5679" Type="http://schemas.openxmlformats.org/officeDocument/2006/relationships/hyperlink" Target="https://old.ukr-mobil.com/zaryadnoe_ustrojstvo_lifepo4_48v_3a_shteker_5_5_2_5_vyhodnoe_napryazhenie_58_4v_16s_s_ventelyatorom_10004287" TargetMode="External"/><Relationship Id="rId_hyperlink_5680" Type="http://schemas.openxmlformats.org/officeDocument/2006/relationships/hyperlink" Target="https://old.ukr-mobil.com/zaryadnoe_ustrojstvo_lifepo4_48v_5a_shteker_5_5_2_5_vyhodnoe_napryazhenie_58_4v_16s_s_ventelyatorom_10004286" TargetMode="External"/><Relationship Id="rId_hyperlink_5681" Type="http://schemas.openxmlformats.org/officeDocument/2006/relationships/hyperlink" Target="https://old.ukr-mobil.com/index.php?route=product&amp;product_id=10004801" TargetMode="External"/><Relationship Id="rId_hyperlink_5682" Type="http://schemas.openxmlformats.org/officeDocument/2006/relationships/hyperlink" Target="https://old.ukr-mobil.com/index.php?route=product&amp;product_id=10004802" TargetMode="External"/><Relationship Id="rId_hyperlink_5683" Type="http://schemas.openxmlformats.org/officeDocument/2006/relationships/hyperlink" Target="https://old.ukr-mobil.com/index.php?route=product&amp;product_id=10004872" TargetMode="External"/><Relationship Id="rId_hyperlink_5684" Type="http://schemas.openxmlformats.org/officeDocument/2006/relationships/hyperlink" Target="https://old.ukr-mobil.com/index.php?route=product&amp;product_id=10004803" TargetMode="External"/><Relationship Id="rId_hyperlink_5685" Type="http://schemas.openxmlformats.org/officeDocument/2006/relationships/hyperlink" Target="https://old.ukr-mobil.com/index.php?route=product&amp;product_id=10004870" TargetMode="External"/><Relationship Id="rId_hyperlink_5686" Type="http://schemas.openxmlformats.org/officeDocument/2006/relationships/hyperlink" Target="https://old.ukr-mobil.com/index.php?route=product&amp;product_id=10004816" TargetMode="External"/><Relationship Id="rId_hyperlink_5687" Type="http://schemas.openxmlformats.org/officeDocument/2006/relationships/hyperlink" Target="https://old.ukr-mobil.com/index.php?route=product&amp;product_id=10004815" TargetMode="External"/><Relationship Id="rId_hyperlink_5688" Type="http://schemas.openxmlformats.org/officeDocument/2006/relationships/hyperlink" Target="https://old.ukr-mobil.com/index.php?route=product&amp;product_id=10005786" TargetMode="External"/><Relationship Id="rId_hyperlink_5689" Type="http://schemas.openxmlformats.org/officeDocument/2006/relationships/hyperlink" Target="https://old.ukr-mobil.com/index.php?route=product&amp;product_id=10004754" TargetMode="External"/><Relationship Id="rId_hyperlink_5690" Type="http://schemas.openxmlformats.org/officeDocument/2006/relationships/hyperlink" Target="https://old.ukr-mobil.com/index.php?route=product&amp;product_id=10004811" TargetMode="External"/><Relationship Id="rId_hyperlink_5691" Type="http://schemas.openxmlformats.org/officeDocument/2006/relationships/hyperlink" Target="https://old.ukr-mobil.com/index.php?route=product&amp;product_id=10004747" TargetMode="External"/><Relationship Id="rId_hyperlink_5692" Type="http://schemas.openxmlformats.org/officeDocument/2006/relationships/hyperlink" Target="https://old.ukr-mobil.com/index.php?route=product&amp;product_id=10004807" TargetMode="External"/><Relationship Id="rId_hyperlink_5693" Type="http://schemas.openxmlformats.org/officeDocument/2006/relationships/hyperlink" Target="https://old.ukr-mobil.com/index.php?route=product&amp;product_id=10004746" TargetMode="External"/><Relationship Id="rId_hyperlink_5694" Type="http://schemas.openxmlformats.org/officeDocument/2006/relationships/hyperlink" Target="https://old.ukr-mobil.com/index.php?route=product&amp;product_id=10004752" TargetMode="External"/><Relationship Id="rId_hyperlink_5695" Type="http://schemas.openxmlformats.org/officeDocument/2006/relationships/hyperlink" Target="https://old.ukr-mobil.com/index.php?route=product&amp;product_id=10004755" TargetMode="External"/><Relationship Id="rId_hyperlink_5696" Type="http://schemas.openxmlformats.org/officeDocument/2006/relationships/hyperlink" Target="https://old.ukr-mobil.com/index.php?route=product&amp;product_id=10004806" TargetMode="External"/><Relationship Id="rId_hyperlink_5697" Type="http://schemas.openxmlformats.org/officeDocument/2006/relationships/hyperlink" Target="https://old.ukr-mobil.com/index.php?route=product&amp;product_id=10004810" TargetMode="External"/><Relationship Id="rId_hyperlink_5698" Type="http://schemas.openxmlformats.org/officeDocument/2006/relationships/hyperlink" Target="https://old.ukr-mobil.com/index.php?route=product&amp;product_id=10004794" TargetMode="External"/><Relationship Id="rId_hyperlink_5699" Type="http://schemas.openxmlformats.org/officeDocument/2006/relationships/hyperlink" Target="https://old.ukr-mobil.com/index.php?route=product&amp;product_id=10004812" TargetMode="External"/><Relationship Id="rId_hyperlink_5700" Type="http://schemas.openxmlformats.org/officeDocument/2006/relationships/hyperlink" Target="https://old.ukr-mobil.com/index.php?route=product&amp;product_id=10004793" TargetMode="External"/><Relationship Id="rId_hyperlink_5701" Type="http://schemas.openxmlformats.org/officeDocument/2006/relationships/hyperlink" Target="https://old.ukr-mobil.com/index.php?route=product&amp;product_id=10004862" TargetMode="External"/><Relationship Id="rId_hyperlink_5702" Type="http://schemas.openxmlformats.org/officeDocument/2006/relationships/hyperlink" Target="https://old.ukr-mobil.com/index.php?route=product&amp;product_id=10004813" TargetMode="External"/><Relationship Id="rId_hyperlink_5703" Type="http://schemas.openxmlformats.org/officeDocument/2006/relationships/hyperlink" Target="https://old.ukr-mobil.com/index.php?route=product&amp;product_id=10004809" TargetMode="External"/><Relationship Id="rId_hyperlink_5704" Type="http://schemas.openxmlformats.org/officeDocument/2006/relationships/hyperlink" Target="https://old.ukr-mobil.com/index.php?route=product&amp;product_id=10004808" TargetMode="External"/><Relationship Id="rId_hyperlink_5705" Type="http://schemas.openxmlformats.org/officeDocument/2006/relationships/hyperlink" Target="https://old.ukr-mobil.com/index.php?route=product&amp;product_id=10004792" TargetMode="External"/><Relationship Id="rId_hyperlink_5706" Type="http://schemas.openxmlformats.org/officeDocument/2006/relationships/hyperlink" Target="https://old.ukr-mobil.com/zhestkaya_beskamernaya_shina_10x2_5_dlya_ehlektrosamokata_ninebot_max_g30_10004804" TargetMode="External"/><Relationship Id="rId_hyperlink_5707" Type="http://schemas.openxmlformats.org/officeDocument/2006/relationships/hyperlink" Target="https://old.ukr-mobil.com/bms_plata_akkumulyatora_xiaomi_m365_10003693" TargetMode="External"/><Relationship Id="rId_hyperlink_5708" Type="http://schemas.openxmlformats.org/officeDocument/2006/relationships/hyperlink" Target="https://old.ukr-mobil.com/bms_plata_akkumulyatora_xiaomi_mi_scooter_pro_mi_scooter_pro_2_10003694" TargetMode="External"/><Relationship Id="rId_hyperlink_5709" Type="http://schemas.openxmlformats.org/officeDocument/2006/relationships/hyperlink" Target="https://old.ukr-mobil.com/akkumulyator_dlya_ehlektrosamokata_xiaomi_m365_1s_na_elementah_18650_ot_eve_7_8_ah_36v_10004321" TargetMode="External"/><Relationship Id="rId_hyperlink_5710" Type="http://schemas.openxmlformats.org/officeDocument/2006/relationships/hyperlink" Target="https://old.ukr-mobil.com/akkumulyator_dlya_ehlektrosamokata_xiaomi_m365_1s_na_elementah_18650_ot_lg_7_8_ah_36v_10004320" TargetMode="External"/><Relationship Id="rId_hyperlink_5711" Type="http://schemas.openxmlformats.org/officeDocument/2006/relationships/hyperlink" Target="https://old.ukr-mobil.com/akkumulyator_dlya_ehlektrosamokata_xiaomi_mi_pro_mi_pro_2_12_8_ah_36v_10004319" TargetMode="External"/><Relationship Id="rId_hyperlink_5712" Type="http://schemas.openxmlformats.org/officeDocument/2006/relationships/hyperlink" Target="https://old.ukr-mobil.com/antiprokolnaya_shina_8_5_2_0_dlya_ehlektrosamokatov_xiaomi_10003926" TargetMode="External"/><Relationship Id="rId_hyperlink_5713" Type="http://schemas.openxmlformats.org/officeDocument/2006/relationships/hyperlink" Target="https://old.ukr-mobil.com/bokovye_otrazhateli_koles_dlya_ehlektrosamokata_xiaomi_mi_pro_2_1s_10003946" TargetMode="External"/><Relationship Id="rId_hyperlink_5714" Type="http://schemas.openxmlformats.org/officeDocument/2006/relationships/hyperlink" Target="https://old.ukr-mobil.com/vint_krepleniya_zadnego_kolesa_xiaomi_m365_pro_1s_pro_2_10003933" TargetMode="External"/><Relationship Id="rId_hyperlink_5715" Type="http://schemas.openxmlformats.org/officeDocument/2006/relationships/hyperlink" Target="https://old.ukr-mobil.com/vinty_perednego_motor_kolesa_dlya_xiaomi_m365_pro_1s_pro_2_10003932" TargetMode="External"/><Relationship Id="rId_hyperlink_5716" Type="http://schemas.openxmlformats.org/officeDocument/2006/relationships/hyperlink" Target="https://old.ukr-mobil.com/vnutrennyaya_kamera_8_5_dyujmov_s_pryamym_klapanom_10003925" TargetMode="External"/><Relationship Id="rId_hyperlink_5717" Type="http://schemas.openxmlformats.org/officeDocument/2006/relationships/hyperlink" Target="https://old.ukr-mobil.com/dekorativnyj_svetovozvrashchatel_perednego_kolesa_dlya_ehlektrosamokata_xiaomi_m365_pro_10003950" TargetMode="External"/><Relationship Id="rId_hyperlink_5718" Type="http://schemas.openxmlformats.org/officeDocument/2006/relationships/hyperlink" Target="https://old.ukr-mobil.com/derzhatel_batarei_dlya_ehlektrosamokata_xiaomi_mi_electric_scooter_m365_10003778" TargetMode="External"/><Relationship Id="rId_hyperlink_5719" Type="http://schemas.openxmlformats.org/officeDocument/2006/relationships/hyperlink" Target="https://old.ukr-mobil.com/index.php?route=product&amp;product_id=10004798" TargetMode="External"/><Relationship Id="rId_hyperlink_5720" Type="http://schemas.openxmlformats.org/officeDocument/2006/relationships/hyperlink" Target="https://old.ukr-mobil.com/disk_zadnego_kolesa_s_vtulkoj_podshipnikami_dlya_ehlektrosamokata_xiaomi_m365_1s_10003916" TargetMode="External"/><Relationship Id="rId_hyperlink_5721" Type="http://schemas.openxmlformats.org/officeDocument/2006/relationships/hyperlink" Target="https://old.ukr-mobil.com/zhestkaya_shina_8_5_2_0_dlya_ehlektrosamokatov_xiaomi_10003927" TargetMode="External"/><Relationship Id="rId_hyperlink_5722" Type="http://schemas.openxmlformats.org/officeDocument/2006/relationships/hyperlink" Target="https://old.ukr-mobil.com/zadnee_krylo_s_kryuchkom_dlya_zadnego_fonarya_ehlektrosamokata_xiaomi_m365_pro_10003947" TargetMode="External"/><Relationship Id="rId_hyperlink_5723" Type="http://schemas.openxmlformats.org/officeDocument/2006/relationships/hyperlink" Target="https://old.ukr-mobil.com/zadnij_fonar_stop-signal_dlya_ehlektrosamokata_xiaomi_m365_m365_pro_10003790" TargetMode="External"/><Relationship Id="rId_hyperlink_5724" Type="http://schemas.openxmlformats.org/officeDocument/2006/relationships/hyperlink" Target="https://old.ukr-mobil.com/zadnij_fonar_stop-signal_dlya_ehlektrosamokata_xiaomi_mi_1s_mi_pro_2_10003791" TargetMode="External"/><Relationship Id="rId_hyperlink_5725" Type="http://schemas.openxmlformats.org/officeDocument/2006/relationships/hyperlink" Target="https://old.ukr-mobil.com/zashchita_deki_dlya_ehlektrosamokata_xiaomi_m365_1s_10003951" TargetMode="External"/><Relationship Id="rId_hyperlink_5726" Type="http://schemas.openxmlformats.org/officeDocument/2006/relationships/hyperlink" Target="https://old.ukr-mobil.com/zashchita_deki_dlya_ehlektrosamokata_xiaomi_mi_pro_pro_2_10003952" TargetMode="External"/><Relationship Id="rId_hyperlink_5727" Type="http://schemas.openxmlformats.org/officeDocument/2006/relationships/hyperlink" Target="https://old.ukr-mobil.com/kabel_dvigatelya_dlya_xiaomi_m365_pro_pro_2_1s_10003913" TargetMode="External"/><Relationship Id="rId_hyperlink_5728" Type="http://schemas.openxmlformats.org/officeDocument/2006/relationships/hyperlink" Target="https://old.ukr-mobil.com/kabel_pitaniya_i_peredachi_dannyh_dlya_h_aom_m365_pro_pro_2_1s_10003910" TargetMode="External"/><Relationship Id="rId_hyperlink_5729" Type="http://schemas.openxmlformats.org/officeDocument/2006/relationships/hyperlink" Target="https://old.ukr-mobil.com/kabel_podklyucheniya_zadnego_fonarya_dlya_xiaomi_m365_pro_10003953" TargetMode="External"/><Relationship Id="rId_hyperlink_5730" Type="http://schemas.openxmlformats.org/officeDocument/2006/relationships/hyperlink" Target="https://old.ukr-mobil.com/koleso_zadnee_s_antiprokolnoj_shinoj_s_vtulkoj_podshipnikami_dlya_xiaomi_mi_pro_pro_2_red_10003924" TargetMode="External"/><Relationship Id="rId_hyperlink_5731" Type="http://schemas.openxmlformats.org/officeDocument/2006/relationships/hyperlink" Target="https://old.ukr-mobil.com/koleso_zadnee_s_vnutrennej_kameroj_s_vtulkoj_podshipnikami_dlya_xiaomi_m365_1s_10003917" TargetMode="External"/><Relationship Id="rId_hyperlink_5732" Type="http://schemas.openxmlformats.org/officeDocument/2006/relationships/hyperlink" Target="https://old.ukr-mobil.com/koleso_zadnee_s_vnutrennej_kameroj_s_vtulkoj_podshipnikami_dlya_xiaomi_mi_pro_pro_2_10003923" TargetMode="External"/><Relationship Id="rId_hyperlink_5733" Type="http://schemas.openxmlformats.org/officeDocument/2006/relationships/hyperlink" Target="https://old.ukr-mobil.com/komplekt_materinskoj_platy_pribornoj_paneli_perednego_fonarya_drosselnoj_zaslonki_dlya_xiaomi_m365_10003954" TargetMode="External"/><Relationship Id="rId_hyperlink_5734" Type="http://schemas.openxmlformats.org/officeDocument/2006/relationships/hyperlink" Target="https://old.ukr-mobil.com/komplekt_materinskoj_platy_pribornoj_paneli_perednego_fonarya_drosselnoj_zaslonki_dlya_xiaomi_mi_pro_10003955" TargetMode="External"/><Relationship Id="rId_hyperlink_5735" Type="http://schemas.openxmlformats.org/officeDocument/2006/relationships/hyperlink" Target="https://old.ukr-mobil.com/materinskaya_plata_dlya_ehlektrosamokata_xiaomi_m365_mi_1s_10003783" TargetMode="External"/><Relationship Id="rId_hyperlink_5736" Type="http://schemas.openxmlformats.org/officeDocument/2006/relationships/hyperlink" Target="https://old.ukr-mobil.com/materinskaya_plata_dlya_ehlektrosamokata_xiaomi_mi_pro_mi_pro_2_10003784" TargetMode="External"/><Relationship Id="rId_hyperlink_5737" Type="http://schemas.openxmlformats.org/officeDocument/2006/relationships/hyperlink" Target="https://old.ukr-mobil.com/mekhanizm_skladyvaniya_rulevoj_kolonki_dlya_ehlektrosamokata_xiaomi_m365_pro_1s_pro_2_10003929" TargetMode="External"/><Relationship Id="rId_hyperlink_5738" Type="http://schemas.openxmlformats.org/officeDocument/2006/relationships/hyperlink" Target="https://old.ukr-mobil.com/motor_koleso_dlya_xiaomi_m365_1s_350w_s_beskamernoj_pokryshkoj_10003912" TargetMode="External"/><Relationship Id="rId_hyperlink_5739" Type="http://schemas.openxmlformats.org/officeDocument/2006/relationships/hyperlink" Target="https://old.ukr-mobil.com/motor_koleso_dlya_xiaomi_m365_1s_350w_s_pokryshkoj_10003911" TargetMode="External"/><Relationship Id="rId_hyperlink_5740" Type="http://schemas.openxmlformats.org/officeDocument/2006/relationships/hyperlink" Target="https://old.ukr-mobil.com/motor_koleso_dlya_xiaomi_mi_pro_pro_2_350w_s_beskamernoj_pokryshkoj_10003915" TargetMode="External"/><Relationship Id="rId_hyperlink_5741" Type="http://schemas.openxmlformats.org/officeDocument/2006/relationships/hyperlink" Target="https://old.ukr-mobil.com/motor_koleso_dlya_xiaomi_mi_pro_pro_2_350w_s_pokryshkoj_10003914" TargetMode="External"/><Relationship Id="rId_hyperlink_5742" Type="http://schemas.openxmlformats.org/officeDocument/2006/relationships/hyperlink" Target="https://old.ukr-mobil.com/nakladka_vilki_plastikovaya_dlya_ehlektrosamokata_xiaomi_m365_pro_1s_pro_2_10003944" TargetMode="External"/><Relationship Id="rId_hyperlink_5743" Type="http://schemas.openxmlformats.org/officeDocument/2006/relationships/hyperlink" Target="https://old.ukr-mobil.com/osnova_mekhanizma_skladyvaniya_rulevoj_kolonki_dlya_ehlektrosamokata_xiaomi_m365_mi_pro_pro_2_1s_10003928" TargetMode="External"/><Relationship Id="rId_hyperlink_5744" Type="http://schemas.openxmlformats.org/officeDocument/2006/relationships/hyperlink" Target="https://old.ukr-mobil.com/perednee_krylo_dlya_ehlektrosamokata_xiaomi_m365_pro_10003948" TargetMode="External"/><Relationship Id="rId_hyperlink_5745" Type="http://schemas.openxmlformats.org/officeDocument/2006/relationships/hyperlink" Target="https://old.ukr-mobil.com/perednij_fonar_dlya_ehlektrosamokata_xiaomi_m365_mi_pro_10003804" TargetMode="External"/><Relationship Id="rId_hyperlink_5746" Type="http://schemas.openxmlformats.org/officeDocument/2006/relationships/hyperlink" Target="https://old.ukr-mobil.com/index.php?route=product&amp;product_id=10004760" TargetMode="External"/><Relationship Id="rId_hyperlink_5747" Type="http://schemas.openxmlformats.org/officeDocument/2006/relationships/hyperlink" Target="https://old.ukr-mobil.com/plastikovaya_kryshka_vinta_zadnego_kolesa_dlya_xiaomi_m365_pro_10003945" TargetMode="External"/><Relationship Id="rId_hyperlink_5748" Type="http://schemas.openxmlformats.org/officeDocument/2006/relationships/hyperlink" Target="https://old.ukr-mobil.com/plata_bms_dlya_batarejnogo_bloka_xiaomi_mi_electric_scooter_m365_mi_1s_10003779" TargetMode="External"/><Relationship Id="rId_hyperlink_5749" Type="http://schemas.openxmlformats.org/officeDocument/2006/relationships/hyperlink" Target="https://old.ukr-mobil.com/plata_bms_dlya_batarejnogo_bloka_xiaomi_mi_electric_scooter_mi_pro_pro_2_10003782" TargetMode="External"/><Relationship Id="rId_hyperlink_5750" Type="http://schemas.openxmlformats.org/officeDocument/2006/relationships/hyperlink" Target="https://old.ukr-mobil.com/plata_paneli_priborov_s_knopkoj_upravleniya_dlya_ehlektrosamokata_xiaomi_m365_10003789" TargetMode="External"/><Relationship Id="rId_hyperlink_5751" Type="http://schemas.openxmlformats.org/officeDocument/2006/relationships/hyperlink" Target="https://old.ukr-mobil.com/podnozhka_dlya_ehlektrosamokata_xiaomi_m365_pro_1s_pro_2_10003937" TargetMode="External"/><Relationship Id="rId_hyperlink_5752" Type="http://schemas.openxmlformats.org/officeDocument/2006/relationships/hyperlink" Target="https://old.ukr-mobil.com/podshipnik_zadnego_kolesa_6001rs_10003935" TargetMode="External"/><Relationship Id="rId_hyperlink_5753" Type="http://schemas.openxmlformats.org/officeDocument/2006/relationships/hyperlink" Target="https://old.ukr-mobil.com/index.php?route=product&amp;product_id=10004795" TargetMode="External"/><Relationship Id="rId_hyperlink_5754" Type="http://schemas.openxmlformats.org/officeDocument/2006/relationships/hyperlink" Target="https://old.ukr-mobil.com/index.php?route=product&amp;product_id=10004796" TargetMode="External"/><Relationship Id="rId_hyperlink_5755" Type="http://schemas.openxmlformats.org/officeDocument/2006/relationships/hyperlink" Target="https://old.ukr-mobil.com/index.php?route=product&amp;product_id=10004865" TargetMode="External"/><Relationship Id="rId_hyperlink_5756" Type="http://schemas.openxmlformats.org/officeDocument/2006/relationships/hyperlink" Target="https://old.ukr-mobil.com/pryazhka_mekhanizma_skladyvaniya_rulevoj_kolonki_dlya_ehlektrosamokata_xiaomi_m365_pro_1s_pro_2_10003936" TargetMode="External"/><Relationship Id="rId_hyperlink_5757" Type="http://schemas.openxmlformats.org/officeDocument/2006/relationships/hyperlink" Target="https://old.ukr-mobil.com/index.php?route=product&amp;product_id=10004799" TargetMode="External"/><Relationship Id="rId_hyperlink_5758" Type="http://schemas.openxmlformats.org/officeDocument/2006/relationships/hyperlink" Target="https://old.ukr-mobil.com/index.php?route=product&amp;product_id=10004800" TargetMode="External"/><Relationship Id="rId_hyperlink_5759" Type="http://schemas.openxmlformats.org/officeDocument/2006/relationships/hyperlink" Target="https://old.ukr-mobil.com/rulevaya_truba_stojka_dlya_ehlektrosamokata_xiaomi_m365_1s_66_4_sm_10003930" TargetMode="External"/><Relationship Id="rId_hyperlink_5760" Type="http://schemas.openxmlformats.org/officeDocument/2006/relationships/hyperlink" Target="https://old.ukr-mobil.com/rulevaya_truba_stojka_dlya_ehlektrosamokata_xiaomi_mi_pro_pro_2_70_sm_10003931" TargetMode="External"/><Relationship Id="rId_hyperlink_5761" Type="http://schemas.openxmlformats.org/officeDocument/2006/relationships/hyperlink" Target="https://old.ukr-mobil.com/ruchka_gaza_uskoritel_dlya_ehlektrosamokata_xiaomi_mi_3_10003873" TargetMode="External"/><Relationship Id="rId_hyperlink_5762" Type="http://schemas.openxmlformats.org/officeDocument/2006/relationships/hyperlink" Target="https://old.ukr-mobil.com/ruchka_gaza_uskoritel_dlya_ehlektrosamokatov_xiaomi_m365_1s_10003871" TargetMode="External"/><Relationship Id="rId_hyperlink_5763" Type="http://schemas.openxmlformats.org/officeDocument/2006/relationships/hyperlink" Target="https://old.ukr-mobil.com/ruchka_gaza_uskoritel_dlya_ehlektrosamokatov_xiaomi_mi_pro_pro_2_10003872" TargetMode="External"/><Relationship Id="rId_hyperlink_5764" Type="http://schemas.openxmlformats.org/officeDocument/2006/relationships/hyperlink" Target="https://old.ukr-mobil.com/ruchka_tormoza_dlya_ehlektrosamokata_xiaomi_mi_m365_shirokaya_fishka_10004403" TargetMode="External"/><Relationship Id="rId_hyperlink_5765" Type="http://schemas.openxmlformats.org/officeDocument/2006/relationships/hyperlink" Target="https://old.ukr-mobil.com/ruchka_tormoza_dlya_ehlektrosamokata_xiaomi_mi_m365_m365_pro_uzkaya_fishka_10003870" TargetMode="External"/><Relationship Id="rId_hyperlink_5766" Type="http://schemas.openxmlformats.org/officeDocument/2006/relationships/hyperlink" Target="https://old.ukr-mobil.com/svetodiodnaya_indikatornaya_panel_dlya_ehlektrosamokata_xiaomi_m365_10003949" TargetMode="External"/><Relationship Id="rId_hyperlink_5767" Type="http://schemas.openxmlformats.org/officeDocument/2006/relationships/hyperlink" Target="https://old.ukr-mobil.com/stopornyj_vint_vilki_dlya_xiaomi_m365_pro_1s_pro_2_10003934" TargetMode="External"/><Relationship Id="rId_hyperlink_5768" Type="http://schemas.openxmlformats.org/officeDocument/2006/relationships/hyperlink" Target="https://old.ukr-mobil.com/tormoznoj_disk_110_mm_dlya_xiaomi_m365_1s_10003940" TargetMode="External"/><Relationship Id="rId_hyperlink_5769" Type="http://schemas.openxmlformats.org/officeDocument/2006/relationships/hyperlink" Target="https://old.ukr-mobil.com/tormoznoj_support_dlya_xiaomi_m365_pro_1s_pro_2_10003938" TargetMode="External"/><Relationship Id="rId_hyperlink_5770" Type="http://schemas.openxmlformats.org/officeDocument/2006/relationships/hyperlink" Target="https://old.ukr-mobil.com/tormoznoj_tros_dlya_ehlektrosamokata_xiaomi_m365_pro_pro_2_1s_10003939" TargetMode="External"/><Relationship Id="rId_hyperlink_5771" Type="http://schemas.openxmlformats.org/officeDocument/2006/relationships/hyperlink" Target="https://old.ukr-mobil.com/tormoznoj_tros_dlya_ehlektrosamokata_xiaomi_mi_pro_pro_2_10003941" TargetMode="External"/><Relationship Id="rId_hyperlink_5772" Type="http://schemas.openxmlformats.org/officeDocument/2006/relationships/hyperlink" Target="https://old.ukr-mobil.com/tormoznye_kolodki_dlya_xiaomi_m365_1s_para_10003942" TargetMode="External"/><Relationship Id="rId_hyperlink_5773" Type="http://schemas.openxmlformats.org/officeDocument/2006/relationships/hyperlink" Target="https://old.ukr-mobil.com/tormoznye_kolodki_dlya_xiaomi_mi_pro_pro_2_para_10003943" TargetMode="External"/><Relationship Id="rId_hyperlink_5774" Type="http://schemas.openxmlformats.org/officeDocument/2006/relationships/hyperlink" Target="https://old.ukr-mobil.com/holder_akkumulyatora_dlya_xiaomi_m365_pod_18650_10003692" TargetMode="External"/><Relationship Id="rId_hyperlink_5775" Type="http://schemas.openxmlformats.org/officeDocument/2006/relationships/hyperlink" Target="https://old.ukr-mobil.com/shipovannaya_beskamernaya_shina_10x2_5_dlya_ehlektrosamokata_xiaomi_m365_10004805" TargetMode="External"/><Relationship Id="rId_hyperlink_5776" Type="http://schemas.openxmlformats.org/officeDocument/2006/relationships/hyperlink" Target="https://old.ukr-mobil.com/komplekt_iz_kontrollera_i_lcd_displeya_22a_350w_kugoo_10003648" TargetMode="External"/><Relationship Id="rId_hyperlink_5777" Type="http://schemas.openxmlformats.org/officeDocument/2006/relationships/hyperlink" Target="https://old.ukr-mobil.com/komplekt_s_kontrollerom_i_lcd_displeem_17a_10003651" TargetMode="External"/><Relationship Id="rId_hyperlink_5778" Type="http://schemas.openxmlformats.org/officeDocument/2006/relationships/hyperlink" Target="https://old.ukr-mobil.com/komplekt_s_kontrollerom_i_lcd_displeem_17a_350w_10003653" TargetMode="External"/><Relationship Id="rId_hyperlink_5779" Type="http://schemas.openxmlformats.org/officeDocument/2006/relationships/hyperlink" Target="https://old.ukr-mobil.com/komplekt_s_kontrollerom_i_lcd_displeem_26a_10003652" TargetMode="External"/><Relationship Id="rId_hyperlink_5780" Type="http://schemas.openxmlformats.org/officeDocument/2006/relationships/hyperlink" Target="https://old.ukr-mobil.com/komplekt_s_kontrollerom_i_lcd_displeem_36v-48v_15a_350w_10003649" TargetMode="External"/><Relationship Id="rId_hyperlink_5781" Type="http://schemas.openxmlformats.org/officeDocument/2006/relationships/hyperlink" Target="https://old.ukr-mobil.com/komplekt_s_kontrollerom_i_lcd_displeem_36v-48v_22a_500w_10003654" TargetMode="External"/><Relationship Id="rId_hyperlink_5782" Type="http://schemas.openxmlformats.org/officeDocument/2006/relationships/hyperlink" Target="https://old.ukr-mobil.com/komplekt_s_kontrollerom_i_led_displeem_17a_350w_10003650" TargetMode="External"/><Relationship Id="rId_hyperlink_5783" Type="http://schemas.openxmlformats.org/officeDocument/2006/relationships/hyperlink" Target="https://old.ukr-mobil.com/kabel_usb_dlya_programmirovaniya_kontrollerov_votol_10003253" TargetMode="External"/><Relationship Id="rId_hyperlink_5784" Type="http://schemas.openxmlformats.org/officeDocument/2006/relationships/hyperlink" Target="https://old.ukr-mobil.com/kontroller_dlya_elektrotransporta_votol_em-100-4_max_150a_sinusnyj_programmiruemyj_s_funkciej_samoobucheniya_10003246" TargetMode="External"/><Relationship Id="rId_hyperlink_5785" Type="http://schemas.openxmlformats.org/officeDocument/2006/relationships/hyperlink" Target="https://old.ukr-mobil.com/index.php?route=product&amp;product_id=10004724" TargetMode="External"/><Relationship Id="rId_hyperlink_5786" Type="http://schemas.openxmlformats.org/officeDocument/2006/relationships/hyperlink" Target="https://old.ukr-mobil.com/kontroller_dlya_elektrotransporta_votol_em-50-4_max_75a_sinusnyj_programmiruemyj_s_funkciej_samoobucheniya_10003245" TargetMode="External"/><Relationship Id="rId_hyperlink_5787" Type="http://schemas.openxmlformats.org/officeDocument/2006/relationships/hyperlink" Target="https://old.ukr-mobil.com/kontroller_dlya_elektrotransporta_votol_em-50s_sinusnyj_programmiruemyj_10003252" TargetMode="External"/><Relationship Id="rId_hyperlink_5788" Type="http://schemas.openxmlformats.org/officeDocument/2006/relationships/hyperlink" Target="https://old.ukr-mobil.com/kontroller_dlya_elektrotransporta_votol_em-70_sinusnyj_programmiruemyj_10003251" TargetMode="External"/><Relationship Id="rId_hyperlink_5789" Type="http://schemas.openxmlformats.org/officeDocument/2006/relationships/hyperlink" Target="https://old.ukr-mobil.com/kontroller_dlya_ehlektrotransporta_s_napryazheniem_36v-48v_15a_720w_10003618" TargetMode="External"/><Relationship Id="rId_hyperlink_5790" Type="http://schemas.openxmlformats.org/officeDocument/2006/relationships/hyperlink" Target="https://old.ukr-mobil.com/kontroller_dlya_ehlektrotransporta_s_napryazheniem_36v-48v_17a_816w_10003619" TargetMode="External"/><Relationship Id="rId_hyperlink_5791" Type="http://schemas.openxmlformats.org/officeDocument/2006/relationships/hyperlink" Target="https://old.ukr-mobil.com/kontroller_dlya_ehlektrotransporta_s_napryazheniem_36v-48v_22a_1056w_10003615" TargetMode="External"/><Relationship Id="rId_hyperlink_5792" Type="http://schemas.openxmlformats.org/officeDocument/2006/relationships/hyperlink" Target="https://old.ukr-mobil.com/kontroller_universalnyj_dlya_ehlektrotransporta_36v-48v_17a_816w_sm_10003614" TargetMode="External"/><Relationship Id="rId_hyperlink_5793" Type="http://schemas.openxmlformats.org/officeDocument/2006/relationships/hyperlink" Target="https://old.ukr-mobil.com/kontroller_universalnyj_dlya_ehlektrotransporta_s_napryazheniem_36v-48v_15a_720w_sm_10003613" TargetMode="External"/><Relationship Id="rId_hyperlink_5794" Type="http://schemas.openxmlformats.org/officeDocument/2006/relationships/hyperlink" Target="https://old.ukr-mobil.com/kontroller_universalnyj_36v_48v_17a_350w_10003104" TargetMode="External"/><Relationship Id="rId_hyperlink_5795" Type="http://schemas.openxmlformats.org/officeDocument/2006/relationships/hyperlink" Target="https://old.ukr-mobil.com/kontroller_universalnyj_36v_48v_17a_350w_sinusoidalnyj_10003103" TargetMode="External"/><Relationship Id="rId_hyperlink_5796" Type="http://schemas.openxmlformats.org/officeDocument/2006/relationships/hyperlink" Target="https://old.ukr-mobil.com/kontroller_universalnyj_48v_64v_45a_1200w_sinusoidalnyj_10003113" TargetMode="External"/><Relationship Id="rId_hyperlink_5797" Type="http://schemas.openxmlformats.org/officeDocument/2006/relationships/hyperlink" Target="https://old.ukr-mobil.com/kontroller_universalnyj_48v_60v_60a_2500w_sinusoidalnyj_10003117" TargetMode="External"/><Relationship Id="rId_hyperlink_5798" Type="http://schemas.openxmlformats.org/officeDocument/2006/relationships/hyperlink" Target="https://old.ukr-mobil.com/kontroller_universalnyj_48v_64v_30a_500w_sinusoidalnyj_10003107" TargetMode="External"/><Relationship Id="rId_hyperlink_5799" Type="http://schemas.openxmlformats.org/officeDocument/2006/relationships/hyperlink" Target="https://old.ukr-mobil.com/kontroller_universalnyj_48v_64v_35a_800w_10003109" TargetMode="External"/><Relationship Id="rId_hyperlink_5800" Type="http://schemas.openxmlformats.org/officeDocument/2006/relationships/hyperlink" Target="https://old.ukr-mobil.com/kontroller_universalnyj_48v_64v_35a_800w_sinusoidalnyj_10003110" TargetMode="External"/><Relationship Id="rId_hyperlink_5801" Type="http://schemas.openxmlformats.org/officeDocument/2006/relationships/hyperlink" Target="https://old.ukr-mobil.com/kontroller_universalnyj_48v_64v_40a_1000w_10003112" TargetMode="External"/><Relationship Id="rId_hyperlink_5802" Type="http://schemas.openxmlformats.org/officeDocument/2006/relationships/hyperlink" Target="https://old.ukr-mobil.com/kontroller_universalnyj_48v_64v_40a_1000w_sinusoidalnyj_10003111" TargetMode="External"/><Relationship Id="rId_hyperlink_5803" Type="http://schemas.openxmlformats.org/officeDocument/2006/relationships/hyperlink" Target="https://old.ukr-mobil.com/kontroller_universalnyj_48v_64v_45a_1200w_10003114" TargetMode="External"/><Relationship Id="rId_hyperlink_5804" Type="http://schemas.openxmlformats.org/officeDocument/2006/relationships/hyperlink" Target="https://old.ukr-mobil.com/kontroller_universalnyj_48v_60v_60a_2500w_10003118" TargetMode="External"/><Relationship Id="rId_hyperlink_5805" Type="http://schemas.openxmlformats.org/officeDocument/2006/relationships/hyperlink" Target="https://old.ukr-mobil.com/kontroller_universalnyj_48v_64v_25a_450w_10003106" TargetMode="External"/><Relationship Id="rId_hyperlink_5806" Type="http://schemas.openxmlformats.org/officeDocument/2006/relationships/hyperlink" Target="https://old.ukr-mobil.com/kontroller_universalnyj_48v_64v_25a_450w_sinusoidalnyj_10003105" TargetMode="External"/><Relationship Id="rId_hyperlink_5807" Type="http://schemas.openxmlformats.org/officeDocument/2006/relationships/hyperlink" Target="https://old.ukr-mobil.com/kontroller_universalnyj_48v_64v_30a_600w_10003108" TargetMode="External"/><Relationship Id="rId_hyperlink_5808" Type="http://schemas.openxmlformats.org/officeDocument/2006/relationships/hyperlink" Target="https://old.ukr-mobil.com/kontroller_universalnyj_72v_50a_1500w_10003116" TargetMode="External"/><Relationship Id="rId_hyperlink_5809" Type="http://schemas.openxmlformats.org/officeDocument/2006/relationships/hyperlink" Target="https://old.ukr-mobil.com/kontroller_universalnyj_72v_50a_1500w_sinusoidalnyj_10003115" TargetMode="External"/><Relationship Id="rId_hyperlink_5810" Type="http://schemas.openxmlformats.org/officeDocument/2006/relationships/hyperlink" Target="https://old.ukr-mobil.com/modul_bluetooth_dlya_nastrojki_kontrollerov_votol_10003254" TargetMode="External"/><Relationship Id="rId_hyperlink_5811" Type="http://schemas.openxmlformats.org/officeDocument/2006/relationships/hyperlink" Target="https://old.ukr-mobil.com/motor_koleso_zadnee_v_sbore_s_obodom_26_36v_350w_dlya_velosipeda_vtulka_10004715" TargetMode="External"/><Relationship Id="rId_hyperlink_5812" Type="http://schemas.openxmlformats.org/officeDocument/2006/relationships/hyperlink" Target="https://old.ukr-mobil.com/motor_koleso_zadnee_v_sbore_s_obodom_26_36v_350w_dlya_velosipeda_rezba_10004709" TargetMode="External"/><Relationship Id="rId_hyperlink_5813" Type="http://schemas.openxmlformats.org/officeDocument/2006/relationships/hyperlink" Target="https://old.ukr-mobil.com/motor_koleso_zadnee_v_sbore_s_obodom_26_36v_500w_dlya_velosipeda_vtulka_10004717" TargetMode="External"/><Relationship Id="rId_hyperlink_5814" Type="http://schemas.openxmlformats.org/officeDocument/2006/relationships/hyperlink" Target="https://old.ukr-mobil.com/motor_koleso_zadnee_v_sbore_s_obodom_26_36v_500w_dlya_velosipeda_rezba_10004713" TargetMode="External"/><Relationship Id="rId_hyperlink_5815" Type="http://schemas.openxmlformats.org/officeDocument/2006/relationships/hyperlink" Target="https://old.ukr-mobil.com/motor_koleso_zadnee_v_sbore_s_obodom_28_36v_350w_dlya_velosipeda_vtulka_10004716" TargetMode="External"/><Relationship Id="rId_hyperlink_5816" Type="http://schemas.openxmlformats.org/officeDocument/2006/relationships/hyperlink" Target="https://old.ukr-mobil.com/motor_koleso_zadnee_v_sbore_s_obodom_28_36v_350w_dlya_velosipeda_rezba_10004712" TargetMode="External"/><Relationship Id="rId_hyperlink_5817" Type="http://schemas.openxmlformats.org/officeDocument/2006/relationships/hyperlink" Target="https://old.ukr-mobil.com/motor_koleso_zadnee_v_sbore_s_obodom_28_36v_500w_dlya_velosipeda_vtulka_10004714" TargetMode="External"/><Relationship Id="rId_hyperlink_5818" Type="http://schemas.openxmlformats.org/officeDocument/2006/relationships/hyperlink" Target="https://old.ukr-mobil.com/motor_koleso_zadnee_v_sbore_s_obodom_28_36v_500w_dlya_velosipeda_rezba_10004718" TargetMode="External"/><Relationship Id="rId_hyperlink_5819" Type="http://schemas.openxmlformats.org/officeDocument/2006/relationships/hyperlink" Target="https://old.ukr-mobil.com/motor_koleso_zadnee_36v_350w_dlya_velosipeda_vtulka_10004721" TargetMode="External"/><Relationship Id="rId_hyperlink_5820" Type="http://schemas.openxmlformats.org/officeDocument/2006/relationships/hyperlink" Target="https://old.ukr-mobil.com/motor_koleso_zadnee_36v_350w_dlya_velosipeda_rezba_10004720" TargetMode="External"/><Relationship Id="rId_hyperlink_5821" Type="http://schemas.openxmlformats.org/officeDocument/2006/relationships/hyperlink" Target="https://old.ukr-mobil.com/motor_koleso_zadnee_48v_500w_dlya_velosipeda_vtulka_10004723" TargetMode="External"/><Relationship Id="rId_hyperlink_5822" Type="http://schemas.openxmlformats.org/officeDocument/2006/relationships/hyperlink" Target="https://old.ukr-mobil.com/motor_koleso_zadnee_48v_500w_dlya_velosipeda_rezba_10004722" TargetMode="External"/><Relationship Id="rId_hyperlink_5823" Type="http://schemas.openxmlformats.org/officeDocument/2006/relationships/hyperlink" Target="https://old.ukr-mobil.com/motor_koleso_perednee_v_sbore_s_obodom_26_36v_350w_dlya_velosipeda_10004707" TargetMode="External"/><Relationship Id="rId_hyperlink_5824" Type="http://schemas.openxmlformats.org/officeDocument/2006/relationships/hyperlink" Target="https://old.ukr-mobil.com/motor_koleso_perednee_v_sbore_s_obodom_28_36v_350w_dlya_velosipeda_10004708" TargetMode="External"/><Relationship Id="rId_hyperlink_5825" Type="http://schemas.openxmlformats.org/officeDocument/2006/relationships/hyperlink" Target="https://old.ukr-mobil.com/motor_koleso_perednee_36v_350w_dlya_velosipeda_10004719" TargetMode="External"/><Relationship Id="rId_hyperlink_5826" Type="http://schemas.openxmlformats.org/officeDocument/2006/relationships/hyperlink" Target="https://old.ukr-mobil.com/akselerator_dlya_ehlektrotransporta_s_knopkoj_vklyucheniya_10003640" TargetMode="External"/><Relationship Id="rId_hyperlink_5827" Type="http://schemas.openxmlformats.org/officeDocument/2006/relationships/hyperlink" Target="https://old.ukr-mobil.com/voltmetr_dlya_ehlektrotransporta_s_zelenoj_led_podsvetkoj_10003639" TargetMode="External"/><Relationship Id="rId_hyperlink_5828" Type="http://schemas.openxmlformats.org/officeDocument/2006/relationships/hyperlink" Target="https://old.ukr-mobil.com/voltmetr_dlya_ehlektrotransporta_s_sinej_led_podsvetkoj_10003638" TargetMode="External"/><Relationship Id="rId_hyperlink_5829" Type="http://schemas.openxmlformats.org/officeDocument/2006/relationships/hyperlink" Target="https://old.ukr-mobil.com/zamok_vklyucheniya_dlya_ehlektricheskogo_transporta_10003627" TargetMode="External"/><Relationship Id="rId_hyperlink_5830" Type="http://schemas.openxmlformats.org/officeDocument/2006/relationships/hyperlink" Target="https://old.ukr-mobil.com/zamok_vklyucheniya_dlya_ehlektricheskogo_transporta_s_trekhstadijnoj_knopkoj_10003626" TargetMode="External"/><Relationship Id="rId_hyperlink_5831" Type="http://schemas.openxmlformats.org/officeDocument/2006/relationships/hyperlink" Target="https://old.ukr-mobil.com/zaryadnoe_ustrojstvo_dlya_usb_2a_10003663" TargetMode="External"/><Relationship Id="rId_hyperlink_5832" Type="http://schemas.openxmlformats.org/officeDocument/2006/relationships/hyperlink" Target="https://old.ukr-mobil.com/komplekt_kurka_gaza_dlya_ehlektrotransporta_s_zamkom_zazhiganiya_i_voltmetrom_10003629" TargetMode="External"/><Relationship Id="rId_hyperlink_5833" Type="http://schemas.openxmlformats.org/officeDocument/2006/relationships/hyperlink" Target="https://old.ukr-mobil.com/komplekt_ruchki_gaza_dlya_ehlektrotransporta_s_zamkom_zazhiganiya_i_voltmetrom_10003628" TargetMode="External"/><Relationship Id="rId_hyperlink_5834" Type="http://schemas.openxmlformats.org/officeDocument/2006/relationships/hyperlink" Target="https://old.ukr-mobil.com/komplekt_ruchki_gaza_s_zamkom_vklyucheniya_i_voltmetrom_krasnym_dlya_ehlektrotransporta_10003645" TargetMode="External"/><Relationship Id="rId_hyperlink_5835" Type="http://schemas.openxmlformats.org/officeDocument/2006/relationships/hyperlink" Target="https://old.ukr-mobil.com/komplekt_ruchki_gaza_s_zamkom_vklyucheniya_i_voltmetrom_sinim_dlya_ehlektrotransporta_10003644" TargetMode="External"/><Relationship Id="rId_hyperlink_5836" Type="http://schemas.openxmlformats.org/officeDocument/2006/relationships/hyperlink" Target="https://old.ukr-mobil.com/komplekt_ruchki_gaza_s_zamkom_vklyucheniya_i_voltmetrom_dlya_ehlektrotransporta_10003647" TargetMode="External"/><Relationship Id="rId_hyperlink_5837" Type="http://schemas.openxmlformats.org/officeDocument/2006/relationships/hyperlink" Target="https://old.ukr-mobil.com/komplekt_ruchki_gaza_s_zamkom_vklyucheniya_voltmetrom_i_knopkoj_na_3_polozheniya_dlya_ehlektrotransporta_10003646" TargetMode="External"/><Relationship Id="rId_hyperlink_5838" Type="http://schemas.openxmlformats.org/officeDocument/2006/relationships/hyperlink" Target="https://old.ukr-mobil.com/komplekt_ruchki_gaza_s_knopkoj_vklyucheniya_dlya_ehlektrotransporta_10003641" TargetMode="External"/><Relationship Id="rId_hyperlink_5839" Type="http://schemas.openxmlformats.org/officeDocument/2006/relationships/hyperlink" Target="https://old.ukr-mobil.com/komplekt_ruchki_gaza_s_knopkoj_vklyucheniya_i_knopkoj_bez_fiksacii_dlya_ehlektrotransporta_10003643" TargetMode="External"/><Relationship Id="rId_hyperlink_5840" Type="http://schemas.openxmlformats.org/officeDocument/2006/relationships/hyperlink" Target="https://old.ukr-mobil.com/komplekt_ruchki_gaza_s_knopkoj_vklyucheniya_na_3_polozheniya_i_knopkoj_bez_fiksacii_dlya_ehlektrotransporta_10003642" TargetMode="External"/><Relationship Id="rId_hyperlink_5841" Type="http://schemas.openxmlformats.org/officeDocument/2006/relationships/hyperlink" Target="https://old.ukr-mobil.com/kurok_akseleratora_300h_dlya_ehlektrotransporta_10003660" TargetMode="External"/><Relationship Id="rId_hyperlink_5842" Type="http://schemas.openxmlformats.org/officeDocument/2006/relationships/hyperlink" Target="https://old.ukr-mobil.com/kurok_akseleratora_lh_108x_dlya_ehlektrotransporta_10003661" TargetMode="External"/><Relationship Id="rId_hyperlink_5843" Type="http://schemas.openxmlformats.org/officeDocument/2006/relationships/hyperlink" Target="https://old.ukr-mobil.com/kurok_akseleratora_rh_108x_dlya_ehlektrotransporta_10003662" TargetMode="External"/><Relationship Id="rId_hyperlink_5844" Type="http://schemas.openxmlformats.org/officeDocument/2006/relationships/hyperlink" Target="https://old.ukr-mobil.com/kurok_gaza_dlya_ehlektrotransporta_na_36v_osnashchen_zamkom_zapuska_indikatorom_sostoyaniya_i_knopkoj_10003631" TargetMode="External"/><Relationship Id="rId_hyperlink_5845" Type="http://schemas.openxmlformats.org/officeDocument/2006/relationships/hyperlink" Target="https://old.ukr-mobil.com/kurok_gaza_dlya_ehlektrotransporta_na_36v_osnashchen_indikatorom_i_knopkoj_bez_fiksacii_10003635" TargetMode="External"/><Relationship Id="rId_hyperlink_5846" Type="http://schemas.openxmlformats.org/officeDocument/2006/relationships/hyperlink" Target="https://old.ukr-mobil.com/kurok_gaza_dlya_ehlektrotransporta_na_36v_osnashchen_indikatorom_i_knopkoj_vklyucheniya_10003637" TargetMode="External"/><Relationship Id="rId_hyperlink_5847" Type="http://schemas.openxmlformats.org/officeDocument/2006/relationships/hyperlink" Target="https://old.ukr-mobil.com/kurok_gaza_dlya_ehlektrotransporta_na_48v_osnashchen_zamkom_zapuska_indikatorom_sostoyaniya_i_knopkoj_10003630" TargetMode="External"/><Relationship Id="rId_hyperlink_5848" Type="http://schemas.openxmlformats.org/officeDocument/2006/relationships/hyperlink" Target="https://old.ukr-mobil.com/kurok_gaza_dlya_ehlektrotransporta_na_48v_osnashchen_indikatorom_i_knopkoj_bez_fiksacii_10003634" TargetMode="External"/><Relationship Id="rId_hyperlink_5849" Type="http://schemas.openxmlformats.org/officeDocument/2006/relationships/hyperlink" Target="https://old.ukr-mobil.com/kurok_gaza_dlya_ehlektrotransporta_na_48v_osnashchen_indikatorom_i_knopkoj_vklyucheniya_10003636" TargetMode="External"/><Relationship Id="rId_hyperlink_5850" Type="http://schemas.openxmlformats.org/officeDocument/2006/relationships/hyperlink" Target="https://old.ukr-mobil.com/mnogofunkcionalnaya_knopka_vklyucheniya_s_trekhpozicionnym_regulyatorom_10003624" TargetMode="External"/><Relationship Id="rId_hyperlink_5851" Type="http://schemas.openxmlformats.org/officeDocument/2006/relationships/hyperlink" Target="https://old.ukr-mobil.com/ruchka_gaza_dlya_ehlektrotransporta_na_36v_osnashchen_zamkom_zapuska_indikatorom_sostoyaniya_10003633" TargetMode="External"/><Relationship Id="rId_hyperlink_5852" Type="http://schemas.openxmlformats.org/officeDocument/2006/relationships/hyperlink" Target="https://old.ukr-mobil.com/ruchka_gaza_dlya_ehlektrotransporta_na_48v_osnashchen_zamkom_zapuska_indikatorom_sostoyaniya_10003632" TargetMode="External"/><Relationship Id="rId_hyperlink_5853" Type="http://schemas.openxmlformats.org/officeDocument/2006/relationships/hyperlink" Target="https://old.ukr-mobil.com/tormoznoj_datchik_dlya_ehlektrotransporta_10003655" TargetMode="External"/><Relationship Id="rId_hyperlink_5854" Type="http://schemas.openxmlformats.org/officeDocument/2006/relationships/hyperlink" Target="https://old.ukr-mobil.com/index.php?route=product&amp;product_id=10004868" TargetMode="External"/><Relationship Id="rId_hyperlink_5855" Type="http://schemas.openxmlformats.org/officeDocument/2006/relationships/hyperlink" Target="https://old.ukr-mobil.com/usilitel_dropautov_12-14_mm_10003664" TargetMode="External"/><Relationship Id="rId_hyperlink_5856" Type="http://schemas.openxmlformats.org/officeDocument/2006/relationships/hyperlink" Target="https://old.ukr-mobil.com/usilitel_dropautov_16_mm_10003665" TargetMode="External"/><Relationship Id="rId_hyperlink_5857" Type="http://schemas.openxmlformats.org/officeDocument/2006/relationships/hyperlink" Target="https://old.ukr-mobil.com/index.php?route=product&amp;product_id=10006183" TargetMode="External"/><Relationship Id="rId_hyperlink_5858" Type="http://schemas.openxmlformats.org/officeDocument/2006/relationships/hyperlink" Target="https://old.ukr-mobil.com/analizator_spektra_chastot_tinysa_ultra_0_1_mhz_5_3_ghz_10005638" TargetMode="External"/><Relationship Id="rId_hyperlink_5859" Type="http://schemas.openxmlformats.org/officeDocument/2006/relationships/hyperlink" Target="https://old.ukr-mobil.com/index.php?route=product&amp;product_id=10005856" TargetMode="External"/><Relationship Id="rId_hyperlink_5860" Type="http://schemas.openxmlformats.org/officeDocument/2006/relationships/hyperlink" Target="https://old.ukr-mobil.com/vektornyj_analizator_litevna_64_50_khz_6_3_ghz_10005093" TargetMode="External"/><Relationship Id="rId_hyperlink_5861" Type="http://schemas.openxmlformats.org/officeDocument/2006/relationships/hyperlink" Target="https://old.ukr-mobil.com/vektornyj_analizator_nano_vna-fv3_1_mgc-6_ggc_10005094" TargetMode="External"/><Relationship Id="rId_hyperlink_5862" Type="http://schemas.openxmlformats.org/officeDocument/2006/relationships/hyperlink" Target="https://old.ukr-mobil.com/index.php?route=product&amp;product_id=10005801" TargetMode="External"/><Relationship Id="rId_hyperlink_5863" Type="http://schemas.openxmlformats.org/officeDocument/2006/relationships/hyperlink" Target="https://old.ukr-mobil.com/index.php?route=product&amp;product_id=10006181" TargetMode="External"/><Relationship Id="rId_hyperlink_5864" Type="http://schemas.openxmlformats.org/officeDocument/2006/relationships/hyperlink" Target="https://old.ukr-mobil.com/index.php?route=product&amp;product_id=10005897" TargetMode="External"/><Relationship Id="rId_hyperlink_5865" Type="http://schemas.openxmlformats.org/officeDocument/2006/relationships/hyperlink" Target="https://old.ukr-mobil.com/index.php?route=product&amp;product_id=10005099" TargetMode="External"/><Relationship Id="rId_hyperlink_5866" Type="http://schemas.openxmlformats.org/officeDocument/2006/relationships/hyperlink" Target="https://old.ukr-mobil.com/index.php?route=product&amp;product_id=10005100" TargetMode="External"/><Relationship Id="rId_hyperlink_5867" Type="http://schemas.openxmlformats.org/officeDocument/2006/relationships/hyperlink" Target="https://old.ukr-mobil.com/index.php?route=product&amp;product_id=10005491" TargetMode="External"/><Relationship Id="rId_hyperlink_5868" Type="http://schemas.openxmlformats.org/officeDocument/2006/relationships/hyperlink" Target="https://old.ukr-mobil.com/index.php?route=product&amp;product_id=10005902" TargetMode="External"/><Relationship Id="rId_hyperlink_5869" Type="http://schemas.openxmlformats.org/officeDocument/2006/relationships/hyperlink" Target="https://old.ukr-mobil.com/preobrazovatel_napryazheniya_povyshayushchij_dc-dc_8-32v_na_50-390v_10005085" TargetMode="External"/><Relationship Id="rId_hyperlink_5870" Type="http://schemas.openxmlformats.org/officeDocument/2006/relationships/hyperlink" Target="https://old.ukr-mobil.com/index.php?route=product&amp;product_id=10006182" TargetMode="External"/><Relationship Id="rId_hyperlink_5871" Type="http://schemas.openxmlformats.org/officeDocument/2006/relationships/hyperlink" Target="https://old.ukr-mobil.com/index.php?route=product&amp;product_id=10005720" TargetMode="External"/><Relationship Id="rId_hyperlink_5872" Type="http://schemas.openxmlformats.org/officeDocument/2006/relationships/hyperlink" Target="https://old.ukr-mobil.com/index.php?route=product&amp;product_id=10005684" TargetMode="External"/><Relationship Id="rId_hyperlink_5873" Type="http://schemas.openxmlformats.org/officeDocument/2006/relationships/hyperlink" Target="https://old.ukr-mobil.com/index.php?route=product&amp;product_id=10005682" TargetMode="External"/><Relationship Id="rId_hyperlink_5874" Type="http://schemas.openxmlformats.org/officeDocument/2006/relationships/hyperlink" Target="https://old.ukr-mobil.com/index.php?route=product&amp;product_id=10005681" TargetMode="External"/><Relationship Id="rId_hyperlink_5875" Type="http://schemas.openxmlformats.org/officeDocument/2006/relationships/hyperlink" Target="https://old.ukr-mobil.com/index.php?route=product&amp;product_id=10005686" TargetMode="External"/><Relationship Id="rId_hyperlink_5876" Type="http://schemas.openxmlformats.org/officeDocument/2006/relationships/hyperlink" Target="https://old.ukr-mobil.com/index.php?route=product&amp;product_id=10005679" TargetMode="External"/><Relationship Id="rId_hyperlink_5877" Type="http://schemas.openxmlformats.org/officeDocument/2006/relationships/hyperlink" Target="https://old.ukr-mobil.com/index.php?route=product&amp;product_id=10005680" TargetMode="External"/><Relationship Id="rId_hyperlink_5878" Type="http://schemas.openxmlformats.org/officeDocument/2006/relationships/hyperlink" Target="https://old.ukr-mobil.com/index.php?route=product&amp;product_id=10005683" TargetMode="External"/><Relationship Id="rId_hyperlink_5879" Type="http://schemas.openxmlformats.org/officeDocument/2006/relationships/hyperlink" Target="https://old.ukr-mobil.com/index.php?route=product&amp;product_id=10005685" TargetMode="External"/><Relationship Id="rId_hyperlink_5880" Type="http://schemas.openxmlformats.org/officeDocument/2006/relationships/hyperlink" Target="https://old.ukr-mobil.com/index.php?route=product&amp;product_id=10005670" TargetMode="External"/><Relationship Id="rId_hyperlink_5881" Type="http://schemas.openxmlformats.org/officeDocument/2006/relationships/hyperlink" Target="https://old.ukr-mobil.com/index.php?route=product&amp;product_id=10005687" TargetMode="External"/><Relationship Id="rId_hyperlink_5882" Type="http://schemas.openxmlformats.org/officeDocument/2006/relationships/hyperlink" Target="https://old.ukr-mobil.com/index.php?route=product&amp;product_id=10005689" TargetMode="External"/><Relationship Id="rId_hyperlink_5883" Type="http://schemas.openxmlformats.org/officeDocument/2006/relationships/hyperlink" Target="https://old.ukr-mobil.com/index.php?route=product&amp;product_id=10005688" TargetMode="External"/><Relationship Id="rId_hyperlink_5884" Type="http://schemas.openxmlformats.org/officeDocument/2006/relationships/hyperlink" Target="https://old.ukr-mobil.com/index.php?route=product&amp;product_id=10005690" TargetMode="External"/><Relationship Id="rId_hyperlink_5885" Type="http://schemas.openxmlformats.org/officeDocument/2006/relationships/hyperlink" Target="https://old.ukr-mobil.com/index.php?route=product&amp;product_id=10005603" TargetMode="External"/><Relationship Id="rId_hyperlink_5886" Type="http://schemas.openxmlformats.org/officeDocument/2006/relationships/hyperlink" Target="https://old.ukr-mobil.com/index.php?route=product&amp;product_id=10005098" TargetMode="External"/><Relationship Id="rId_hyperlink_5887" Type="http://schemas.openxmlformats.org/officeDocument/2006/relationships/hyperlink" Target="https://old.ukr-mobil.com/index.php?route=product&amp;product_id=10005596" TargetMode="External"/><Relationship Id="rId_hyperlink_5888" Type="http://schemas.openxmlformats.org/officeDocument/2006/relationships/hyperlink" Target="https://old.ukr-mobil.com/antenna_vsenapravlennaya_1_2_ghz_1170-1280_mhz_100w_3-8_dbi_25_mm_60_sm_n-j_dlya_jamming_oborudovaniya_10005453" TargetMode="External"/><Relationship Id="rId_hyperlink_5889" Type="http://schemas.openxmlformats.org/officeDocument/2006/relationships/hyperlink" Target="https://old.ukr-mobil.com/index.php?route=product&amp;product_id=10005620" TargetMode="External"/><Relationship Id="rId_hyperlink_5890" Type="http://schemas.openxmlformats.org/officeDocument/2006/relationships/hyperlink" Target="https://old.ukr-mobil.com/antenna_vsenapravlennaya_1_5_ghz_1550-1620_mhz_100w_3-6_dbi_20_mm_60_sm_n-j_dlya_jamming_oborudovaniya_10005316" TargetMode="External"/><Relationship Id="rId_hyperlink_5891" Type="http://schemas.openxmlformats.org/officeDocument/2006/relationships/hyperlink" Target="https://old.ukr-mobil.com/index.php?route=product&amp;product_id=10005597" TargetMode="External"/><Relationship Id="rId_hyperlink_5892" Type="http://schemas.openxmlformats.org/officeDocument/2006/relationships/hyperlink" Target="https://old.ukr-mobil.com/antenna_vsenapravlennaya_1_5_ghz_1550-1620_mhz_100w_3-8_dbi_25_mm_60_sm_n-j_dlya_jamming_oborudovaniya_10005095" TargetMode="External"/><Relationship Id="rId_hyperlink_5893" Type="http://schemas.openxmlformats.org/officeDocument/2006/relationships/hyperlink" Target="https://old.ukr-mobil.com/antenna_vsenapravlennaya_1_5_ghz_1550-1620_mhz_100w_5-7_dbi_32_mm_60_sm_n-j_dlya_jamming_oborudovaniya_10005433" TargetMode="External"/><Relationship Id="rId_hyperlink_5894" Type="http://schemas.openxmlformats.org/officeDocument/2006/relationships/hyperlink" Target="https://old.ukr-mobil.com/index.php?route=product&amp;product_id=10005616" TargetMode="External"/><Relationship Id="rId_hyperlink_5895" Type="http://schemas.openxmlformats.org/officeDocument/2006/relationships/hyperlink" Target="https://old.ukr-mobil.com/antenna_vsenapravlennaya_1_5_ghz_1550-1620_mhz_50w_3-5_dbi_20_mm_60_sm_n-j_dlya_jamming_oborudovaniya_10005311" TargetMode="External"/><Relationship Id="rId_hyperlink_5896" Type="http://schemas.openxmlformats.org/officeDocument/2006/relationships/hyperlink" Target="https://old.ukr-mobil.com/antenna_vsenapravlennaya_1_5_ghz_1550-1620_mhz_50w_3-7_dbi_25_mm_60_sm_n-j_dlya_jamming_oborudovaniya_10005313" TargetMode="External"/><Relationship Id="rId_hyperlink_5897" Type="http://schemas.openxmlformats.org/officeDocument/2006/relationships/hyperlink" Target="https://old.ukr-mobil.com/antenna_vsenapravlennaya_1_5_ghz_1550-1620_mhz_50w_5-7_dbi_32_mm_60_sm_n-j_dlya_jamming_oborudovaniya_10005428" TargetMode="External"/><Relationship Id="rId_hyperlink_5898" Type="http://schemas.openxmlformats.org/officeDocument/2006/relationships/hyperlink" Target="https://old.ukr-mobil.com/antenna_vsenapravlennaya_2_4_ghz_2400-2500_mhz_100w_3-6_dbi_20_mm_60_sm_n-j_dlya_jamming_oborudovaniya_10005028" TargetMode="External"/><Relationship Id="rId_hyperlink_5899" Type="http://schemas.openxmlformats.org/officeDocument/2006/relationships/hyperlink" Target="https://old.ukr-mobil.com/index.php?route=product&amp;product_id=10005598" TargetMode="External"/><Relationship Id="rId_hyperlink_5900" Type="http://schemas.openxmlformats.org/officeDocument/2006/relationships/hyperlink" Target="https://old.ukr-mobil.com/antenna_vsenapravlennaya_2_4_ghz_2400-2500_mhz_100w_3-8_dbi_25_mm_60_sm_n-j_dlya_jamming_oborudovaniya_10005024" TargetMode="External"/><Relationship Id="rId_hyperlink_5901" Type="http://schemas.openxmlformats.org/officeDocument/2006/relationships/hyperlink" Target="https://old.ukr-mobil.com/index.php?route=product&amp;product_id=10005617" TargetMode="External"/><Relationship Id="rId_hyperlink_5902" Type="http://schemas.openxmlformats.org/officeDocument/2006/relationships/hyperlink" Target="https://old.ukr-mobil.com/antenna_vsenapravlennaya_2_4_ghz_2400-2500_mhz_100w_5-7_dbi_32_mm_60_sm_n-j_dlya_jamming_oborudovaniya_10005434" TargetMode="External"/><Relationship Id="rId_hyperlink_5903" Type="http://schemas.openxmlformats.org/officeDocument/2006/relationships/hyperlink" Target="https://old.ukr-mobil.com/index.php?route=product&amp;product_id=10005703" TargetMode="External"/><Relationship Id="rId_hyperlink_5904" Type="http://schemas.openxmlformats.org/officeDocument/2006/relationships/hyperlink" Target="https://old.ukr-mobil.com/antenna_vsenapravlennaya_2_4_ghz_2400-2500_mhz_50w_3-5_dbi_20_mm_60_sm_n-j_dlya_jamming_oborudovaniya_10005314" TargetMode="External"/><Relationship Id="rId_hyperlink_5905" Type="http://schemas.openxmlformats.org/officeDocument/2006/relationships/hyperlink" Target="https://old.ukr-mobil.com/antenna_vsenapravlennaya_2_4_ghz_2400-2500_mhz_50w_3-7_dbi_25_mm_60_sm_n-j_dlya_jamming_oborudovaniya_10005315" TargetMode="External"/><Relationship Id="rId_hyperlink_5906" Type="http://schemas.openxmlformats.org/officeDocument/2006/relationships/hyperlink" Target="https://old.ukr-mobil.com/antenna_vsenapravlennaya_2_4_ghz_2400-2500_mhz_50w_5-7_dbi_32_mm_60_sm_n-j_dlya_jamming_oborudovaniya_10005429" TargetMode="External"/><Relationship Id="rId_hyperlink_5907" Type="http://schemas.openxmlformats.org/officeDocument/2006/relationships/hyperlink" Target="https://old.ukr-mobil.com/index.php?route=product&amp;product_id=10006009" TargetMode="External"/><Relationship Id="rId_hyperlink_5908" Type="http://schemas.openxmlformats.org/officeDocument/2006/relationships/hyperlink" Target="https://old.ukr-mobil.com/index.php?route=product&amp;product_id=10005940" TargetMode="External"/><Relationship Id="rId_hyperlink_5909" Type="http://schemas.openxmlformats.org/officeDocument/2006/relationships/hyperlink" Target="https://old.ukr-mobil.com/index.php?route=product&amp;product_id=10006021" TargetMode="External"/><Relationship Id="rId_hyperlink_5910" Type="http://schemas.openxmlformats.org/officeDocument/2006/relationships/hyperlink" Target="https://old.ukr-mobil.com/index.php?route=product&amp;product_id=10005939" TargetMode="External"/><Relationship Id="rId_hyperlink_5911" Type="http://schemas.openxmlformats.org/officeDocument/2006/relationships/hyperlink" Target="https://old.ukr-mobil.com/index.php?route=product&amp;product_id=10006010" TargetMode="External"/><Relationship Id="rId_hyperlink_5912" Type="http://schemas.openxmlformats.org/officeDocument/2006/relationships/hyperlink" Target="https://old.ukr-mobil.com/index.php?route=product&amp;product_id=10005594" TargetMode="External"/><Relationship Id="rId_hyperlink_5913" Type="http://schemas.openxmlformats.org/officeDocument/2006/relationships/hyperlink" Target="https://old.ukr-mobil.com/index.php?route=product&amp;product_id=10005623" TargetMode="External"/><Relationship Id="rId_hyperlink_5914" Type="http://schemas.openxmlformats.org/officeDocument/2006/relationships/hyperlink" Target="https://old.ukr-mobil.com/index.php?route=product&amp;product_id=10005593" TargetMode="External"/><Relationship Id="rId_hyperlink_5915" Type="http://schemas.openxmlformats.org/officeDocument/2006/relationships/hyperlink" Target="https://old.ukr-mobil.com/antenna_vsenapravlennaya_5_2_ghz_5150-5350_mhz_100w_3-6_dbi_20_mm_60_sm_n-j_dlya_jamming_oborudovaniya_10005096" TargetMode="External"/><Relationship Id="rId_hyperlink_5916" Type="http://schemas.openxmlformats.org/officeDocument/2006/relationships/hyperlink" Target="https://old.ukr-mobil.com/index.php?route=product&amp;product_id=10005599" TargetMode="External"/><Relationship Id="rId_hyperlink_5917" Type="http://schemas.openxmlformats.org/officeDocument/2006/relationships/hyperlink" Target="https://old.ukr-mobil.com/antenna_vsenapravlennaya_5_2_ghz_5150-5350_mhz_100w_3-8_dbi_25_mm_60_sm_n-j_dlya_jamming_oborudovaniya_10005383" TargetMode="External"/><Relationship Id="rId_hyperlink_5918" Type="http://schemas.openxmlformats.org/officeDocument/2006/relationships/hyperlink" Target="https://old.ukr-mobil.com/antenna_vsenapravlennaya_5_2_ghz_5150-5350_mhz_100w_5-7_dbi_32_mm_60_sm_n-j_dlya_jamming_oborudovaniya_10005435" TargetMode="External"/><Relationship Id="rId_hyperlink_5919" Type="http://schemas.openxmlformats.org/officeDocument/2006/relationships/hyperlink" Target="https://old.ukr-mobil.com/index.php?route=product&amp;product_id=10005618" TargetMode="External"/><Relationship Id="rId_hyperlink_5920" Type="http://schemas.openxmlformats.org/officeDocument/2006/relationships/hyperlink" Target="https://old.ukr-mobil.com/antenna_vsenapravlennaya_5_2_ghz_5150-5350_mhz_50w_3-5_dbi_20_mm_60_sm_n-j_dlya_jamming_oborudovaniya_10005384" TargetMode="External"/><Relationship Id="rId_hyperlink_5921" Type="http://schemas.openxmlformats.org/officeDocument/2006/relationships/hyperlink" Target="https://old.ukr-mobil.com/antenna_vsenapravlennaya_5_2_ghz_5150-5350_mhz_50w_3-7_dbi_25_mm_60_sm_n-j_dlya_jamming_oborudovaniya_10005388" TargetMode="External"/><Relationship Id="rId_hyperlink_5922" Type="http://schemas.openxmlformats.org/officeDocument/2006/relationships/hyperlink" Target="https://old.ukr-mobil.com/antenna_vsenapravlennaya_5_2_ghz_5150-5350_mhz_50w_5-7_dbi_32_mm_60_sm_n-j_dlya_jamming_oborudovaniya_10005430" TargetMode="External"/><Relationship Id="rId_hyperlink_5923" Type="http://schemas.openxmlformats.org/officeDocument/2006/relationships/hyperlink" Target="https://old.ukr-mobil.com/antenna_vsenapravlennaya_5_8_ghz_5725-5850_mhz_100w_3-6_dbi_20_mm_60_sm_n-j_dlya_jamming_oborudovaniya_10005027" TargetMode="External"/><Relationship Id="rId_hyperlink_5924" Type="http://schemas.openxmlformats.org/officeDocument/2006/relationships/hyperlink" Target="https://old.ukr-mobil.com/index.php?route=product&amp;product_id=10005600" TargetMode="External"/><Relationship Id="rId_hyperlink_5925" Type="http://schemas.openxmlformats.org/officeDocument/2006/relationships/hyperlink" Target="https://old.ukr-mobil.com/antenna_vsenapravlennaya_5_8_ghz_5725-5850_mhz_100w_3-8_dbi_25_mm_60_sm_n-j_dlya_jamming_oborudovaniya_10005386" TargetMode="External"/><Relationship Id="rId_hyperlink_5926" Type="http://schemas.openxmlformats.org/officeDocument/2006/relationships/hyperlink" Target="https://old.ukr-mobil.com/antenna_vsenapravlennaya_5_8_ghz_5725-5850_mhz_100w_5-7_dbi_32_mm_60_sm_n-j_dlya_jamming_oborudovaniya_10005437" TargetMode="External"/><Relationship Id="rId_hyperlink_5927" Type="http://schemas.openxmlformats.org/officeDocument/2006/relationships/hyperlink" Target="https://old.ukr-mobil.com/index.php?route=product&amp;product_id=10005619" TargetMode="External"/><Relationship Id="rId_hyperlink_5928" Type="http://schemas.openxmlformats.org/officeDocument/2006/relationships/hyperlink" Target="https://old.ukr-mobil.com/index.php?route=product&amp;product_id=10005704" TargetMode="External"/><Relationship Id="rId_hyperlink_5929" Type="http://schemas.openxmlformats.org/officeDocument/2006/relationships/hyperlink" Target="https://old.ukr-mobil.com/antenna_vsenapravlennaya_5_8_ghz_5725-5850_mhz_50w_3-5_dbi_20_mm_60_sm_n-j_dlya_jamming_oborudovaniya_10005391" TargetMode="External"/><Relationship Id="rId_hyperlink_5930" Type="http://schemas.openxmlformats.org/officeDocument/2006/relationships/hyperlink" Target="https://old.ukr-mobil.com/antenna_vsenapravlennaya_5_8_ghz_5725-5850_mhz_50w_3-7_dbi_25_mm_60_sm_n-j_dlya_jamming_oborudovaniya_10005023" TargetMode="External"/><Relationship Id="rId_hyperlink_5931" Type="http://schemas.openxmlformats.org/officeDocument/2006/relationships/hyperlink" Target="https://old.ukr-mobil.com/antenna_vsenapravlennaya_5_8_ghz_5725-5850_mhz_50w_5-7_dbi_32_mm_60_sm_n-j_dlya_jamming_oborudovaniya_10005431" TargetMode="External"/><Relationship Id="rId_hyperlink_5932" Type="http://schemas.openxmlformats.org/officeDocument/2006/relationships/hyperlink" Target="https://old.ukr-mobil.com/index.php?route=product&amp;product_id=10005809" TargetMode="External"/><Relationship Id="rId_hyperlink_5933" Type="http://schemas.openxmlformats.org/officeDocument/2006/relationships/hyperlink" Target="https://old.ukr-mobil.com/index.php?route=product&amp;product_id=10005936" TargetMode="External"/><Relationship Id="rId_hyperlink_5934" Type="http://schemas.openxmlformats.org/officeDocument/2006/relationships/hyperlink" Target="https://old.ukr-mobil.com/index.php?route=product&amp;product_id=10005692" TargetMode="External"/><Relationship Id="rId_hyperlink_5935" Type="http://schemas.openxmlformats.org/officeDocument/2006/relationships/hyperlink" Target="https://old.ukr-mobil.com/index.php?route=product&amp;product_id=10005693" TargetMode="External"/><Relationship Id="rId_hyperlink_5936" Type="http://schemas.openxmlformats.org/officeDocument/2006/relationships/hyperlink" Target="https://old.ukr-mobil.com/index.php?route=product&amp;product_id=10005694" TargetMode="External"/><Relationship Id="rId_hyperlink_5937" Type="http://schemas.openxmlformats.org/officeDocument/2006/relationships/hyperlink" Target="https://old.ukr-mobil.com/antenna_vsenapravlennaya_700-800_mhz_100w_3-8_dbi_25_mm_60_sm_n-j_dlya_jamming_oborudovaniya_10005555" TargetMode="External"/><Relationship Id="rId_hyperlink_5938" Type="http://schemas.openxmlformats.org/officeDocument/2006/relationships/hyperlink" Target="https://old.ukr-mobil.com/antenna_vsenapravlennaya_700-800_mhz_50w_3-5_dbi_20_mm_60_sm_n-j_dlya_jamming_oborudovaniya_10005553" TargetMode="External"/><Relationship Id="rId_hyperlink_5939" Type="http://schemas.openxmlformats.org/officeDocument/2006/relationships/hyperlink" Target="https://old.ukr-mobil.com/index.php?route=product&amp;product_id=10005697" TargetMode="External"/><Relationship Id="rId_hyperlink_5940" Type="http://schemas.openxmlformats.org/officeDocument/2006/relationships/hyperlink" Target="https://old.ukr-mobil.com/index.php?route=product&amp;product_id=10005937" TargetMode="External"/><Relationship Id="rId_hyperlink_5941" Type="http://schemas.openxmlformats.org/officeDocument/2006/relationships/hyperlink" Target="https://old.ukr-mobil.com/index.php?route=product&amp;product_id=10005601" TargetMode="External"/><Relationship Id="rId_hyperlink_5942" Type="http://schemas.openxmlformats.org/officeDocument/2006/relationships/hyperlink" Target="https://old.ukr-mobil.com/antenna_vsenapravlennaya_720-850_mhz_100w_3-8_dbi_25_mm_60_sm_n-j_dlya_jamming_oborudovaniya_10005392" TargetMode="External"/><Relationship Id="rId_hyperlink_5943" Type="http://schemas.openxmlformats.org/officeDocument/2006/relationships/hyperlink" Target="https://old.ukr-mobil.com/index.php?route=product&amp;product_id=10005624" TargetMode="External"/><Relationship Id="rId_hyperlink_5944" Type="http://schemas.openxmlformats.org/officeDocument/2006/relationships/hyperlink" Target="https://old.ukr-mobil.com/index.php?route=product&amp;product_id=10005632" TargetMode="External"/><Relationship Id="rId_hyperlink_5945" Type="http://schemas.openxmlformats.org/officeDocument/2006/relationships/hyperlink" Target="https://old.ukr-mobil.com/index.php?route=product&amp;product_id=10005700" TargetMode="External"/><Relationship Id="rId_hyperlink_5946" Type="http://schemas.openxmlformats.org/officeDocument/2006/relationships/hyperlink" Target="https://old.ukr-mobil.com/index.php?route=product&amp;product_id=10005701" TargetMode="External"/><Relationship Id="rId_hyperlink_5947" Type="http://schemas.openxmlformats.org/officeDocument/2006/relationships/hyperlink" Target="https://old.ukr-mobil.com/antenna_vsenapravlennaya_800-900_mhz_50w_3-5_dbi_20_mm_60_sm_n-j_dlya_jamming_oborudovaniya_10005556" TargetMode="External"/><Relationship Id="rId_hyperlink_5948" Type="http://schemas.openxmlformats.org/officeDocument/2006/relationships/hyperlink" Target="https://old.ukr-mobil.com/index.php?route=product&amp;product_id=10005699" TargetMode="External"/><Relationship Id="rId_hyperlink_5949" Type="http://schemas.openxmlformats.org/officeDocument/2006/relationships/hyperlink" Target="https://old.ukr-mobil.com/index.php?route=product&amp;product_id=10005901" TargetMode="External"/><Relationship Id="rId_hyperlink_5950" Type="http://schemas.openxmlformats.org/officeDocument/2006/relationships/hyperlink" Target="https://old.ukr-mobil.com/index.php?route=product&amp;product_id=10005938" TargetMode="External"/><Relationship Id="rId_hyperlink_5951" Type="http://schemas.openxmlformats.org/officeDocument/2006/relationships/hyperlink" Target="https://old.ukr-mobil.com/antenna_vsenapravlennaya_900_mhz_860-930_mhz_100w_3-6_dbi_20_mm_60_sm_n-j_dlya_jamming_oborudovaniya_10005026" TargetMode="External"/><Relationship Id="rId_hyperlink_5952" Type="http://schemas.openxmlformats.org/officeDocument/2006/relationships/hyperlink" Target="https://old.ukr-mobil.com/antenna_vsenapravlennaya_900_mhz_860-930_mhz_100w_3-8_dbi_25_mm_60_sm_n-j_dlya_jamming_oborudovaniya_10005025" TargetMode="External"/><Relationship Id="rId_hyperlink_5953" Type="http://schemas.openxmlformats.org/officeDocument/2006/relationships/hyperlink" Target="https://old.ukr-mobil.com/index.php?route=product&amp;product_id=10005595" TargetMode="External"/><Relationship Id="rId_hyperlink_5954" Type="http://schemas.openxmlformats.org/officeDocument/2006/relationships/hyperlink" Target="https://old.ukr-mobil.com/antenna_vsenapravlennaya_900_mhz_860-930_mhz_100w_5-7_dbi_32_mm_60_sm_n-j_dlya_jamming_oborudovaniya_10005432" TargetMode="External"/><Relationship Id="rId_hyperlink_5955" Type="http://schemas.openxmlformats.org/officeDocument/2006/relationships/hyperlink" Target="https://old.ukr-mobil.com/index.php?route=product&amp;product_id=10005622" TargetMode="External"/><Relationship Id="rId_hyperlink_5956" Type="http://schemas.openxmlformats.org/officeDocument/2006/relationships/hyperlink" Target="https://old.ukr-mobil.com/antenna_vsenapravlennaya_900_mhz_860-930_mhz_50w_3-5_dbi_20_mm_60_sm_n-j_dlya_jamming_oborudovaniya_10005385" TargetMode="External"/><Relationship Id="rId_hyperlink_5957" Type="http://schemas.openxmlformats.org/officeDocument/2006/relationships/hyperlink" Target="https://old.ukr-mobil.com/antenna_vsenapravlennaya_900_mhz_860-930_mhz_50w_5-7_dbi_32_mm_60_sm_n-j_dlya_jamming_oborudovaniya_10005394" TargetMode="External"/><Relationship Id="rId_hyperlink_5958" Type="http://schemas.openxmlformats.org/officeDocument/2006/relationships/hyperlink" Target="https://old.ukr-mobil.com/index.php?route=product&amp;product_id=10005696" TargetMode="External"/><Relationship Id="rId_hyperlink_5959" Type="http://schemas.openxmlformats.org/officeDocument/2006/relationships/hyperlink" Target="https://old.ukr-mobil.com/index.php?route=product&amp;product_id=10005702" TargetMode="External"/><Relationship Id="rId_hyperlink_5960" Type="http://schemas.openxmlformats.org/officeDocument/2006/relationships/hyperlink" Target="https://old.ukr-mobil.com/antenna_vsenapravlennaya_900-1050_mhz_50w_3-5_dbi_20_mm_60_sm_n-j_dlya_jamming_oborudovaniya_10005557" TargetMode="External"/><Relationship Id="rId_hyperlink_5961" Type="http://schemas.openxmlformats.org/officeDocument/2006/relationships/hyperlink" Target="https://old.ukr-mobil.com/index.php?route=product&amp;product_id=10005698" TargetMode="External"/><Relationship Id="rId_hyperlink_5962" Type="http://schemas.openxmlformats.org/officeDocument/2006/relationships/hyperlink" Target="https://old.ukr-mobil.com/index.php?route=product&amp;product_id=10005602" TargetMode="External"/><Relationship Id="rId_hyperlink_5963" Type="http://schemas.openxmlformats.org/officeDocument/2006/relationships/hyperlink" Target="https://old.ukr-mobil.com/antenna_vsenapravlennaya_970-1100_mhz_100w_3-8_dbi_25_mm_60_sm_n-j_dlya_jamming_oborudovaniya_10005393" TargetMode="External"/><Relationship Id="rId_hyperlink_5964" Type="http://schemas.openxmlformats.org/officeDocument/2006/relationships/hyperlink" Target="https://old.ukr-mobil.com/index.php?route=product&amp;product_id=10005621" TargetMode="External"/><Relationship Id="rId_hyperlink_5965" Type="http://schemas.openxmlformats.org/officeDocument/2006/relationships/hyperlink" Target="https://old.ukr-mobil.com/index.php?route=product&amp;product_id=10005705" TargetMode="External"/><Relationship Id="rId_hyperlink_5966" Type="http://schemas.openxmlformats.org/officeDocument/2006/relationships/hyperlink" Target="https://old.ukr-mobil.com/index.php?route=product&amp;product_id=10005839" TargetMode="External"/><Relationship Id="rId_hyperlink_5967" Type="http://schemas.openxmlformats.org/officeDocument/2006/relationships/hyperlink" Target="https://old.ukr-mobil.com/index.php?route=product&amp;product_id=10005842" TargetMode="External"/><Relationship Id="rId_hyperlink_5968" Type="http://schemas.openxmlformats.org/officeDocument/2006/relationships/hyperlink" Target="https://old.ukr-mobil.com/index.php?route=product&amp;product_id=10005920" TargetMode="External"/><Relationship Id="rId_hyperlink_5969" Type="http://schemas.openxmlformats.org/officeDocument/2006/relationships/hyperlink" Target="https://old.ukr-mobil.com/index.php?route=product&amp;product_id=10005832" TargetMode="External"/><Relationship Id="rId_hyperlink_5970" Type="http://schemas.openxmlformats.org/officeDocument/2006/relationships/hyperlink" Target="https://old.ukr-mobil.com/index.php?route=product&amp;product_id=10005923" TargetMode="External"/><Relationship Id="rId_hyperlink_5971" Type="http://schemas.openxmlformats.org/officeDocument/2006/relationships/hyperlink" Target="https://old.ukr-mobil.com/index.php?route=product&amp;product_id=10005831" TargetMode="External"/><Relationship Id="rId_hyperlink_5972" Type="http://schemas.openxmlformats.org/officeDocument/2006/relationships/hyperlink" Target="https://old.ukr-mobil.com/index.php?route=product&amp;product_id=10005837" TargetMode="External"/><Relationship Id="rId_hyperlink_5973" Type="http://schemas.openxmlformats.org/officeDocument/2006/relationships/hyperlink" Target="https://old.ukr-mobil.com/index.php?route=product&amp;product_id=10005921" TargetMode="External"/><Relationship Id="rId_hyperlink_5974" Type="http://schemas.openxmlformats.org/officeDocument/2006/relationships/hyperlink" Target="https://old.ukr-mobil.com/index.php?route=product&amp;product_id=10005859" TargetMode="External"/><Relationship Id="rId_hyperlink_5975" Type="http://schemas.openxmlformats.org/officeDocument/2006/relationships/hyperlink" Target="https://old.ukr-mobil.com/index.php?route=product&amp;product_id=10005840" TargetMode="External"/><Relationship Id="rId_hyperlink_5976" Type="http://schemas.openxmlformats.org/officeDocument/2006/relationships/hyperlink" Target="https://old.ukr-mobil.com/index.php?route=product&amp;product_id=10005922" TargetMode="External"/><Relationship Id="rId_hyperlink_5977" Type="http://schemas.openxmlformats.org/officeDocument/2006/relationships/hyperlink" Target="https://old.ukr-mobil.com/index.php?route=product&amp;product_id=10005836" TargetMode="External"/><Relationship Id="rId_hyperlink_5978" Type="http://schemas.openxmlformats.org/officeDocument/2006/relationships/hyperlink" Target="https://old.ukr-mobil.com/index.php?route=product&amp;product_id=10005838" TargetMode="External"/><Relationship Id="rId_hyperlink_5979" Type="http://schemas.openxmlformats.org/officeDocument/2006/relationships/hyperlink" Target="https://old.ukr-mobil.com/index.php?route=product&amp;product_id=10005841" TargetMode="External"/><Relationship Id="rId_hyperlink_5980" Type="http://schemas.openxmlformats.org/officeDocument/2006/relationships/hyperlink" Target="https://old.ukr-mobil.com/index.php?route=product&amp;product_id=10005808" TargetMode="External"/><Relationship Id="rId_hyperlink_5981" Type="http://schemas.openxmlformats.org/officeDocument/2006/relationships/hyperlink" Target="https://old.ukr-mobil.com/index.php?route=product&amp;product_id=10005799" TargetMode="External"/><Relationship Id="rId_hyperlink_5982" Type="http://schemas.openxmlformats.org/officeDocument/2006/relationships/hyperlink" Target="https://old.ukr-mobil.com/index.php?route=product&amp;product_id=10005796" TargetMode="External"/><Relationship Id="rId_hyperlink_5983" Type="http://schemas.openxmlformats.org/officeDocument/2006/relationships/hyperlink" Target="https://old.ukr-mobil.com/index.php?route=product&amp;product_id=10005797" TargetMode="External"/><Relationship Id="rId_hyperlink_5984" Type="http://schemas.openxmlformats.org/officeDocument/2006/relationships/hyperlink" Target="https://old.ukr-mobil.com/index.php?route=product&amp;product_id=10005959" TargetMode="External"/><Relationship Id="rId_hyperlink_5985" Type="http://schemas.openxmlformats.org/officeDocument/2006/relationships/hyperlink" Target="https://old.ukr-mobil.com/index.php?route=product&amp;product_id=10005798" TargetMode="External"/><Relationship Id="rId_hyperlink_5986" Type="http://schemas.openxmlformats.org/officeDocument/2006/relationships/hyperlink" Target="https://old.ukr-mobil.com/index.php?route=product&amp;product_id=10005800" TargetMode="External"/><Relationship Id="rId_hyperlink_5987" Type="http://schemas.openxmlformats.org/officeDocument/2006/relationships/hyperlink" Target="https://old.ukr-mobil.com/index.php?route=product&amp;product_id=10005795" TargetMode="External"/><Relationship Id="rId_hyperlink_5988" Type="http://schemas.openxmlformats.org/officeDocument/2006/relationships/hyperlink" Target="https://old.ukr-mobil.com/index.php?route=product&amp;product_id=10005791" TargetMode="External"/><Relationship Id="rId_hyperlink_5989" Type="http://schemas.openxmlformats.org/officeDocument/2006/relationships/hyperlink" Target="https://old.ukr-mobil.com/index.php?route=product&amp;product_id=10005790" TargetMode="External"/><Relationship Id="rId_hyperlink_5990" Type="http://schemas.openxmlformats.org/officeDocument/2006/relationships/hyperlink" Target="https://old.ukr-mobil.com/index.php?route=product&amp;product_id=10005794" TargetMode="External"/><Relationship Id="rId_hyperlink_5991" Type="http://schemas.openxmlformats.org/officeDocument/2006/relationships/hyperlink" Target="https://old.ukr-mobil.com/index.php?route=product&amp;product_id=10005792" TargetMode="External"/><Relationship Id="rId_hyperlink_5992" Type="http://schemas.openxmlformats.org/officeDocument/2006/relationships/hyperlink" Target="https://old.ukr-mobil.com/index.php?route=product&amp;product_id=10005793" TargetMode="External"/><Relationship Id="rId_hyperlink_5993" Type="http://schemas.openxmlformats.org/officeDocument/2006/relationships/hyperlink" Target="https://old.ukr-mobil.com/index.php?route=product&amp;product_id=10004992" TargetMode="External"/><Relationship Id="rId_hyperlink_5994" Type="http://schemas.openxmlformats.org/officeDocument/2006/relationships/hyperlink" Target="https://old.ukr-mobil.com/index.php?route=product&amp;product_id=10004990" TargetMode="External"/><Relationship Id="rId_hyperlink_5995" Type="http://schemas.openxmlformats.org/officeDocument/2006/relationships/hyperlink" Target="https://old.ukr-mobil.com/index.php?route=product&amp;product_id=10004993" TargetMode="External"/><Relationship Id="rId_hyperlink_5996" Type="http://schemas.openxmlformats.org/officeDocument/2006/relationships/hyperlink" Target="https://old.ukr-mobil.com/index.php?route=product&amp;product_id=10005526" TargetMode="External"/><Relationship Id="rId_hyperlink_5997" Type="http://schemas.openxmlformats.org/officeDocument/2006/relationships/hyperlink" Target="https://old.ukr-mobil.com/index.php?route=product&amp;product_id=10004991" TargetMode="External"/><Relationship Id="rId_hyperlink_5998" Type="http://schemas.openxmlformats.org/officeDocument/2006/relationships/hyperlink" Target="https://old.ukr-mobil.com/index.php?route=product&amp;product_id=10005552" TargetMode="External"/><Relationship Id="rId_hyperlink_5999" Type="http://schemas.openxmlformats.org/officeDocument/2006/relationships/hyperlink" Target="https://old.ukr-mobil.com/modul_pomekh_jammer_1_2_ghz_1170-1280_mhz_gan_40w_45-46_dbi_sma_10005516" TargetMode="External"/><Relationship Id="rId_hyperlink_6000" Type="http://schemas.openxmlformats.org/officeDocument/2006/relationships/hyperlink" Target="https://old.ukr-mobil.com/modul_pomekh_jammer_1_2_ghz_1170-1280_mhz_gan_50w_sma_10005088" TargetMode="External"/><Relationship Id="rId_hyperlink_6001" Type="http://schemas.openxmlformats.org/officeDocument/2006/relationships/hyperlink" Target="https://old.ukr-mobil.com/modul_pomekh_jammer_1_2_ghz_gan_30w_sma_10004999" TargetMode="External"/><Relationship Id="rId_hyperlink_6002" Type="http://schemas.openxmlformats.org/officeDocument/2006/relationships/hyperlink" Target="https://old.ukr-mobil.com/modul_pomekh_jammer_1_2_ghz_1170-1280_mhz_gan_100w_n-j_10005327" TargetMode="External"/><Relationship Id="rId_hyperlink_6003" Type="http://schemas.openxmlformats.org/officeDocument/2006/relationships/hyperlink" Target="https://old.ukr-mobil.com/modul_pomekh_jammer_1_5_ghz_1550-1620_mhz_gan_100w_n-j_10005329" TargetMode="External"/><Relationship Id="rId_hyperlink_6004" Type="http://schemas.openxmlformats.org/officeDocument/2006/relationships/hyperlink" Target="https://old.ukr-mobil.com/modul_pomekh_jammer_1_5_ghz_1550-1620_mhz_gan_40w_45-46_dbi_sma_10005456" TargetMode="External"/><Relationship Id="rId_hyperlink_6005" Type="http://schemas.openxmlformats.org/officeDocument/2006/relationships/hyperlink" Target="https://old.ukr-mobil.com/modul_pomekh_jammer_1_5_ghz_1550-1620_mhz_gan_50w_sma_10005091" TargetMode="External"/><Relationship Id="rId_hyperlink_6006" Type="http://schemas.openxmlformats.org/officeDocument/2006/relationships/hyperlink" Target="https://old.ukr-mobil.com/index.php?route=product&amp;product_id=10006246" TargetMode="External"/><Relationship Id="rId_hyperlink_6007" Type="http://schemas.openxmlformats.org/officeDocument/2006/relationships/hyperlink" Target="https://old.ukr-mobil.com/index.php?route=product&amp;product_id=10005780" TargetMode="External"/><Relationship Id="rId_hyperlink_6008" Type="http://schemas.openxmlformats.org/officeDocument/2006/relationships/hyperlink" Target="https://old.ukr-mobil.com/index.php?route=product&amp;product_id=10005728" TargetMode="External"/><Relationship Id="rId_hyperlink_6009" Type="http://schemas.openxmlformats.org/officeDocument/2006/relationships/hyperlink" Target="https://old.ukr-mobil.com/modul_pomekh_jammer_2_4_ghz_2400-2500_mhz_gan_100w_n-j_10005330" TargetMode="External"/><Relationship Id="rId_hyperlink_6010" Type="http://schemas.openxmlformats.org/officeDocument/2006/relationships/hyperlink" Target="https://old.ukr-mobil.com/modul_pomekh_jammer_2_4_ghz_gan_30w_sma_10005000" TargetMode="External"/><Relationship Id="rId_hyperlink_6011" Type="http://schemas.openxmlformats.org/officeDocument/2006/relationships/hyperlink" Target="https://old.ukr-mobil.com/modul_pomekh_jammer_2_4_ghz_2400-2500_mhz_gan_40w_45-46_dbi_sma_10005321" TargetMode="External"/><Relationship Id="rId_hyperlink_6012" Type="http://schemas.openxmlformats.org/officeDocument/2006/relationships/hyperlink" Target="https://old.ukr-mobil.com/modul_pomekh_jammer_2_4_ghz_2400-2500_mhz_gan_50w_47_dbi_sma_10005089" TargetMode="External"/><Relationship Id="rId_hyperlink_6013" Type="http://schemas.openxmlformats.org/officeDocument/2006/relationships/hyperlink" Target="https://old.ukr-mobil.com/index.php?route=product&amp;product_id=10006015" TargetMode="External"/><Relationship Id="rId_hyperlink_6014" Type="http://schemas.openxmlformats.org/officeDocument/2006/relationships/hyperlink" Target="https://old.ukr-mobil.com/index.php?route=product&amp;product_id=10005933" TargetMode="External"/><Relationship Id="rId_hyperlink_6015" Type="http://schemas.openxmlformats.org/officeDocument/2006/relationships/hyperlink" Target="https://old.ukr-mobil.com/index.php?route=product&amp;product_id=10006247" TargetMode="External"/><Relationship Id="rId_hyperlink_6016" Type="http://schemas.openxmlformats.org/officeDocument/2006/relationships/hyperlink" Target="https://old.ukr-mobil.com/index.php?route=product&amp;product_id=10006239" TargetMode="External"/><Relationship Id="rId_hyperlink_6017" Type="http://schemas.openxmlformats.org/officeDocument/2006/relationships/hyperlink" Target="https://old.ukr-mobil.com/index.php?route=product&amp;product_id=10006145" TargetMode="External"/><Relationship Id="rId_hyperlink_6018" Type="http://schemas.openxmlformats.org/officeDocument/2006/relationships/hyperlink" Target="https://old.ukr-mobil.com/index.php?route=product&amp;product_id=10006240" TargetMode="External"/><Relationship Id="rId_hyperlink_6019" Type="http://schemas.openxmlformats.org/officeDocument/2006/relationships/hyperlink" Target="https://old.ukr-mobil.com/index.php?route=product&amp;product_id=10006175" TargetMode="External"/><Relationship Id="rId_hyperlink_6020" Type="http://schemas.openxmlformats.org/officeDocument/2006/relationships/hyperlink" Target="https://old.ukr-mobil.com/index.php?route=product&amp;product_id=10006022" TargetMode="External"/><Relationship Id="rId_hyperlink_6021" Type="http://schemas.openxmlformats.org/officeDocument/2006/relationships/hyperlink" Target="https://old.ukr-mobil.com/index.php?route=product&amp;product_id=10005932" TargetMode="External"/><Relationship Id="rId_hyperlink_6022" Type="http://schemas.openxmlformats.org/officeDocument/2006/relationships/hyperlink" Target="https://old.ukr-mobil.com/index.php?route=product&amp;product_id=10005898" TargetMode="External"/><Relationship Id="rId_hyperlink_6023" Type="http://schemas.openxmlformats.org/officeDocument/2006/relationships/hyperlink" Target="https://old.ukr-mobil.com/index.php?route=product&amp;product_id=10006146" TargetMode="External"/><Relationship Id="rId_hyperlink_6024" Type="http://schemas.openxmlformats.org/officeDocument/2006/relationships/hyperlink" Target="https://old.ukr-mobil.com/index.php?route=product&amp;product_id=10005782" TargetMode="External"/><Relationship Id="rId_hyperlink_6025" Type="http://schemas.openxmlformats.org/officeDocument/2006/relationships/hyperlink" Target="https://old.ukr-mobil.com/modul_pomekh_jammer_433_mhz_420-450_mhz_gan_50w_47_dbi_sma_10005086" TargetMode="External"/><Relationship Id="rId_hyperlink_6026" Type="http://schemas.openxmlformats.org/officeDocument/2006/relationships/hyperlink" Target="https://old.ukr-mobil.com/index.php?route=product&amp;product_id=10005955" TargetMode="External"/><Relationship Id="rId_hyperlink_6027" Type="http://schemas.openxmlformats.org/officeDocument/2006/relationships/hyperlink" Target="https://old.ukr-mobil.com/modul_pomekh_jammer_433_mhz_420-450_mhz_gan_100w_n-j_10005325" TargetMode="External"/><Relationship Id="rId_hyperlink_6028" Type="http://schemas.openxmlformats.org/officeDocument/2006/relationships/hyperlink" Target="https://old.ukr-mobil.com/index.php?route=product&amp;product_id=10005633" TargetMode="External"/><Relationship Id="rId_hyperlink_6029" Type="http://schemas.openxmlformats.org/officeDocument/2006/relationships/hyperlink" Target="https://old.ukr-mobil.com/modul_pomekh_jammer_433_mhz_420-450_mhz_gan_40w_45-56_dbi_sma_10005454" TargetMode="External"/><Relationship Id="rId_hyperlink_6030" Type="http://schemas.openxmlformats.org/officeDocument/2006/relationships/hyperlink" Target="https://old.ukr-mobil.com/index.php?route=product&amp;product_id=10005900" TargetMode="External"/><Relationship Id="rId_hyperlink_6031" Type="http://schemas.openxmlformats.org/officeDocument/2006/relationships/hyperlink" Target="https://old.ukr-mobil.com/modul_pomekh_jammer_5_2_ghz_5150-5350_mhz_gan_100w_n-j_10005331" TargetMode="External"/><Relationship Id="rId_hyperlink_6032" Type="http://schemas.openxmlformats.org/officeDocument/2006/relationships/hyperlink" Target="https://old.ukr-mobil.com/modul_pomekh_jammer_5_2_ghz_5150-5350_mhz_gan_40w_45-46_dbi_sma_10005324" TargetMode="External"/><Relationship Id="rId_hyperlink_6033" Type="http://schemas.openxmlformats.org/officeDocument/2006/relationships/hyperlink" Target="https://old.ukr-mobil.com/modul_pomekh_jammer_5_2_ghz_5150-5350_mhz_gan_50w_47_dbi_sma_10005322" TargetMode="External"/><Relationship Id="rId_hyperlink_6034" Type="http://schemas.openxmlformats.org/officeDocument/2006/relationships/hyperlink" Target="https://old.ukr-mobil.com/index.php?route=product&amp;product_id=10006016" TargetMode="External"/><Relationship Id="rId_hyperlink_6035" Type="http://schemas.openxmlformats.org/officeDocument/2006/relationships/hyperlink" Target="https://old.ukr-mobil.com/modul_pomekh_jammer_5_8_ghz_5725-5850_mhz_gan_50w_47_dbi_sma_10005092" TargetMode="External"/><Relationship Id="rId_hyperlink_6036" Type="http://schemas.openxmlformats.org/officeDocument/2006/relationships/hyperlink" Target="https://old.ukr-mobil.com/index.php?route=product&amp;product_id=10006242" TargetMode="External"/><Relationship Id="rId_hyperlink_6037" Type="http://schemas.openxmlformats.org/officeDocument/2006/relationships/hyperlink" Target="https://old.ukr-mobil.com/modul_pomekh_jammer_5_8_ghz_5725-5850_mhz_gan_100w_n-j_10005332" TargetMode="External"/><Relationship Id="rId_hyperlink_6038" Type="http://schemas.openxmlformats.org/officeDocument/2006/relationships/hyperlink" Target="https://old.ukr-mobil.com/index.php?route=product&amp;product_id=10006243" TargetMode="External"/><Relationship Id="rId_hyperlink_6039" Type="http://schemas.openxmlformats.org/officeDocument/2006/relationships/hyperlink" Target="https://old.ukr-mobil.com/modul_pomekh_jammer_5_8_ghz_gan_30w_sma_10005002" TargetMode="External"/><Relationship Id="rId_hyperlink_6040" Type="http://schemas.openxmlformats.org/officeDocument/2006/relationships/hyperlink" Target="https://old.ukr-mobil.com/modul_pomekh_jammer_5_8_ghz_5725-5850_mhz_gan_40w_45-46_dbi_sma_10005090" TargetMode="External"/><Relationship Id="rId_hyperlink_6041" Type="http://schemas.openxmlformats.org/officeDocument/2006/relationships/hyperlink" Target="https://old.ukr-mobil.com/index.php?route=product&amp;product_id=10005781" TargetMode="External"/><Relationship Id="rId_hyperlink_6042" Type="http://schemas.openxmlformats.org/officeDocument/2006/relationships/hyperlink" Target="https://old.ukr-mobil.com/index.php?route=product&amp;product_id=10005956" TargetMode="External"/><Relationship Id="rId_hyperlink_6043" Type="http://schemas.openxmlformats.org/officeDocument/2006/relationships/hyperlink" Target="https://old.ukr-mobil.com/index.php?route=product&amp;product_id=10005910" TargetMode="External"/><Relationship Id="rId_hyperlink_6044" Type="http://schemas.openxmlformats.org/officeDocument/2006/relationships/hyperlink" Target="https://old.ukr-mobil.com/modul_pomekh_jammer_650-750_mhz_gan_50w_47_dbi_sma_10005577" TargetMode="External"/><Relationship Id="rId_hyperlink_6045" Type="http://schemas.openxmlformats.org/officeDocument/2006/relationships/hyperlink" Target="https://old.ukr-mobil.com/modul_pomekh_jammer_700-1000_mhz_gan_50w_47_dbi_sma_10005658" TargetMode="External"/><Relationship Id="rId_hyperlink_6046" Type="http://schemas.openxmlformats.org/officeDocument/2006/relationships/hyperlink" Target="https://old.ukr-mobil.com/index.php?route=product&amp;product_id=10005711" TargetMode="External"/><Relationship Id="rId_hyperlink_6047" Type="http://schemas.openxmlformats.org/officeDocument/2006/relationships/hyperlink" Target="https://old.ukr-mobil.com/modul_pomekh_jammer_700-800_mhz_gan_50w_47_dbi_sma_10005549" TargetMode="External"/><Relationship Id="rId_hyperlink_6048" Type="http://schemas.openxmlformats.org/officeDocument/2006/relationships/hyperlink" Target="https://old.ukr-mobil.com/index.php?route=product&amp;product_id=10005744" TargetMode="External"/><Relationship Id="rId_hyperlink_6049" Type="http://schemas.openxmlformats.org/officeDocument/2006/relationships/hyperlink" Target="https://old.ukr-mobil.com/index.php?route=product&amp;product_id=10005909" TargetMode="External"/><Relationship Id="rId_hyperlink_6050" Type="http://schemas.openxmlformats.org/officeDocument/2006/relationships/hyperlink" Target="https://old.ukr-mobil.com/index.php?route=product&amp;product_id=10005712" TargetMode="External"/><Relationship Id="rId_hyperlink_6051" Type="http://schemas.openxmlformats.org/officeDocument/2006/relationships/hyperlink" Target="https://old.ukr-mobil.com/modul_pomekh_jammer_720-850_mhz_gan_50w_47_dbi_sma_10005457" TargetMode="External"/><Relationship Id="rId_hyperlink_6052" Type="http://schemas.openxmlformats.org/officeDocument/2006/relationships/hyperlink" Target="https://old.ukr-mobil.com/modul_pomekh_jammer_800-900_mhz_gan_50w_47_dbi_sma_10005547" TargetMode="External"/><Relationship Id="rId_hyperlink_6053" Type="http://schemas.openxmlformats.org/officeDocument/2006/relationships/hyperlink" Target="https://old.ukr-mobil.com/index.php?route=product&amp;product_id=10005722" TargetMode="External"/><Relationship Id="rId_hyperlink_6054" Type="http://schemas.openxmlformats.org/officeDocument/2006/relationships/hyperlink" Target="https://old.ukr-mobil.com/index.php?route=product&amp;product_id=10005957" TargetMode="External"/><Relationship Id="rId_hyperlink_6055" Type="http://schemas.openxmlformats.org/officeDocument/2006/relationships/hyperlink" Target="https://old.ukr-mobil.com/index.php?route=product&amp;product_id=10005899" TargetMode="External"/><Relationship Id="rId_hyperlink_6056" Type="http://schemas.openxmlformats.org/officeDocument/2006/relationships/hyperlink" Target="https://old.ukr-mobil.com/modul_pomekh_jammer_900_mhz_860-930_mhz_gan_50w_47_dbi_sma_10005087" TargetMode="External"/><Relationship Id="rId_hyperlink_6057" Type="http://schemas.openxmlformats.org/officeDocument/2006/relationships/hyperlink" Target="https://old.ukr-mobil.com/modul_pomekh_jammer_900_mhz_860-930_mhz_gan_100w_n-j_10005326" TargetMode="External"/><Relationship Id="rId_hyperlink_6058" Type="http://schemas.openxmlformats.org/officeDocument/2006/relationships/hyperlink" Target="https://old.ukr-mobil.com/modul_pomekh_jammer_900_mhz_860-930_mhz_gan_30w_sma_10004827" TargetMode="External"/><Relationship Id="rId_hyperlink_6059" Type="http://schemas.openxmlformats.org/officeDocument/2006/relationships/hyperlink" Target="https://old.ukr-mobil.com/modul_pomekh_jammer_900_mhz_860-930_mhz_gan_40w_45-46_dbi_sma_10005455" TargetMode="External"/><Relationship Id="rId_hyperlink_6060" Type="http://schemas.openxmlformats.org/officeDocument/2006/relationships/hyperlink" Target="https://old.ukr-mobil.com/modul_pomekh_jammer_900-1050_mhz_gan_50w_47_dbi_sma_10005548" TargetMode="External"/><Relationship Id="rId_hyperlink_6061" Type="http://schemas.openxmlformats.org/officeDocument/2006/relationships/hyperlink" Target="https://old.ukr-mobil.com/modul_pomekh_jammer_970-1100_mhz_gan_50w_47_dbi_sma_10005458" TargetMode="External"/><Relationship Id="rId_hyperlink_6062" Type="http://schemas.openxmlformats.org/officeDocument/2006/relationships/hyperlink" Target="https://old.ukr-mobil.com/index.php?route=product&amp;product_id=10005736" TargetMode="External"/><Relationship Id="rId_hyperlink_6063" Type="http://schemas.openxmlformats.org/officeDocument/2006/relationships/hyperlink" Target="https://old.ukr-mobil.com/index.php?route=product&amp;product_id=10005735" TargetMode="External"/><Relationship Id="rId_hyperlink_6064" Type="http://schemas.openxmlformats.org/officeDocument/2006/relationships/hyperlink" Target="https://old.ukr-mobil.com/index.php?route=product&amp;product_id=10005737" TargetMode="External"/><Relationship Id="rId_hyperlink_6065" Type="http://schemas.openxmlformats.org/officeDocument/2006/relationships/hyperlink" Target="https://old.ukr-mobil.com/index.php?route=product&amp;product_id=10005883" TargetMode="External"/><Relationship Id="rId_hyperlink_6066" Type="http://schemas.openxmlformats.org/officeDocument/2006/relationships/hyperlink" Target="https://old.ukr-mobil.com/index.php?route=product&amp;product_id=10005882" TargetMode="External"/><Relationship Id="rId_hyperlink_6067" Type="http://schemas.openxmlformats.org/officeDocument/2006/relationships/hyperlink" Target="https://old.ukr-mobil.com/index.php?route=product&amp;product_id=10005835" TargetMode="External"/><Relationship Id="rId_hyperlink_6068" Type="http://schemas.openxmlformats.org/officeDocument/2006/relationships/hyperlink" Target="https://old.ukr-mobil.com/index.php?route=product&amp;product_id=10005863" TargetMode="External"/><Relationship Id="rId_hyperlink_6069" Type="http://schemas.openxmlformats.org/officeDocument/2006/relationships/hyperlink" Target="https://old.ukr-mobil.com/index.php?route=product&amp;product_id=10005815" TargetMode="External"/><Relationship Id="rId_hyperlink_6070" Type="http://schemas.openxmlformats.org/officeDocument/2006/relationships/hyperlink" Target="https://old.ukr-mobil.com/index.php?route=product&amp;product_id=10005814" TargetMode="External"/><Relationship Id="rId_hyperlink_6071" Type="http://schemas.openxmlformats.org/officeDocument/2006/relationships/hyperlink" Target="https://old.ukr-mobil.com/index.php?route=product&amp;product_id=10005813" TargetMode="External"/><Relationship Id="rId_hyperlink_6072" Type="http://schemas.openxmlformats.org/officeDocument/2006/relationships/hyperlink" Target="https://old.ukr-mobil.com/index.php?route=product&amp;product_id=10005885" TargetMode="External"/><Relationship Id="rId_hyperlink_6073" Type="http://schemas.openxmlformats.org/officeDocument/2006/relationships/hyperlink" Target="https://old.ukr-mobil.com/index.php?route=product&amp;product_id=10005672" TargetMode="External"/><Relationship Id="rId_hyperlink_6074" Type="http://schemas.openxmlformats.org/officeDocument/2006/relationships/hyperlink" Target="https://old.ukr-mobil.com/index.php?route=product&amp;product_id=10005755" TargetMode="External"/><Relationship Id="rId_hyperlink_6075" Type="http://schemas.openxmlformats.org/officeDocument/2006/relationships/hyperlink" Target="https://old.ukr-mobil.com/index.php?route=product&amp;product_id=10005741" TargetMode="External"/><Relationship Id="rId_hyperlink_6076" Type="http://schemas.openxmlformats.org/officeDocument/2006/relationships/hyperlink" Target="https://old.ukr-mobil.com/index.php?route=product&amp;product_id=10005742" TargetMode="External"/><Relationship Id="rId_hyperlink_6077" Type="http://schemas.openxmlformats.org/officeDocument/2006/relationships/hyperlink" Target="https://old.ukr-mobil.com/zadnyaya_kryshka_iphone_11_dlya_zameny_bez_razborki_korpusa_red_10000476" TargetMode="External"/><Relationship Id="rId_hyperlink_6078" Type="http://schemas.openxmlformats.org/officeDocument/2006/relationships/hyperlink" Target="https://old.ukr-mobil.com/zadnyaya_kryshka_apple_iphone_12_pro_bolshoj_vyrez_pod_kameru_white_10001614" TargetMode="External"/><Relationship Id="rId_hyperlink_6079" Type="http://schemas.openxmlformats.org/officeDocument/2006/relationships/hyperlink" Target="https://old.ukr-mobil.com/zadnyaya_kryshka_apple_iphone_12_bolshoj_vyrez_pod_kameru_red_10001607" TargetMode="External"/><Relationship Id="rId_hyperlink_6080" Type="http://schemas.openxmlformats.org/officeDocument/2006/relationships/hyperlink" Target="https://old.ukr-mobil.com/zadnyaya_kryshka_apple_iphone_13_pro_max_bolshoj_vyrez_pod_kameru_silver_10002123" TargetMode="External"/><Relationship Id="rId_hyperlink_6081" Type="http://schemas.openxmlformats.org/officeDocument/2006/relationships/hyperlink" Target="https://old.ukr-mobil.com/zadnyaya_kryshka_apple_iphone_13_pro_max_bolshoj_vyrez_pod_kameru_original_graphite_10002955" TargetMode="External"/><Relationship Id="rId_hyperlink_6082" Type="http://schemas.openxmlformats.org/officeDocument/2006/relationships/hyperlink" Target="https://old.ukr-mobil.com/zadnyaya_kryshka_apple_iphone_13_pro_bolshoj_vyrez_pod_kameru_blue_10002194" TargetMode="External"/><Relationship Id="rId_hyperlink_6083" Type="http://schemas.openxmlformats.org/officeDocument/2006/relationships/hyperlink" Target="https://old.ukr-mobil.com/zadnyaya_kryshka_apple_iphone_13_pro_bolshoj_vyrez_pod_kameru_silver_10002196" TargetMode="External"/><Relationship Id="rId_hyperlink_6084" Type="http://schemas.openxmlformats.org/officeDocument/2006/relationships/hyperlink" Target="https://old.ukr-mobil.com/zadnyaya_kryshka_apple_iphone_14_plus_bolshoj_vyrez_pod_kameru_original_blue_10003065" TargetMode="External"/><Relationship Id="rId_hyperlink_6085" Type="http://schemas.openxmlformats.org/officeDocument/2006/relationships/hyperlink" Target="https://old.ukr-mobil.com/zadnyaya_kryshka_apple_iphone_14_plus_bolshoj_vyrez_pod_kameru_original_midnight_10003066" TargetMode="External"/><Relationship Id="rId_hyperlink_6086" Type="http://schemas.openxmlformats.org/officeDocument/2006/relationships/hyperlink" Target="https://old.ukr-mobil.com/zadnyaya_kryshka_apple_iphone_14_plus_bolshoj_vyrez_pod_kameru_original_purple_10003067" TargetMode="External"/><Relationship Id="rId_hyperlink_6087" Type="http://schemas.openxmlformats.org/officeDocument/2006/relationships/hyperlink" Target="https://old.ukr-mobil.com/zadnyaya_kryshka_apple_iphone_14_plus_bolshoj_vyrez_pod_kameru_original_red_10003068" TargetMode="External"/><Relationship Id="rId_hyperlink_6088" Type="http://schemas.openxmlformats.org/officeDocument/2006/relationships/hyperlink" Target="https://old.ukr-mobil.com/zadnyaya_kryshka_apple_iphone_14_plus_bolshoj_vyrez_pod_kameru_original_starlight_10003069" TargetMode="External"/><Relationship Id="rId_hyperlink_6089" Type="http://schemas.openxmlformats.org/officeDocument/2006/relationships/hyperlink" Target="https://old.ukr-mobil.com/zadnyaya_kryshka_apple_iphone_14_pro_max_bolshoj_vyrez_pod_kameru_original_gold_10003074" TargetMode="External"/><Relationship Id="rId_hyperlink_6090" Type="http://schemas.openxmlformats.org/officeDocument/2006/relationships/hyperlink" Target="https://old.ukr-mobil.com/zadnyaya_kryshka_apple_iphone_14_pro_max_bolshoj_vyrez_pod_kameru_original_space_black_10003075" TargetMode="External"/><Relationship Id="rId_hyperlink_6091" Type="http://schemas.openxmlformats.org/officeDocument/2006/relationships/hyperlink" Target="https://old.ukr-mobil.com/zadnyaya_kryshka_apple_iphone_14_pro_max_bolshoj_vyrez_pod_kameru_original_silver_10003076" TargetMode="External"/><Relationship Id="rId_hyperlink_6092" Type="http://schemas.openxmlformats.org/officeDocument/2006/relationships/hyperlink" Target="https://old.ukr-mobil.com/zadnyaya_kryshka_apple_iphone_14_pro_bolshoj_vyrez_pod_kameru_original_gold_10003071" TargetMode="External"/><Relationship Id="rId_hyperlink_6093" Type="http://schemas.openxmlformats.org/officeDocument/2006/relationships/hyperlink" Target="https://old.ukr-mobil.com/zadnyaya_kryshka_apple_iphone_14_pro_bolshoj_vyrez_pod_kameru_original_space_black_10003070" TargetMode="External"/><Relationship Id="rId_hyperlink_6094" Type="http://schemas.openxmlformats.org/officeDocument/2006/relationships/hyperlink" Target="https://old.ukr-mobil.com/zadnyaya_kryshka_apple_iphone_14_pro_bolshoj_vyrez_pod_kameru_original_silver_10003072" TargetMode="External"/><Relationship Id="rId_hyperlink_6095" Type="http://schemas.openxmlformats.org/officeDocument/2006/relationships/hyperlink" Target="https://old.ukr-mobil.com/zadnyaya_kryshka_apple_iphone_14_bolshoj_vyrez_pod_kameru_original_blue_10003061" TargetMode="External"/><Relationship Id="rId_hyperlink_6096" Type="http://schemas.openxmlformats.org/officeDocument/2006/relationships/hyperlink" Target="https://old.ukr-mobil.com/zadnyaya_kryshka_apple_iphone_14_bolshoj_vyrez_pod_kameru_original_midnight_10003060" TargetMode="External"/><Relationship Id="rId_hyperlink_6097" Type="http://schemas.openxmlformats.org/officeDocument/2006/relationships/hyperlink" Target="https://old.ukr-mobil.com/zadnyaya_kryshka_apple_iphone_14_bolshoj_vyrez_pod_kameru_original_purple_10003062" TargetMode="External"/><Relationship Id="rId_hyperlink_6098" Type="http://schemas.openxmlformats.org/officeDocument/2006/relationships/hyperlink" Target="https://old.ukr-mobil.com/zadnyaya_kryshka_apple_iphone_14_bolshoj_vyrez_pod_kameru_original_red_10003063" TargetMode="External"/><Relationship Id="rId_hyperlink_6099" Type="http://schemas.openxmlformats.org/officeDocument/2006/relationships/hyperlink" Target="https://old.ukr-mobil.com/zadnyaya_kryshka_apple_iphone_14_bolshoj_vyrez_pod_kameru_original_starlight_10003064" TargetMode="External"/><Relationship Id="rId_hyperlink_6100" Type="http://schemas.openxmlformats.org/officeDocument/2006/relationships/hyperlink" Target="https://old.ukr-mobil.com/korpus_apple_iphone_11_pro_max_v_sbore_original_prc_green_midnight_10001286" TargetMode="External"/><Relationship Id="rId_hyperlink_6101" Type="http://schemas.openxmlformats.org/officeDocument/2006/relationships/hyperlink" Target="https://old.ukr-mobil.com/korpus_apple_iphone_11_pro_max_v_sbore_original_prc_space_gray_10001285" TargetMode="External"/><Relationship Id="rId_hyperlink_6102" Type="http://schemas.openxmlformats.org/officeDocument/2006/relationships/hyperlink" Target="https://old.ukr-mobil.com/korpus_apple_iphone_11_pro_max_v_sbore_original_prc_silver_10001287" TargetMode="External"/><Relationship Id="rId_hyperlink_6103" Type="http://schemas.openxmlformats.org/officeDocument/2006/relationships/hyperlink" Target="https://old.ukr-mobil.com/korpus_apple_iphone_11_pro_v_sbore_original_prc_green_midnight_10001290" TargetMode="External"/><Relationship Id="rId_hyperlink_6104" Type="http://schemas.openxmlformats.org/officeDocument/2006/relationships/hyperlink" Target="https://old.ukr-mobil.com/korpus_apple_iphone_11_pro_v_sbore_original_prc_space_gray_10001288" TargetMode="External"/><Relationship Id="rId_hyperlink_6105" Type="http://schemas.openxmlformats.org/officeDocument/2006/relationships/hyperlink" Target="https://old.ukr-mobil.com/korpus_apple_iphone_11_v_sbore_original_prc_black_10001291" TargetMode="External"/><Relationship Id="rId_hyperlink_6106" Type="http://schemas.openxmlformats.org/officeDocument/2006/relationships/hyperlink" Target="https://old.ukr-mobil.com/korpus_apple_iphone_11_v_sbore_original_prc_purple_10001293" TargetMode="External"/><Relationship Id="rId_hyperlink_6107" Type="http://schemas.openxmlformats.org/officeDocument/2006/relationships/hyperlink" Target="https://old.ukr-mobil.com/korpus_apple_iphone_11_v_sbore_original_prc_white_10001292" TargetMode="External"/><Relationship Id="rId_hyperlink_6108" Type="http://schemas.openxmlformats.org/officeDocument/2006/relationships/hyperlink" Target="https://old.ukr-mobil.com/korpus_iphone_6_plus_original_prc_gold_6715" TargetMode="External"/><Relationship Id="rId_hyperlink_6109" Type="http://schemas.openxmlformats.org/officeDocument/2006/relationships/hyperlink" Target="https://old.ukr-mobil.com/korpus_iphone_6_plus_original_prc_silver_6716" TargetMode="External"/><Relationship Id="rId_hyperlink_6110" Type="http://schemas.openxmlformats.org/officeDocument/2006/relationships/hyperlink" Target="https://old.ukr-mobil.com/korpus_iphone_6_original_prc_gold_5501" TargetMode="External"/><Relationship Id="rId_hyperlink_6111" Type="http://schemas.openxmlformats.org/officeDocument/2006/relationships/hyperlink" Target="https://old.ukr-mobil.com/korpus_iphone_6s_gold_6713" TargetMode="External"/><Relationship Id="rId_hyperlink_6112" Type="http://schemas.openxmlformats.org/officeDocument/2006/relationships/hyperlink" Target="https://old.ukr-mobil.com/zadnyaya_kryshka_google_pixel_6_pro_original_stormy_black_10003331" TargetMode="External"/><Relationship Id="rId_hyperlink_6113" Type="http://schemas.openxmlformats.org/officeDocument/2006/relationships/hyperlink" Target="https://old.ukr-mobil.com/zadnyaya_kryshka_google_pixel_6_original_kinda_coral_pink_10003329" TargetMode="External"/><Relationship Id="rId_hyperlink_6114" Type="http://schemas.openxmlformats.org/officeDocument/2006/relationships/hyperlink" Target="https://old.ukr-mobil.com/zadnyaya_kryshka_google_pixel_6_original_sorta_seafoam_green_10003330" TargetMode="External"/><Relationship Id="rId_hyperlink_6115" Type="http://schemas.openxmlformats.org/officeDocument/2006/relationships/hyperlink" Target="https://old.ukr-mobil.com/zadnyaya_kryshka_google_pixel_6a_original_chalk_white_10003328" TargetMode="External"/><Relationship Id="rId_hyperlink_6116" Type="http://schemas.openxmlformats.org/officeDocument/2006/relationships/hyperlink" Target="https://old.ukr-mobil.com/zadnyaya_kryshka_google_pixel_6a_original_charcoal_black_10003327" TargetMode="External"/><Relationship Id="rId_hyperlink_6117" Type="http://schemas.openxmlformats.org/officeDocument/2006/relationships/hyperlink" Target="https://old.ukr-mobil.com/zadnyaya_kryshka_google_pixel_6a_original_sage_green_10003326" TargetMode="External"/><Relationship Id="rId_hyperlink_6118" Type="http://schemas.openxmlformats.org/officeDocument/2006/relationships/hyperlink" Target="https://old.ukr-mobil.com/zadnyaya_kryshka_google_pixel_7_pro_original_obsidian_black_10003333" TargetMode="External"/><Relationship Id="rId_hyperlink_6119" Type="http://schemas.openxmlformats.org/officeDocument/2006/relationships/hyperlink" Target="https://old.ukr-mobil.com/zadnyaya_kryshka_google_pixel_7_original_obsidian_black_10003332" TargetMode="External"/><Relationship Id="rId_hyperlink_6120" Type="http://schemas.openxmlformats.org/officeDocument/2006/relationships/hyperlink" Target="https://old.ukr-mobil.com/zadnyaya_kryshka_huawei_honor_10_lite_sky_blue_10000501" TargetMode="External"/><Relationship Id="rId_hyperlink_6121" Type="http://schemas.openxmlformats.org/officeDocument/2006/relationships/hyperlink" Target="https://old.ukr-mobil.com/zadnyaya_kryshka_huawei_honor_8x_original_prc_red_10001156" TargetMode="External"/><Relationship Id="rId_hyperlink_6122" Type="http://schemas.openxmlformats.org/officeDocument/2006/relationships/hyperlink" Target="https://old.ukr-mobil.com/zadnyaya_kryshka_huawei_p_smart_2021_ppa-lx2_original_prc_blush_gold_10002086" TargetMode="External"/><Relationship Id="rId_hyperlink_6123" Type="http://schemas.openxmlformats.org/officeDocument/2006/relationships/hyperlink" Target="https://old.ukr-mobil.com/zadnyaya_kryshka_huawei_p_smart_2021_ppa-lx2_original_prc_green_10002085" TargetMode="External"/><Relationship Id="rId_hyperlink_6124" Type="http://schemas.openxmlformats.org/officeDocument/2006/relationships/hyperlink" Target="https://old.ukr-mobil.com/zadnyaya_kryshka_huawei_p_smart_z_original_prc_black_10001310" TargetMode="External"/><Relationship Id="rId_hyperlink_6125" Type="http://schemas.openxmlformats.org/officeDocument/2006/relationships/hyperlink" Target="https://old.ukr-mobil.com/zadnyaya_kryshka_huawei_p_smart_z_original_prc_blue_10001311" TargetMode="External"/><Relationship Id="rId_hyperlink_6126" Type="http://schemas.openxmlformats.org/officeDocument/2006/relationships/hyperlink" Target="https://old.ukr-mobil.com/zadnyaya_kryshka_huawei_p30_lite_original_prc_white_10001162" TargetMode="External"/><Relationship Id="rId_hyperlink_6127" Type="http://schemas.openxmlformats.org/officeDocument/2006/relationships/hyperlink" Target="https://old.ukr-mobil.com/zadnyaya_kryshka_huawei_p40_lite_original_prc_crush_green_10002082" TargetMode="External"/><Relationship Id="rId_hyperlink_6128" Type="http://schemas.openxmlformats.org/officeDocument/2006/relationships/hyperlink" Target="https://old.ukr-mobil.com/zadnyaya_kryshka_huawei_p40_lite_original_prc_sakura_pink_10002083" TargetMode="External"/><Relationship Id="rId_hyperlink_6129" Type="http://schemas.openxmlformats.org/officeDocument/2006/relationships/hyperlink" Target="https://old.ukr-mobil.com/zadnyaya_kryshka_huawei_p40_lite_original_prc_silver_10002081" TargetMode="External"/><Relationship Id="rId_hyperlink_6130" Type="http://schemas.openxmlformats.org/officeDocument/2006/relationships/hyperlink" Target="https://old.ukr-mobil.com/zadnyaya_kryshka_huawei_y5_2019_so_steklom_kamery_high_copy_amber_brown_10001164" TargetMode="External"/><Relationship Id="rId_hyperlink_6131" Type="http://schemas.openxmlformats.org/officeDocument/2006/relationships/hyperlink" Target="https://old.ukr-mobil.com/zadnyaya_kryshka_huawei_y5_2019_so_steklom_kamery_high_copy_modern_black_10001163" TargetMode="External"/><Relationship Id="rId_hyperlink_6132" Type="http://schemas.openxmlformats.org/officeDocument/2006/relationships/hyperlink" Target="https://old.ukr-mobil.com/zadnyaya_kryshka_huawei_y9_prime_2019_original_prc_black_10001158" TargetMode="External"/><Relationship Id="rId_hyperlink_6133" Type="http://schemas.openxmlformats.org/officeDocument/2006/relationships/hyperlink" Target="https://old.ukr-mobil.com/zadnyaya_kryshka_huawei_y9_prime_2019_original_prc_blue_10001159" TargetMode="External"/><Relationship Id="rId_hyperlink_6134" Type="http://schemas.openxmlformats.org/officeDocument/2006/relationships/hyperlink" Target="https://old.ukr-mobil.com/zadnyaya_kryshka_huawei_y9_prime_2019_original_prc_green_10001160" TargetMode="External"/><Relationship Id="rId_hyperlink_6135" Type="http://schemas.openxmlformats.org/officeDocument/2006/relationships/hyperlink" Target="https://old.ukr-mobil.com/zadnyaya_kryshka_oneplus_10_pro_ne2210_ne2211_ne2213_ne2215_so_steklom_kamery_original_black_10003335" TargetMode="External"/><Relationship Id="rId_hyperlink_6136" Type="http://schemas.openxmlformats.org/officeDocument/2006/relationships/hyperlink" Target="https://old.ukr-mobil.com/zadnyaya_kryshka_oneplus_10t_so_steklom_kamery_original_black_10003336" TargetMode="External"/><Relationship Id="rId_hyperlink_6137" Type="http://schemas.openxmlformats.org/officeDocument/2006/relationships/hyperlink" Target="https://old.ukr-mobil.com/zadnyaya_kryshka_oneplus_10t_so_steklom_kamery_original_green_10003337" TargetMode="External"/><Relationship Id="rId_hyperlink_6138" Type="http://schemas.openxmlformats.org/officeDocument/2006/relationships/hyperlink" Target="https://old.ukr-mobil.com/zadnyaya_kryshka_oneplus_8_in2013_in2017_in2010_in2019_so_steklom_kamery_original_glacial_green_10003340" TargetMode="External"/><Relationship Id="rId_hyperlink_6139" Type="http://schemas.openxmlformats.org/officeDocument/2006/relationships/hyperlink" Target="https://old.ukr-mobil.com/zadnyaya_kryshka_oneplus_8_in2013_in2017_in2010_in2019_so_steklom_kamery_original_interstellar_glow_pink_10003341" TargetMode="External"/><Relationship Id="rId_hyperlink_6140" Type="http://schemas.openxmlformats.org/officeDocument/2006/relationships/hyperlink" Target="https://old.ukr-mobil.com/zadnyaya_kryshka_oneplus_8_in2013_in2017_in2010_in2019_so_steklom_kamery_original_onyx_black_10003339" TargetMode="External"/><Relationship Id="rId_hyperlink_6141" Type="http://schemas.openxmlformats.org/officeDocument/2006/relationships/hyperlink" Target="https://old.ukr-mobil.com/zadnyaya_kryshka_oneplus_8t_kb2003_kb2001_kb2000_so_steklom_kamery_original_aquamarine_green_10003342" TargetMode="External"/><Relationship Id="rId_hyperlink_6142" Type="http://schemas.openxmlformats.org/officeDocument/2006/relationships/hyperlink" Target="https://old.ukr-mobil.com/zadnyaya_kryshka_oneplus_8t_kb2003_kb2001_kb2000_so_steklom_kamery_original_lunar_silver_10003343" TargetMode="External"/><Relationship Id="rId_hyperlink_6143" Type="http://schemas.openxmlformats.org/officeDocument/2006/relationships/hyperlink" Target="https://old.ukr-mobil.com/zadnyaya_kryshka_oneplus_9_le2113_le2111_le2110_so_steklom_kamery_original_arctic_sky_blue_10003346" TargetMode="External"/><Relationship Id="rId_hyperlink_6144" Type="http://schemas.openxmlformats.org/officeDocument/2006/relationships/hyperlink" Target="https://old.ukr-mobil.com/zadnyaya_kryshka_oneplus_9_le2113_le2111_le2110_so_steklom_kamery_original_astral_black_10003345" TargetMode="External"/><Relationship Id="rId_hyperlink_6145" Type="http://schemas.openxmlformats.org/officeDocument/2006/relationships/hyperlink" Target="https://old.ukr-mobil.com/zadnyaya_kryshka_oneplus_9_le2113_le2111_le2110_so_steklom_kamery_original_winter_mist_purple_10003347" TargetMode="External"/><Relationship Id="rId_hyperlink_6146" Type="http://schemas.openxmlformats.org/officeDocument/2006/relationships/hyperlink" Target="https://old.ukr-mobil.com/zadnyaya_kryshka_oneplus_9_pro_le2123_le2121_le2125_le2120_le2127_so_steklom_kamery_original_morning_mist_silver_10003344" TargetMode="External"/><Relationship Id="rId_hyperlink_6147" Type="http://schemas.openxmlformats.org/officeDocument/2006/relationships/hyperlink" Target="https://old.ukr-mobil.com/zadnyaya_kryshka_oneplus_nord_ac2001_ac2003_so_steklom_kamery_original_blue_marble_10003369" TargetMode="External"/><Relationship Id="rId_hyperlink_6148" Type="http://schemas.openxmlformats.org/officeDocument/2006/relationships/hyperlink" Target="https://old.ukr-mobil.com/zadnyaya_kryshka_oneplus_nord_ac2001_ac2003_so_steklom_kamery_original_gray_onyx_10003368" TargetMode="External"/><Relationship Id="rId_hyperlink_6149" Type="http://schemas.openxmlformats.org/officeDocument/2006/relationships/hyperlink" Target="https://old.ukr-mobil.com/zadnyaya_kryshka_oneplus_nord_2_dn2103_dn2101_so_steklom_kamery_original_blue_haze_10003349" TargetMode="External"/><Relationship Id="rId_hyperlink_6150" Type="http://schemas.openxmlformats.org/officeDocument/2006/relationships/hyperlink" Target="https://old.ukr-mobil.com/zadnyaya_kryshka_oneplus_nord_2_dn2103_dn2101_so_steklom_kamery_original_gray_sierra_10003348" TargetMode="External"/><Relationship Id="rId_hyperlink_6151" Type="http://schemas.openxmlformats.org/officeDocument/2006/relationships/hyperlink" Target="https://old.ukr-mobil.com/zadnyaya_kryshka_oneplus_nord_ce_2_lite_5g_original_bahama_blue_10003351" TargetMode="External"/><Relationship Id="rId_hyperlink_6152" Type="http://schemas.openxmlformats.org/officeDocument/2006/relationships/hyperlink" Target="https://old.ukr-mobil.com/zadnyaya_kryshka_oneplus_nord_ce_2_lite_5g_original_black_dusk_10003350" TargetMode="External"/><Relationship Id="rId_hyperlink_6153" Type="http://schemas.openxmlformats.org/officeDocument/2006/relationships/hyperlink" Target="https://old.ukr-mobil.com/zadnyaya_kryshka_oppo_a12_original_prc_black_10001230" TargetMode="External"/><Relationship Id="rId_hyperlink_6154" Type="http://schemas.openxmlformats.org/officeDocument/2006/relationships/hyperlink" Target="https://old.ukr-mobil.com/zadnyaya_kryshka_oppo_a12_original_prc_blue_10001231" TargetMode="External"/><Relationship Id="rId_hyperlink_6155" Type="http://schemas.openxmlformats.org/officeDocument/2006/relationships/hyperlink" Target="https://old.ukr-mobil.com/zadnyaya_kryshka_oppo_a31_original_prc_black_10001232" TargetMode="External"/><Relationship Id="rId_hyperlink_6156" Type="http://schemas.openxmlformats.org/officeDocument/2006/relationships/hyperlink" Target="https://old.ukr-mobil.com/zadnyaya_kryshka_oppo_a31_original_prc_green_10001233" TargetMode="External"/><Relationship Id="rId_hyperlink_6157" Type="http://schemas.openxmlformats.org/officeDocument/2006/relationships/hyperlink" Target="https://old.ukr-mobil.com/zadnyaya_kryshka_oppo_a5_2020_original_prc_black_10001234" TargetMode="External"/><Relationship Id="rId_hyperlink_6158" Type="http://schemas.openxmlformats.org/officeDocument/2006/relationships/hyperlink" Target="https://old.ukr-mobil.com/zadnyaya_kryshka_oppo_a5_2020_original_prc_blue_10001235" TargetMode="External"/><Relationship Id="rId_hyperlink_6159" Type="http://schemas.openxmlformats.org/officeDocument/2006/relationships/hyperlink" Target="https://old.ukr-mobil.com/zadnyaya_kryshka_oppo_a52_original_prc_black_10001236" TargetMode="External"/><Relationship Id="rId_hyperlink_6160" Type="http://schemas.openxmlformats.org/officeDocument/2006/relationships/hyperlink" Target="https://old.ukr-mobil.com/zadnyaya_kryshka_oppo_a53_original_prc_black_10001237" TargetMode="External"/><Relationship Id="rId_hyperlink_6161" Type="http://schemas.openxmlformats.org/officeDocument/2006/relationships/hyperlink" Target="https://old.ukr-mobil.com/zadnyaya_kryshka_oppo_a53_original_prc_blue_10001238" TargetMode="External"/><Relationship Id="rId_hyperlink_6162" Type="http://schemas.openxmlformats.org/officeDocument/2006/relationships/hyperlink" Target="https://old.ukr-mobil.com/zadnyaya_kryshka_oppo_a53_original_prc_white_10001255" TargetMode="External"/><Relationship Id="rId_hyperlink_6163" Type="http://schemas.openxmlformats.org/officeDocument/2006/relationships/hyperlink" Target="https://old.ukr-mobil.com/zadnyaya_kryshka_oppo_a9_2020_original_prc_black_10001240" TargetMode="External"/><Relationship Id="rId_hyperlink_6164" Type="http://schemas.openxmlformats.org/officeDocument/2006/relationships/hyperlink" Target="https://old.ukr-mobil.com/zadnyaya_kryshka_oppo_a9_2020_original_prc_blue_10001241" TargetMode="External"/><Relationship Id="rId_hyperlink_6165" Type="http://schemas.openxmlformats.org/officeDocument/2006/relationships/hyperlink" Target="https://old.ukr-mobil.com/zadnyaya_kryshka_oppo_a91_original_prc_black_10001242" TargetMode="External"/><Relationship Id="rId_hyperlink_6166" Type="http://schemas.openxmlformats.org/officeDocument/2006/relationships/hyperlink" Target="https://old.ukr-mobil.com/zadnyaya_kryshka_oppo_a91_original_prc_blue_10001243" TargetMode="External"/><Relationship Id="rId_hyperlink_6167" Type="http://schemas.openxmlformats.org/officeDocument/2006/relationships/hyperlink" Target="https://old.ukr-mobil.com/zadnyaya_kryshka_oppo_realme_6_pro_original_prc_red_10002200" TargetMode="External"/><Relationship Id="rId_hyperlink_6168" Type="http://schemas.openxmlformats.org/officeDocument/2006/relationships/hyperlink" Target="https://old.ukr-mobil.com/zadnyaya_kryshka_oppo_realme_6_original_prc_black_10002197" TargetMode="External"/><Relationship Id="rId_hyperlink_6169" Type="http://schemas.openxmlformats.org/officeDocument/2006/relationships/hyperlink" Target="https://old.ukr-mobil.com/zadnyaya_kryshka_oppo_realme_6_original_prc_white_10002198" TargetMode="External"/><Relationship Id="rId_hyperlink_6170" Type="http://schemas.openxmlformats.org/officeDocument/2006/relationships/hyperlink" Target="https://old.ukr-mobil.com/zadnyaya_kryshka_oppo_realme_6i_original_prc_black_10001244" TargetMode="External"/><Relationship Id="rId_hyperlink_6171" Type="http://schemas.openxmlformats.org/officeDocument/2006/relationships/hyperlink" Target="https://old.ukr-mobil.com/zadnyaya_kryshka_oppo_realme_c11_original_prc_green_10002201" TargetMode="External"/><Relationship Id="rId_hyperlink_6172" Type="http://schemas.openxmlformats.org/officeDocument/2006/relationships/hyperlink" Target="https://old.ukr-mobil.com/zadnyaya_kryshka_oppo_realme_c3_original_prc_red_10001254" TargetMode="External"/><Relationship Id="rId_hyperlink_6173" Type="http://schemas.openxmlformats.org/officeDocument/2006/relationships/hyperlink" Target="https://old.ukr-mobil.com/zadnyaya_kryshka_samsung_a01_galaxy_a015_original_prc_black_10001895" TargetMode="External"/><Relationship Id="rId_hyperlink_6174" Type="http://schemas.openxmlformats.org/officeDocument/2006/relationships/hyperlink" Target="https://old.ukr-mobil.com/zadnyaya_kryshka_samsung_a022_galaxy_a02_original_prc_black_10001856" TargetMode="External"/><Relationship Id="rId_hyperlink_6175" Type="http://schemas.openxmlformats.org/officeDocument/2006/relationships/hyperlink" Target="https://old.ukr-mobil.com/zadnyaya_kryshka_samsung_a207_galaxy_a20s_original_prc_black_10001860" TargetMode="External"/><Relationship Id="rId_hyperlink_6176" Type="http://schemas.openxmlformats.org/officeDocument/2006/relationships/hyperlink" Target="https://old.ukr-mobil.com/zadnyaya_kryshka_samsung_a207_galaxy_a20s_original_prc_blue_10001861" TargetMode="External"/><Relationship Id="rId_hyperlink_6177" Type="http://schemas.openxmlformats.org/officeDocument/2006/relationships/hyperlink" Target="https://old.ukr-mobil.com/zadnyaya_kryshka_samsung_a207_galaxy_a20s_original_prc_green_10001862" TargetMode="External"/><Relationship Id="rId_hyperlink_6178" Type="http://schemas.openxmlformats.org/officeDocument/2006/relationships/hyperlink" Target="https://old.ukr-mobil.com/zadnyaya_kryshka_samsung_a217_galaxy_a21s_original_prc_black_10001863" TargetMode="External"/><Relationship Id="rId_hyperlink_6179" Type="http://schemas.openxmlformats.org/officeDocument/2006/relationships/hyperlink" Target="https://old.ukr-mobil.com/zadnyaya_kryshka_samsung_a217_galaxy_a21s_original_prc_white_10001865" TargetMode="External"/><Relationship Id="rId_hyperlink_6180" Type="http://schemas.openxmlformats.org/officeDocument/2006/relationships/hyperlink" Target="https://old.ukr-mobil.com/zadnyaya_kryshka_samsung_a315_galaxy_a31_original_prc_black_10001866" TargetMode="External"/><Relationship Id="rId_hyperlink_6181" Type="http://schemas.openxmlformats.org/officeDocument/2006/relationships/hyperlink" Target="https://old.ukr-mobil.com/zadnyaya_kryshka_samsung_a515_galaxy_a51_original_prc_black_10001867" TargetMode="External"/><Relationship Id="rId_hyperlink_6182" Type="http://schemas.openxmlformats.org/officeDocument/2006/relationships/hyperlink" Target="https://old.ukr-mobil.com/zadnyaya_kryshka_samsung_g950_galaxy_s8_high_copy_orchid_gray_9984" TargetMode="External"/><Relationship Id="rId_hyperlink_6183" Type="http://schemas.openxmlformats.org/officeDocument/2006/relationships/hyperlink" Target="https://old.ukr-mobil.com/zadnyaya_kryshka_samsung_g955_galaxy_s8_plus_high_copy_orchid_gray_9973" TargetMode="External"/><Relationship Id="rId_hyperlink_6184" Type="http://schemas.openxmlformats.org/officeDocument/2006/relationships/hyperlink" Target="https://old.ukr-mobil.com/zadnyaya_kryshka_samsung_g980_galaxy_s20_original_black_10001555" TargetMode="External"/><Relationship Id="rId_hyperlink_6185" Type="http://schemas.openxmlformats.org/officeDocument/2006/relationships/hyperlink" Target="https://old.ukr-mobil.com/zadnyaya_kryshka_samsung_g985_galaxy_s20_plus_original_black_10001554" TargetMode="External"/><Relationship Id="rId_hyperlink_6186" Type="http://schemas.openxmlformats.org/officeDocument/2006/relationships/hyperlink" Target="https://old.ukr-mobil.com/zadnyaya_kryshka_samsung_g988_galaxy_s20_ultra_original_black_10000650" TargetMode="External"/><Relationship Id="rId_hyperlink_6187" Type="http://schemas.openxmlformats.org/officeDocument/2006/relationships/hyperlink" Target="https://old.ukr-mobil.com/zadnyaya_kryshka_samsung_g991_galaxy_s21_original_prc_phantom_grey_10002108" TargetMode="External"/><Relationship Id="rId_hyperlink_6188" Type="http://schemas.openxmlformats.org/officeDocument/2006/relationships/hyperlink" Target="https://old.ukr-mobil.com/zadnyaya_kryshka_samsung_g998_galaxy_s21_ultra_original_prc_phantom_black_10002109" TargetMode="External"/><Relationship Id="rId_hyperlink_6189" Type="http://schemas.openxmlformats.org/officeDocument/2006/relationships/hyperlink" Target="https://old.ukr-mobil.com/zadnyaya_kryshka_samsung_n950_galaxy_note_8_black_9974" TargetMode="External"/><Relationship Id="rId_hyperlink_6190" Type="http://schemas.openxmlformats.org/officeDocument/2006/relationships/hyperlink" Target="https://old.ukr-mobil.com/zadnyaya_kryshka_samsung_n950_galaxy_note_8_silver_9980" TargetMode="External"/><Relationship Id="rId_hyperlink_6191" Type="http://schemas.openxmlformats.org/officeDocument/2006/relationships/hyperlink" Target="https://old.ukr-mobil.com/zadnyaya_kryshka_samsung_n960_galaxy_note_9_midnight_black_12158" TargetMode="External"/><Relationship Id="rId_hyperlink_6192" Type="http://schemas.openxmlformats.org/officeDocument/2006/relationships/hyperlink" Target="https://old.ukr-mobil.com/zadnyaya_kryshka_samsung_n960_galaxy_note_9_ocean_blue_12160" TargetMode="External"/><Relationship Id="rId_hyperlink_6193" Type="http://schemas.openxmlformats.org/officeDocument/2006/relationships/hyperlink" Target="https://old.ukr-mobil.com/zadnyaya_kryshka_samsung_n970_galaxy_note_10_original_prc_black_10002110" TargetMode="External"/><Relationship Id="rId_hyperlink_6194" Type="http://schemas.openxmlformats.org/officeDocument/2006/relationships/hyperlink" Target="https://old.ukr-mobil.com/zadnyaya_kryshka_samsung_n975_galaxy_note_10_plus_original_prc_black_10002111" TargetMode="External"/><Relationship Id="rId_hyperlink_6195" Type="http://schemas.openxmlformats.org/officeDocument/2006/relationships/hyperlink" Target="https://old.ukr-mobil.com/zadnyaya_kryshka_samsung_n980_galaxy_note_20_n981_galaxy_note_20_5g_original_prc_grey_10002112" TargetMode="External"/><Relationship Id="rId_hyperlink_6196" Type="http://schemas.openxmlformats.org/officeDocument/2006/relationships/hyperlink" Target="https://old.ukr-mobil.com/zadnyaya_kryshka_sony_c6902_xperia_z1_c6903_xperia_z1_white_4850" TargetMode="External"/><Relationship Id="rId_hyperlink_6197" Type="http://schemas.openxmlformats.org/officeDocument/2006/relationships/hyperlink" Target="https://old.ukr-mobil.com/zadnyaya_kryshka_sony_d5503_xperia_z1_compact_black_6803" TargetMode="External"/><Relationship Id="rId_hyperlink_6198" Type="http://schemas.openxmlformats.org/officeDocument/2006/relationships/hyperlink" Target="https://old.ukr-mobil.com/zadnyaya_kryshka_sony_d6502_xperia_z2_d6503_xperia_z2_white_6031" TargetMode="External"/><Relationship Id="rId_hyperlink_6199" Type="http://schemas.openxmlformats.org/officeDocument/2006/relationships/hyperlink" Target="https://old.ukr-mobil.com/zadnyaya_kryshka_sony_e6833_xperia_z5_premium_dual_e6853_xperia_z5_premium_e6883_xperia_z5_premium_dual_grey_9296" TargetMode="External"/><Relationship Id="rId_hyperlink_6200" Type="http://schemas.openxmlformats.org/officeDocument/2006/relationships/hyperlink" Target="https://old.ukr-mobil.com/zadnyaya_kryshka_sony_f3111_xperia_xa_f3112_xperia_xa_dual_f3113_xperia_xa_f3115_xperia_xa_f3116_xperia_xa_dual_black_9298" TargetMode="External"/><Relationship Id="rId_hyperlink_6201" Type="http://schemas.openxmlformats.org/officeDocument/2006/relationships/hyperlink" Target="https://old.ukr-mobil.com/zadnyaya_kryshka_sony_g3311_xperia_l1_g3312_xperia_l1_g3313_xperia_l1_black_12121" TargetMode="External"/><Relationship Id="rId_hyperlink_6202" Type="http://schemas.openxmlformats.org/officeDocument/2006/relationships/hyperlink" Target="https://old.ukr-mobil.com/zadnyaya_kryshka_vivo_y15_original_prc_black_10001247" TargetMode="External"/><Relationship Id="rId_hyperlink_6203" Type="http://schemas.openxmlformats.org/officeDocument/2006/relationships/hyperlink" Target="https://old.ukr-mobil.com/zadnyaya_kryshka_vivo_y15_original_prc_burgundy_red_10001252" TargetMode="External"/><Relationship Id="rId_hyperlink_6204" Type="http://schemas.openxmlformats.org/officeDocument/2006/relationships/hyperlink" Target="https://old.ukr-mobil.com/zadnyaya_kryshka_vivo_y30_original_prc_black_10001248" TargetMode="External"/><Relationship Id="rId_hyperlink_6205" Type="http://schemas.openxmlformats.org/officeDocument/2006/relationships/hyperlink" Target="https://old.ukr-mobil.com/zadnyaya_kryshka_vivo_y30_original_prc_purple_10001253" TargetMode="External"/><Relationship Id="rId_hyperlink_6206" Type="http://schemas.openxmlformats.org/officeDocument/2006/relationships/hyperlink" Target="https://old.ukr-mobil.com/zadnyaya_kryshka_poco_m3_original_prc_black_10002105" TargetMode="External"/><Relationship Id="rId_hyperlink_6207" Type="http://schemas.openxmlformats.org/officeDocument/2006/relationships/hyperlink" Target="https://old.ukr-mobil.com/zadnyaya_kryshka_poco_m3_original_prc_blue_10002106" TargetMode="External"/><Relationship Id="rId_hyperlink_6208" Type="http://schemas.openxmlformats.org/officeDocument/2006/relationships/hyperlink" Target="https://old.ukr-mobil.com/zadnyaya_kryshka_redmi_note_10_redmi_note_10s_original_prc_pebble_white_10002099" TargetMode="External"/><Relationship Id="rId_hyperlink_6209" Type="http://schemas.openxmlformats.org/officeDocument/2006/relationships/hyperlink" Target="https://old.ukr-mobil.com/zadnyaya_kryshka_redmi_note_10_redmi_note_10s_original_prc_starlight_purple_10002100" TargetMode="External"/><Relationship Id="rId_hyperlink_6210" Type="http://schemas.openxmlformats.org/officeDocument/2006/relationships/hyperlink" Target="https://old.ukr-mobil.com/zadnyaya_kryshka_xiaomi_mi_11_lite_original_prc_pink_10003198" TargetMode="External"/><Relationship Id="rId_hyperlink_6211" Type="http://schemas.openxmlformats.org/officeDocument/2006/relationships/hyperlink" Target="https://old.ukr-mobil.com/zadnyaya_kryshka_xiaomi_mi_11i_original_prc_celestial_silver_10003220" TargetMode="External"/><Relationship Id="rId_hyperlink_6212" Type="http://schemas.openxmlformats.org/officeDocument/2006/relationships/hyperlink" Target="https://old.ukr-mobil.com/zadnyaya_kryshka_xiaomi_mi_11i_original_prc_frosty_white_10003221" TargetMode="External"/><Relationship Id="rId_hyperlink_6213" Type="http://schemas.openxmlformats.org/officeDocument/2006/relationships/hyperlink" Target="https://old.ukr-mobil.com/zadnyaya_kryshka_xiaomi_mi_8_so_steklom_kamery_black_10002457" TargetMode="External"/><Relationship Id="rId_hyperlink_6214" Type="http://schemas.openxmlformats.org/officeDocument/2006/relationships/hyperlink" Target="https://old.ukr-mobil.com/zadnyaya_kryshka_xiaomi_redmi_9t_original_prc_blue_10002090" TargetMode="External"/><Relationship Id="rId_hyperlink_6215" Type="http://schemas.openxmlformats.org/officeDocument/2006/relationships/hyperlink" Target="https://old.ukr-mobil.com/zadnyaya_kryshka_xiaomi_redmi_note_7_pink_10002607" TargetMode="External"/><Relationship Id="rId_hyperlink_6216" Type="http://schemas.openxmlformats.org/officeDocument/2006/relationships/hyperlink" Target="https://old.ukr-mobil.com/zadnyaya_kryshka_xiaomi_redmi_note_8_pro_so_steklom_kamery_green_10002469" TargetMode="External"/><Relationship Id="rId_hyperlink_6217" Type="http://schemas.openxmlformats.org/officeDocument/2006/relationships/hyperlink" Target="https://old.ukr-mobil.com/zadnyaya_kryshka_xiaomi_redmi_note_9_original_prc_onyx_black_10001178" TargetMode="External"/><Relationship Id="rId_hyperlink_6218" Type="http://schemas.openxmlformats.org/officeDocument/2006/relationships/hyperlink" Target="https://old.ukr-mobil.com/bga_shariki_mechanic_0_55mm_10000_sht_sostav_sn_63_pb_37_12310" TargetMode="External"/><Relationship Id="rId_hyperlink_6219" Type="http://schemas.openxmlformats.org/officeDocument/2006/relationships/hyperlink" Target="https://old.ukr-mobil.com/bga_shariki_mechanic_0_65mm_10000_sht_sostav_sn_63_pb_37_12309" TargetMode="External"/><Relationship Id="rId_hyperlink_6220" Type="http://schemas.openxmlformats.org/officeDocument/2006/relationships/hyperlink" Target="https://old.ukr-mobil.com/zhalo_900-t-i_s_re_665" TargetMode="External"/><Relationship Id="rId_hyperlink_6221" Type="http://schemas.openxmlformats.org/officeDocument/2006/relationships/hyperlink" Target="https://old.ukr-mobil.com/zhalo_900m-t-2_4d_med_kitaj_6795" TargetMode="External"/><Relationship Id="rId_hyperlink_6222" Type="http://schemas.openxmlformats.org/officeDocument/2006/relationships/hyperlink" Target="https://old.ukr-mobil.com/zhalo_900m-t-fi_gsm-sources_bez_svinca_11836" TargetMode="External"/><Relationship Id="rId_hyperlink_6223" Type="http://schemas.openxmlformats.org/officeDocument/2006/relationships/hyperlink" Target="https://old.ukr-mobil.com/zhalo_900m-t-fs_gsm-sources_izognutoe_bez_svinca_11837" TargetMode="External"/><Relationship Id="rId_hyperlink_6224" Type="http://schemas.openxmlformats.org/officeDocument/2006/relationships/hyperlink" Target="https://old.ukr-mobil.com/zhalo_900m-t-i_relife_bez_svinca_10000700" TargetMode="External"/><Relationship Id="rId_hyperlink_6225" Type="http://schemas.openxmlformats.org/officeDocument/2006/relationships/hyperlink" Target="https://old.ukr-mobil.com/zhalo_900m-t-i_med_kitaj_6794" TargetMode="External"/><Relationship Id="rId_hyperlink_6226" Type="http://schemas.openxmlformats.org/officeDocument/2006/relationships/hyperlink" Target="https://old.ukr-mobil.com/zhalo_900m-t-is_relife_izognutoe_bez_svinca_10000699" TargetMode="External"/><Relationship Id="rId_hyperlink_6227" Type="http://schemas.openxmlformats.org/officeDocument/2006/relationships/hyperlink" Target="https://old.ukr-mobil.com/zhalo_900m-t-is_izognutoe_med_kitaj_11819" TargetMode="External"/><Relationship Id="rId_hyperlink_6228" Type="http://schemas.openxmlformats.org/officeDocument/2006/relationships/hyperlink" Target="https://old.ukr-mobil.com/zhalo_900m-t-k_med_kitaj_6796" TargetMode="External"/><Relationship Id="rId_hyperlink_6229" Type="http://schemas.openxmlformats.org/officeDocument/2006/relationships/hyperlink" Target="https://old.ukr-mobil.com/zhalo_aina_900m-t-i_s_re_1558" TargetMode="External"/><Relationship Id="rId_hyperlink_6230" Type="http://schemas.openxmlformats.org/officeDocument/2006/relationships/hyperlink" Target="https://old.ukr-mobil.com/zhalo_baku_bk-900-t-i_s_re_1sht_2933" TargetMode="External"/><Relationship Id="rId_hyperlink_6231" Type="http://schemas.openxmlformats.org/officeDocument/2006/relationships/hyperlink" Target="https://old.ukr-mobil.com/zhalo_baku_bk-900-t-ic_10000365" TargetMode="External"/><Relationship Id="rId_hyperlink_6232" Type="http://schemas.openxmlformats.org/officeDocument/2006/relationships/hyperlink" Target="https://old.ukr-mobil.com/zhalo_baku_bk-900-t-s_10000364" TargetMode="External"/><Relationship Id="rId_hyperlink_6233" Type="http://schemas.openxmlformats.org/officeDocument/2006/relationships/hyperlink" Target="https://old.ukr-mobil.com/zhalo_hako_900m-m-k_2_4d_9902" TargetMode="External"/><Relationship Id="rId_hyperlink_6234" Type="http://schemas.openxmlformats.org/officeDocument/2006/relationships/hyperlink" Target="https://old.ukr-mobil.com/zhalo_hako_900m-t-i_2893" TargetMode="External"/><Relationship Id="rId_hyperlink_6235" Type="http://schemas.openxmlformats.org/officeDocument/2006/relationships/hyperlink" Target="https://old.ukr-mobil.com/zhalo_hako_900m-t-k_9904" TargetMode="External"/><Relationship Id="rId_hyperlink_6236" Type="http://schemas.openxmlformats.org/officeDocument/2006/relationships/hyperlink" Target="https://old.ukr-mobil.com/zhalo_quick_936_900-i_10004330" TargetMode="External"/><Relationship Id="rId_hyperlink_6237" Type="http://schemas.openxmlformats.org/officeDocument/2006/relationships/hyperlink" Target="https://old.ukr-mobil.com/zhalo_quick_936_900-k_10004327" TargetMode="External"/><Relationship Id="rId_hyperlink_6238" Type="http://schemas.openxmlformats.org/officeDocument/2006/relationships/hyperlink" Target="https://old.ukr-mobil.com/zhalo_quick_936_900-si_10004329" TargetMode="External"/><Relationship Id="rId_hyperlink_6239" Type="http://schemas.openxmlformats.org/officeDocument/2006/relationships/hyperlink" Target="https://old.ukr-mobil.com/zhalo_quick_936_900-sk_10004328" TargetMode="External"/><Relationship Id="rId_hyperlink_6240" Type="http://schemas.openxmlformats.org/officeDocument/2006/relationships/hyperlink" Target="https://old.ukr-mobil.com/zhalo_dlya_indukcionnoj_payalnoj_stancii_quick_203h_tip_zhala_1c_10001763" TargetMode="External"/><Relationship Id="rId_hyperlink_6241" Type="http://schemas.openxmlformats.org/officeDocument/2006/relationships/hyperlink" Target="https://old.ukr-mobil.com/zhalo_dlya_indukcionnoj_payalnoj_stancii_quick_203h_tip_zhala_3c_10001765" TargetMode="External"/><Relationship Id="rId_hyperlink_6242" Type="http://schemas.openxmlformats.org/officeDocument/2006/relationships/hyperlink" Target="https://old.ukr-mobil.com/zhalo_dlya_indukcionnoj_payalnoj_stancii_quick_203h_tip_zhala_i_10001768" TargetMode="External"/><Relationship Id="rId_hyperlink_6243" Type="http://schemas.openxmlformats.org/officeDocument/2006/relationships/hyperlink" Target="https://old.ukr-mobil.com/zhalo_dlya_indukcionnoj_payalnoj_stancii_quick_203h_tip_zhala_j_10001766" TargetMode="External"/><Relationship Id="rId_hyperlink_6244" Type="http://schemas.openxmlformats.org/officeDocument/2006/relationships/hyperlink" Target="https://old.ukr-mobil.com/zhalo_dlya_indukcionnoj_payalnoj_stancii_quick_203h_tip_zhala_li_10001767" TargetMode="External"/><Relationship Id="rId_hyperlink_6245" Type="http://schemas.openxmlformats.org/officeDocument/2006/relationships/hyperlink" Target="https://old.ukr-mobil.com/zhalo_dlya_indukcionnoj_payalnoj_stancii_quick_203h_tip_zhala_sk_10001764" TargetMode="External"/><Relationship Id="rId_hyperlink_6246" Type="http://schemas.openxmlformats.org/officeDocument/2006/relationships/hyperlink" Target="https://old.ukr-mobil.com/zhalo_dlya_payalnikov_quick_ts1200a_tss02-3c_10001650" TargetMode="External"/><Relationship Id="rId_hyperlink_6247" Type="http://schemas.openxmlformats.org/officeDocument/2006/relationships/hyperlink" Target="https://old.ukr-mobil.com/zhalo_dlya_payalnikov_quick_ts1200a_tss02-i_12286" TargetMode="External"/><Relationship Id="rId_hyperlink_6248" Type="http://schemas.openxmlformats.org/officeDocument/2006/relationships/hyperlink" Target="https://old.ukr-mobil.com/zhalo_dlya_payalnikov_quick_ts1200a_tss02-j_10001649" TargetMode="External"/><Relationship Id="rId_hyperlink_6249" Type="http://schemas.openxmlformats.org/officeDocument/2006/relationships/hyperlink" Target="https://old.ukr-mobil.com/zhalo_dlya_payalnikov_quick_ts1200a_tss02-k_10001651" TargetMode="External"/><Relationship Id="rId_hyperlink_6250" Type="http://schemas.openxmlformats.org/officeDocument/2006/relationships/hyperlink" Target="https://old.ukr-mobil.com/zhalo_dlya_payalnikov_quick_ts1200a_tss02-sk_12287" TargetMode="External"/><Relationship Id="rId_hyperlink_6251" Type="http://schemas.openxmlformats.org/officeDocument/2006/relationships/hyperlink" Target="https://old.ukr-mobil.com/zhalo_dlya_payalnikov_quick_ts1200a_tss02b-i-02_10001646" TargetMode="External"/><Relationship Id="rId_hyperlink_6252" Type="http://schemas.openxmlformats.org/officeDocument/2006/relationships/hyperlink" Target="https://old.ukr-mobil.com/zhalo_dlya_payalnikov_quick_ts1200a_tss02b-j-02_10001647" TargetMode="External"/><Relationship Id="rId_hyperlink_6253" Type="http://schemas.openxmlformats.org/officeDocument/2006/relationships/hyperlink" Target="https://old.ukr-mobil.com/zhalo_dlya_payalnikov_quick_ts1200a_tss02b-sk-02_10001648" TargetMode="External"/><Relationship Id="rId_hyperlink_6254" Type="http://schemas.openxmlformats.org/officeDocument/2006/relationships/hyperlink" Target="https://old.ukr-mobil.com/sredstvo_dlya_ochistki_zhal_mechanic_s9_12297" TargetMode="External"/><Relationship Id="rId_hyperlink_6255" Type="http://schemas.openxmlformats.org/officeDocument/2006/relationships/hyperlink" Target="https://old.ukr-mobil.com/sredstvo_dlya_ochistki_zhal_relife_rl-461_12250" TargetMode="External"/><Relationship Id="rId_hyperlink_6256" Type="http://schemas.openxmlformats.org/officeDocument/2006/relationships/hyperlink" Target="https://old.ukr-mobil.com/rastvoritel_dlya_udaleniya_kleyaz_bga_m_kroskhem_yaxun_yx-535_20ml_5356" TargetMode="External"/><Relationship Id="rId_hyperlink_6257" Type="http://schemas.openxmlformats.org/officeDocument/2006/relationships/hyperlink" Target="https://old.ukr-mobil.com/antistaticheskij_termostojkij_kovrik_dlya_pajki_silikonovyj_s120_7388" TargetMode="External"/><Relationship Id="rId_hyperlink_6258" Type="http://schemas.openxmlformats.org/officeDocument/2006/relationships/hyperlink" Target="https://old.ukr-mobil.com/antistaticheskij_termostojkij_kovrik_dlya_pajki_s_magnitnymi_zonami_silikonovyj_s160_8502" TargetMode="External"/><Relationship Id="rId_hyperlink_6259" Type="http://schemas.openxmlformats.org/officeDocument/2006/relationships/hyperlink" Target="https://old.ukr-mobil.com/nabor_mechanic_gs2_dlya_vosstanovlenie_kontaktnyh_ploshchadok_pyatakov_10002780" TargetMode="External"/><Relationship Id="rId_hyperlink_6260" Type="http://schemas.openxmlformats.org/officeDocument/2006/relationships/hyperlink" Target="https://old.ukr-mobil.com/opletka_dlya_snyatiya_pripoya_baku_bk-2015_1_5m_2_0mm_6598" TargetMode="External"/><Relationship Id="rId_hyperlink_6261" Type="http://schemas.openxmlformats.org/officeDocument/2006/relationships/hyperlink" Target="https://old.ukr-mobil.com/opletka_dlya_snyatiya_pripoya_mechanic_r300_1015_dlina_1_5_m_shirina_1_0_mm_10002760" TargetMode="External"/><Relationship Id="rId_hyperlink_6262" Type="http://schemas.openxmlformats.org/officeDocument/2006/relationships/hyperlink" Target="https://old.ukr-mobil.com/opletka_dlya_snyatiya_pripoya_mechanic_1_5m_1_5mm_11955" TargetMode="External"/><Relationship Id="rId_hyperlink_6263" Type="http://schemas.openxmlformats.org/officeDocument/2006/relationships/hyperlink" Target="https://old.ukr-mobil.com/opletka_dlya_snyatiya_pripoya_mechanic_r350_1015_dlina_1_5_m_shirina_1_0_mm_10002759" TargetMode="External"/><Relationship Id="rId_hyperlink_6264" Type="http://schemas.openxmlformats.org/officeDocument/2006/relationships/hyperlink" Target="https://old.ukr-mobil.com/opletka_dlya_snyatiya_pripoya_mechanic_r350_1_5m_1_5mm_11954" TargetMode="External"/><Relationship Id="rId_hyperlink_6265" Type="http://schemas.openxmlformats.org/officeDocument/2006/relationships/hyperlink" Target="https://old.ukr-mobil.com/payalnaya_maska_baku_bk-126_8g_zelenaya_11038" TargetMode="External"/><Relationship Id="rId_hyperlink_6266" Type="http://schemas.openxmlformats.org/officeDocument/2006/relationships/hyperlink" Target="https://old.ukr-mobil.com/payalnaya_maska_mechanic_hy-uvh900_odnokomponentnaya_s_uf-otverzhdeniem_zelenyj_10ml_9863" TargetMode="External"/><Relationship Id="rId_hyperlink_6267" Type="http://schemas.openxmlformats.org/officeDocument/2006/relationships/hyperlink" Target="https://old.ukr-mobil.com/payalnaya_maska_mechanic_hy-uvh900_odnokomponentnaya_s_uf-otverzhdeniem_krasnyj_10ml_11786" TargetMode="External"/><Relationship Id="rId_hyperlink_6268" Type="http://schemas.openxmlformats.org/officeDocument/2006/relationships/hyperlink" Target="https://old.ukr-mobil.com/payalnaya_maska_mechanic_hy-uvh900_odnokomponentnaya_s_uf-otverzhdeniem_chernaya_10ml_9862" TargetMode="External"/><Relationship Id="rId_hyperlink_6269" Type="http://schemas.openxmlformats.org/officeDocument/2006/relationships/hyperlink" Target="https://old.ukr-mobil.com/payalnaya_maska_mechanic_lvh900-hy_odnokomponentnaya_s_ultrafioletovym_otverzhdeniem_chyornaya_10_ml_10002757" TargetMode="External"/><Relationship Id="rId_hyperlink_6270" Type="http://schemas.openxmlformats.org/officeDocument/2006/relationships/hyperlink" Target="https://old.ukr-mobil.com/payalnaya_maska_mechanic_lvh900-ly_odnokomponentnaya_s_ultrafioletovym_otverzhdeniem_zelenaya_10_ml_10002756" TargetMode="External"/><Relationship Id="rId_hyperlink_6271" Type="http://schemas.openxmlformats.org/officeDocument/2006/relationships/hyperlink" Target="https://old.ukr-mobil.com/payalnaya_maska_mechanic_lvh900-ry_odnokomponentnaya_s_ultrafioletovym_otverzhdeniem_krasnaya_10_ml_10002758" TargetMode="External"/><Relationship Id="rId_hyperlink_6272" Type="http://schemas.openxmlformats.org/officeDocument/2006/relationships/hyperlink" Target="https://old.ukr-mobil.com/pasta_bga_dlya_nakatyvaniya_sharov_mechanic_mcn-300_20g_9562" TargetMode="External"/><Relationship Id="rId_hyperlink_6273" Type="http://schemas.openxmlformats.org/officeDocument/2006/relationships/hyperlink" Target="https://old.ukr-mobil.com/pasta_bga_dlya_nakatyvaniya_sharov_mechanic_ns38_temperatura_plavleniya_138_c_40g_bezsvincovaya_10001513" TargetMode="External"/><Relationship Id="rId_hyperlink_6274" Type="http://schemas.openxmlformats.org/officeDocument/2006/relationships/hyperlink" Target="https://old.ukr-mobil.com/pasta_bga_dlya_nakatyvaniya_sharov_mechanic_v3b45_temperatura_plavleniya_138_c_20g_10001510" TargetMode="External"/><Relationship Id="rId_hyperlink_6275" Type="http://schemas.openxmlformats.org/officeDocument/2006/relationships/hyperlink" Target="https://old.ukr-mobil.com/pasta_bga_dlya_nakatyvaniya_sharov_mechanic_v4b48_temperatura_plavleniya_138_c_35g_10001511" TargetMode="External"/><Relationship Id="rId_hyperlink_6276" Type="http://schemas.openxmlformats.org/officeDocument/2006/relationships/hyperlink" Target="https://old.ukr-mobil.com/pasta_bga_dlya_nakatyvaniya_sharov_mechanic_v4s38_temperatura_plavleniya_217_c_35g_10001512" TargetMode="External"/><Relationship Id="rId_hyperlink_6277" Type="http://schemas.openxmlformats.org/officeDocument/2006/relationships/hyperlink" Target="https://old.ukr-mobil.com/pasta_bga_dlya_nakatyvaniya_sharov_mechanic_mcn-300_42_g_9563" TargetMode="External"/><Relationship Id="rId_hyperlink_6278" Type="http://schemas.openxmlformats.org/officeDocument/2006/relationships/hyperlink" Target="https://old.ukr-mobil.com/pasta_dlya_bga_baku_30gr_3658" TargetMode="External"/><Relationship Id="rId_hyperlink_6279" Type="http://schemas.openxmlformats.org/officeDocument/2006/relationships/hyperlink" Target="https://old.ukr-mobil.com/pasta_dlya_bga_baku_bk-050g_50gr_641" TargetMode="External"/><Relationship Id="rId_hyperlink_6280" Type="http://schemas.openxmlformats.org/officeDocument/2006/relationships/hyperlink" Target="https://old.ukr-mobil.com/pasta_dlya_bga_baku_bk-6350_shpric_50gr_1569" TargetMode="External"/><Relationship Id="rId_hyperlink_6281" Type="http://schemas.openxmlformats.org/officeDocument/2006/relationships/hyperlink" Target="https://old.ukr-mobil.com/pasta_dlya_bga_worktop_wk-051g_50gr_3657" TargetMode="External"/><Relationship Id="rId_hyperlink_6282" Type="http://schemas.openxmlformats.org/officeDocument/2006/relationships/hyperlink" Target="https://old.ukr-mobil.com/pripoj_baku_bk-10004_sn_97_ag_0_3_cu_0_7_flyus_2_0_4_mm_50_g_1209" TargetMode="External"/><Relationship Id="rId_hyperlink_6283" Type="http://schemas.openxmlformats.org/officeDocument/2006/relationships/hyperlink" Target="https://old.ukr-mobil.com/pripoj_mechanic_hx-t100_sn_63_pb_37_flyus_1_3_0_3mm_50g_10984" TargetMode="External"/><Relationship Id="rId_hyperlink_6284" Type="http://schemas.openxmlformats.org/officeDocument/2006/relationships/hyperlink" Target="https://old.ukr-mobil.com/pripoj_mechanic_hx-t100_sn_63_pb_37_flyus_1_3_0_4mm_50g_9564" TargetMode="External"/><Relationship Id="rId_hyperlink_6285" Type="http://schemas.openxmlformats.org/officeDocument/2006/relationships/hyperlink" Target="https://old.ukr-mobil.com/pripoj_mechanic_hx-t100_sn_63_pb_37_flyus_1_3_0_5mm_50g_11785" TargetMode="External"/><Relationship Id="rId_hyperlink_6286" Type="http://schemas.openxmlformats.org/officeDocument/2006/relationships/hyperlink" Target="https://old.ukr-mobil.com/pripoj_ya_xun_sn_63_pb_37_flyus_1_2_0_3mm_50g_9170" TargetMode="External"/><Relationship Id="rId_hyperlink_6287" Type="http://schemas.openxmlformats.org/officeDocument/2006/relationships/hyperlink" Target="https://old.ukr-mobil.com/izoliruyushchaya_termolenta_shirina_10mm_2887" TargetMode="External"/><Relationship Id="rId_hyperlink_6288" Type="http://schemas.openxmlformats.org/officeDocument/2006/relationships/hyperlink" Target="https://old.ukr-mobil.com/izoliruyushchaya_termolenta_shirina_15mm_2881" TargetMode="External"/><Relationship Id="rId_hyperlink_6289" Type="http://schemas.openxmlformats.org/officeDocument/2006/relationships/hyperlink" Target="https://old.ukr-mobil.com/izoliruyushchaya_termolenta_termoskotch_shirina_8_mm_10002720" TargetMode="External"/><Relationship Id="rId_hyperlink_6290" Type="http://schemas.openxmlformats.org/officeDocument/2006/relationships/hyperlink" Target="https://old.ukr-mobil.com/flyus_amtech_223_uv_2890" TargetMode="External"/><Relationship Id="rId_hyperlink_6291" Type="http://schemas.openxmlformats.org/officeDocument/2006/relationships/hyperlink" Target="https://old.ukr-mobil.com/flyus_amtech_225_10_sm3_640" TargetMode="External"/><Relationship Id="rId_hyperlink_6292" Type="http://schemas.openxmlformats.org/officeDocument/2006/relationships/hyperlink" Target="https://old.ukr-mobil.com/flyus_amtech_228_10_sm3_original_4541" TargetMode="External"/><Relationship Id="rId_hyperlink_6293" Type="http://schemas.openxmlformats.org/officeDocument/2006/relationships/hyperlink" Target="https://old.ukr-mobil.com/flyus_amtech_nc-559-asm_10g_7091" TargetMode="External"/><Relationship Id="rId_hyperlink_6294" Type="http://schemas.openxmlformats.org/officeDocument/2006/relationships/hyperlink" Target="https://old.ukr-mobil.com/flyus_amtech_nc-559-asm-uv_100g_6792" TargetMode="External"/><Relationship Id="rId_hyperlink_6295" Type="http://schemas.openxmlformats.org/officeDocument/2006/relationships/hyperlink" Target="https://old.ukr-mobil.com/flyus_baku_r625_1000_639" TargetMode="External"/><Relationship Id="rId_hyperlink_6296" Type="http://schemas.openxmlformats.org/officeDocument/2006/relationships/hyperlink" Target="https://old.ukr-mobil.com/flyus_bk-150_150gr_1801" TargetMode="External"/><Relationship Id="rId_hyperlink_6297" Type="http://schemas.openxmlformats.org/officeDocument/2006/relationships/hyperlink" Target="https://old.ukr-mobil.com/flyus_bk-227_5350" TargetMode="External"/><Relationship Id="rId_hyperlink_6298" Type="http://schemas.openxmlformats.org/officeDocument/2006/relationships/hyperlink" Target="https://old.ukr-mobil.com/flyus_bk-50_50gr_1208" TargetMode="External"/><Relationship Id="rId_hyperlink_6299" Type="http://schemas.openxmlformats.org/officeDocument/2006/relationships/hyperlink" Target="https://old.ukr-mobil.com/flyus_bk-80_80gr_2935" TargetMode="External"/><Relationship Id="rId_hyperlink_6300" Type="http://schemas.openxmlformats.org/officeDocument/2006/relationships/hyperlink" Target="https://old.ukr-mobil.com/flyus_mechanic_223_bezotmyvochnyj_bez_soderzhaniya_galagenov_100_g_10002771" TargetMode="External"/><Relationship Id="rId_hyperlink_6301" Type="http://schemas.openxmlformats.org/officeDocument/2006/relationships/hyperlink" Target="https://old.ukr-mobil.com/flyus_mechanic_223_bezotmyvochnyj_bez_soderzhaniya_galagenov_s_tolkatelem_10_g_10002772" TargetMode="External"/><Relationship Id="rId_hyperlink_6302" Type="http://schemas.openxmlformats.org/officeDocument/2006/relationships/hyperlink" Target="https://old.ukr-mobil.com/flyus_mechanic_559_bezotmyvochnyj_bez_soderzhaniya_galagenov_100_g_10002761" TargetMode="External"/><Relationship Id="rId_hyperlink_6303" Type="http://schemas.openxmlformats.org/officeDocument/2006/relationships/hyperlink" Target="https://old.ukr-mobil.com/flyus_mechanic_559_bezotmyvochnyj_bez_soderzhaniya_galagenov_s_tolkatelem_10_g_10002762" TargetMode="External"/><Relationship Id="rId_hyperlink_6304" Type="http://schemas.openxmlformats.org/officeDocument/2006/relationships/hyperlink" Target="https://old.ukr-mobil.com/index.php?route=product&amp;product_id=10005191" TargetMode="External"/><Relationship Id="rId_hyperlink_6305" Type="http://schemas.openxmlformats.org/officeDocument/2006/relationships/hyperlink" Target="https://old.ukr-mobil.com/index.php?route=product&amp;product_id=10005192" TargetMode="External"/><Relationship Id="rId_hyperlink_6306" Type="http://schemas.openxmlformats.org/officeDocument/2006/relationships/hyperlink" Target="https://old.ukr-mobil.com/flyus_mechanic_uv-223_bezotmyvochnyj_bez_soderzhaniya_galagenov_100_g_10002776" TargetMode="External"/><Relationship Id="rId_hyperlink_6307" Type="http://schemas.openxmlformats.org/officeDocument/2006/relationships/hyperlink" Target="https://old.ukr-mobil.com/flyus_mechanic_uv-223_bezotmyvochnyj_bez_soderzhaniya_galagenov_s_tolkatelem_10_g_10002775" TargetMode="External"/><Relationship Id="rId_hyperlink_6308" Type="http://schemas.openxmlformats.org/officeDocument/2006/relationships/hyperlink" Target="https://old.ukr-mobil.com/flyus_mechanic_uv-559_bezotmyvochnyj_bez_soderzhaniya_galagenov_100_g_10002773" TargetMode="External"/><Relationship Id="rId_hyperlink_6309" Type="http://schemas.openxmlformats.org/officeDocument/2006/relationships/hyperlink" Target="https://old.ukr-mobil.com/flyus_mechanic_uv-559_bezotmyvochnyj_bez_soderzhaniya_galagenov_s_tolkatelem_10_g_10002774" TargetMode="External"/><Relationship Id="rId_hyperlink_6310" Type="http://schemas.openxmlformats.org/officeDocument/2006/relationships/hyperlink" Target="https://old.ukr-mobil.com/flyus_ya_xun_yx-616_10ml_9335" TargetMode="External"/><Relationship Id="rId_hyperlink_6311" Type="http://schemas.openxmlformats.org/officeDocument/2006/relationships/hyperlink" Target="https://old.ukr-mobil.com/flyus_ya_xun_yx-617_10ml_9334" TargetMode="External"/><Relationship Id="rId_hyperlink_6312" Type="http://schemas.openxmlformats.org/officeDocument/2006/relationships/hyperlink" Target="https://old.ukr-mobil.com/flyus_dlya_bga_kingbo_rma-218_bezotmyvochnyj_100g_6791" TargetMode="External"/><Relationship Id="rId_hyperlink_6313" Type="http://schemas.openxmlformats.org/officeDocument/2006/relationships/hyperlink" Target="https://old.ukr-mobil.com/flyus-pasta_mechanic_f913_10_gr_v_shprice_bez_soderzhaniya_galagenov_10002777" TargetMode="External"/><Relationship Id="rId_hyperlink_6314" Type="http://schemas.openxmlformats.org/officeDocument/2006/relationships/hyperlink" Target="https://old.ukr-mobil.com/flyus-pasta_mechanic_f913_30_gr_v_shprice_bez_soderzhaniya_galagenov_10002778" TargetMode="External"/><Relationship Id="rId_hyperlink_6315" Type="http://schemas.openxmlformats.org/officeDocument/2006/relationships/hyperlink" Target="https://old.ukr-mobil.com/flyus-pasta_mechanic_rma-uv10_10_gr_v_shprice_bez_soderzhaniya_galagenov_9864" TargetMode="External"/><Relationship Id="rId_hyperlink_6316" Type="http://schemas.openxmlformats.org/officeDocument/2006/relationships/hyperlink" Target="https://old.ukr-mobil.com/flyus-pasta_mechanic_rma-uv11_10_gr_v_shprice_bez_soderzhaniya_galagenov_12291" TargetMode="External"/><Relationship Id="rId_hyperlink_6317" Type="http://schemas.openxmlformats.org/officeDocument/2006/relationships/hyperlink" Target="https://old.ukr-mobil.com/flyus-pasta_mechanic_rma-uv11bl_10_gr_v_shprice_bez_soderzhaniya_galagenov_black_12292" TargetMode="External"/><Relationship Id="rId_hyperlink_6318" Type="http://schemas.openxmlformats.org/officeDocument/2006/relationships/hyperlink" Target="https://old.ukr-mobil.com/flyus-pasta_mechanic_sd360_v_shprice_s_tolkatelem_bezotmyvochnaya_10g_10001514" TargetMode="External"/><Relationship Id="rId_hyperlink_6319" Type="http://schemas.openxmlformats.org/officeDocument/2006/relationships/hyperlink" Target="https://old.ukr-mobil.com/flyus-pasta_mechanic_sd360_v_shprice_bezotmyvochnaya_10g_10001515" TargetMode="External"/><Relationship Id="rId_hyperlink_6320" Type="http://schemas.openxmlformats.org/officeDocument/2006/relationships/hyperlink" Target="https://old.ukr-mobil.com/flyus-pasta_mechanic_tf350_tyubik_15ml_12308" TargetMode="External"/><Relationship Id="rId_hyperlink_6321" Type="http://schemas.openxmlformats.org/officeDocument/2006/relationships/hyperlink" Target="https://old.ukr-mobil.com/flyus-pasta_yaxun_yx-b20_50_g_4572" TargetMode="External"/><Relationship Id="rId_hyperlink_6322" Type="http://schemas.openxmlformats.org/officeDocument/2006/relationships/hyperlink" Target="https://old.ukr-mobil.com/dymoulavlivatel_promyshlennyj_quick_6601_10002936" TargetMode="External"/><Relationship Id="rId_hyperlink_6323" Type="http://schemas.openxmlformats.org/officeDocument/2006/relationships/hyperlink" Target="https://old.ukr-mobil.com/ampermetr-voltmetr_sunshine_ss-302a_usb_4v-30v_0a-5a_10004331" TargetMode="External"/><Relationship Id="rId_hyperlink_6324" Type="http://schemas.openxmlformats.org/officeDocument/2006/relationships/hyperlink" Target="https://old.ukr-mobil.com/ampermetr-voltmetr_usb_charger_doctor_8042" TargetMode="External"/><Relationship Id="rId_hyperlink_6325" Type="http://schemas.openxmlformats.org/officeDocument/2006/relationships/hyperlink" Target="https://old.ukr-mobil.com/ampermetr-voltmetr_usb_keweisi_8043" TargetMode="External"/><Relationship Id="rId_hyperlink_6326" Type="http://schemas.openxmlformats.org/officeDocument/2006/relationships/hyperlink" Target="https://old.ukr-mobil.com/ampermetr-voltmetr_usb_keweisi_kws-mx16_11868" TargetMode="External"/><Relationship Id="rId_hyperlink_6327" Type="http://schemas.openxmlformats.org/officeDocument/2006/relationships/hyperlink" Target="https://old.ukr-mobil.com/ampermetr-voltmetr_usb_keweisi_kws-v21_9196" TargetMode="External"/><Relationship Id="rId_hyperlink_6328" Type="http://schemas.openxmlformats.org/officeDocument/2006/relationships/hyperlink" Target="https://old.ukr-mobil.com/blok_pitaniya_baku_1501d_1a_15v_4451" TargetMode="External"/><Relationship Id="rId_hyperlink_6329" Type="http://schemas.openxmlformats.org/officeDocument/2006/relationships/hyperlink" Target="https://old.ukr-mobil.com/blok_pitaniya_baku_1501t_1a_15v_1562" TargetMode="External"/><Relationship Id="rId_hyperlink_6330" Type="http://schemas.openxmlformats.org/officeDocument/2006/relationships/hyperlink" Target="https://old.ukr-mobil.com/blok_pitaniya_baku_1502d_rf_2a_1" TargetMode="External"/><Relationship Id="rId_hyperlink_6331" Type="http://schemas.openxmlformats.org/officeDocument/2006/relationships/hyperlink" Target="https://old.ukr-mobil.com/blok_pitaniya_baku_1502ta_2a_0v-15v_cifrovaya_i_analogovaya_indikaciya_1720" TargetMode="External"/><Relationship Id="rId_hyperlink_6332" Type="http://schemas.openxmlformats.org/officeDocument/2006/relationships/hyperlink" Target="https://old.ukr-mobil.com/blok_pitaniya_dazheng_1302d_0-30v_2a_6109" TargetMode="External"/><Relationship Id="rId_hyperlink_6333" Type="http://schemas.openxmlformats.org/officeDocument/2006/relationships/hyperlink" Target="https://old.ukr-mobil.com/blok_pitaniya_katex_3005d_programmiruemyj_0-30v_5a_10004380" TargetMode="External"/><Relationship Id="rId_hyperlink_6334" Type="http://schemas.openxmlformats.org/officeDocument/2006/relationships/hyperlink" Target="https://old.ukr-mobil.com/blok_pitaniya_nt_1501d_1a_0-15v_analogovo-cifrovoj_pitanie_ot_krony_2873" TargetMode="External"/><Relationship Id="rId_hyperlink_6335" Type="http://schemas.openxmlformats.org/officeDocument/2006/relationships/hyperlink" Target="https://old.ukr-mobil.com/blok_pitaniya_sunshine_p-3005da_5a_0-30v_10001379" TargetMode="External"/><Relationship Id="rId_hyperlink_6336" Type="http://schemas.openxmlformats.org/officeDocument/2006/relationships/hyperlink" Target="https://old.ukr-mobil.com/blok_pitaniya_ya_xun_1502ds_0-15v_2a_8881" TargetMode="External"/><Relationship Id="rId_hyperlink_6337" Type="http://schemas.openxmlformats.org/officeDocument/2006/relationships/hyperlink" Target="https://old.ukr-mobil.com/blok_pitaniya_ya_xun_305d_0-30v_5a_6110" TargetMode="External"/><Relationship Id="rId_hyperlink_6338" Type="http://schemas.openxmlformats.org/officeDocument/2006/relationships/hyperlink" Target="https://old.ukr-mobil.com/kabelya_dlya_blokov_pitaniya_s_razemami_dlya_podklyucheniya_plat_sunshine_ss-905a_v7_0_dlya_iphone_6_iphone_13_pro_max_10002685" TargetMode="External"/><Relationship Id="rId_hyperlink_6339" Type="http://schemas.openxmlformats.org/officeDocument/2006/relationships/hyperlink" Target="https://old.ukr-mobil.com/kabelya_dlya_blokov_pitaniya_s_razemami_dlya_podklyucheniya_plat_sunshine_ss-905d_v7_0_dlya_iphone_6_iphone_13_pro_max_android_10002686" TargetMode="External"/><Relationship Id="rId_hyperlink_6340" Type="http://schemas.openxmlformats.org/officeDocument/2006/relationships/hyperlink" Target="https://old.ukr-mobil.com/cifrovoj_programmiruemyj_blok_pitaniya_sunshine_p-3005a_5a_0-30v_10001378" TargetMode="External"/><Relationship Id="rId_hyperlink_6341" Type="http://schemas.openxmlformats.org/officeDocument/2006/relationships/hyperlink" Target="https://old.ukr-mobil.com/zaryadnoe_ustrojstvo_relife_rl-304n_4_usb_2_porta_5v_2_1_2_porta_qc_3_0_18w_2_type-c_pd_45w_pd_20w_87w_10004336" TargetMode="External"/><Relationship Id="rId_hyperlink_6342" Type="http://schemas.openxmlformats.org/officeDocument/2006/relationships/hyperlink" Target="https://old.ukr-mobil.com/zaryadnoe_ustrojstvo_relife_rl-304p_5_usb_4_porta_5v_2_1_1_port_qc_3_0_18w_1_type-c_pd_20w_40w_10004337" TargetMode="External"/><Relationship Id="rId_hyperlink_6343" Type="http://schemas.openxmlformats.org/officeDocument/2006/relationships/hyperlink" Target="https://old.ukr-mobil.com/zaryadnoe_ustrojstvo_relife_rl-304s_6_usb_2_type-c_bezprovodnaya_zaryadka_fast_charger_5a_45w_indikator_toka_zaryada_zashchita_ot_kz_10002577" TargetMode="External"/><Relationship Id="rId_hyperlink_6344" Type="http://schemas.openxmlformats.org/officeDocument/2006/relationships/hyperlink" Target="https://old.ukr-mobil.com/zaryadnoe_ustrojstvo_sunshine_ss-304d_6_usb_portov_5a_30w_indikator_toka_zaryada_zashchita_ot_kz_12203" TargetMode="External"/><Relationship Id="rId_hyperlink_6345" Type="http://schemas.openxmlformats.org/officeDocument/2006/relationships/hyperlink" Target="https://old.ukr-mobil.com/zaryadnoe_ustrojstvo_sunshine_ss-304q_6_usb_portov_fast_charger_5a_30w_indikator_toka_zaryada_zashchita_ot_kz_10000578" TargetMode="External"/><Relationship Id="rId_hyperlink_6346" Type="http://schemas.openxmlformats.org/officeDocument/2006/relationships/hyperlink" Target="https://old.ukr-mobil.com/zaryadnoe_ustrojstvo_universalnoe_imax_b6_mini_dlya_akkumulyatorov_nicd_ni-mh_li-ion_li-po_li-fe_pb_8045" TargetMode="External"/><Relationship Id="rId_hyperlink_6347" Type="http://schemas.openxmlformats.org/officeDocument/2006/relationships/hyperlink" Target="https://old.ukr-mobil.com/multimetr_cifrovoj_bk-9205_6146" TargetMode="External"/><Relationship Id="rId_hyperlink_6348" Type="http://schemas.openxmlformats.org/officeDocument/2006/relationships/hyperlink" Target="https://old.ukr-mobil.com/multimetr_cifrovoj_vc-890d_2354" TargetMode="External"/><Relationship Id="rId_hyperlink_6349" Type="http://schemas.openxmlformats.org/officeDocument/2006/relationships/hyperlink" Target="https://old.ukr-mobil.com/multimetr_cifrovoj_vc9801a_s_funkciej_avtootklyucheniya_datchikom_temperatury_tok_do_20a_8875" TargetMode="External"/><Relationship Id="rId_hyperlink_6350" Type="http://schemas.openxmlformats.org/officeDocument/2006/relationships/hyperlink" Target="https://old.ukr-mobil.com/multimetr_cifrovoj_yaxun_yx-9208al_s_izmereniem_kondensatorov_temperatury_napryazheniya_sily_toka_8876" TargetMode="External"/><Relationship Id="rId_hyperlink_6351" Type="http://schemas.openxmlformats.org/officeDocument/2006/relationships/hyperlink" Target="https://old.ukr-mobil.com/nabor_shchupov_dlya_multimetrov_2sht_11788" TargetMode="External"/><Relationship Id="rId_hyperlink_6352" Type="http://schemas.openxmlformats.org/officeDocument/2006/relationships/hyperlink" Target="https://old.ukr-mobil.com/nagrevatelnyj_ehlement_mechanic_hk-1321_dlya_payalnikov_tipa_936_937_907_968_952d_898d_909d_4_kontakta_10002768" TargetMode="External"/><Relationship Id="rId_hyperlink_6353" Type="http://schemas.openxmlformats.org/officeDocument/2006/relationships/hyperlink" Target="https://old.ukr-mobil.com/nagrevatelnyj_ehlement_mechanic_hk-1511_pod_fen_hot_gun_850_858_859_10002766" TargetMode="External"/><Relationship Id="rId_hyperlink_6354" Type="http://schemas.openxmlformats.org/officeDocument/2006/relationships/hyperlink" Target="https://old.ukr-mobil.com/nagrevatelnyj_ehlement_mechanic_hk-1522_pod_fen_hot_gun_850_858_859_10002767" TargetMode="External"/><Relationship Id="rId_hyperlink_6355" Type="http://schemas.openxmlformats.org/officeDocument/2006/relationships/hyperlink" Target="https://old.ukr-mobil.com/nagrevatelnyj_ehlement_quick_a1321_dlya_payalnoj_stancii_quick_936_quick_236_keramicheskij_10004345" TargetMode="External"/><Relationship Id="rId_hyperlink_6356" Type="http://schemas.openxmlformats.org/officeDocument/2006/relationships/hyperlink" Target="https://old.ukr-mobil.com/nagrevatelnyj_ehlement_quick_a1321a_dlya_payalnoj_stancii_quick_936a_10004344" TargetMode="External"/><Relationship Id="rId_hyperlink_6357" Type="http://schemas.openxmlformats.org/officeDocument/2006/relationships/hyperlink" Target="https://old.ukr-mobil.com/nagrevatelnyj_ehlement_quick_tss10a_dlya_payalnoj_stancii_quick_ts1100_10004325" TargetMode="External"/><Relationship Id="rId_hyperlink_6358" Type="http://schemas.openxmlformats.org/officeDocument/2006/relationships/hyperlink" Target="https://old.ukr-mobil.com/nagrevatelnyj_ehlement_dlya_baku_702b_dlya_fena_1577" TargetMode="External"/><Relationship Id="rId_hyperlink_6359" Type="http://schemas.openxmlformats.org/officeDocument/2006/relationships/hyperlink" Target="https://old.ukr-mobil.com/nagrevatelnyj_ehlement_dlya_baku_850_dlya_fena_5483" TargetMode="External"/><Relationship Id="rId_hyperlink_6360" Type="http://schemas.openxmlformats.org/officeDocument/2006/relationships/hyperlink" Target="https://old.ukr-mobil.com/nagrevatelnyj_ehlement_dlya_payalnika_a1322_dlya_702b_936_4_kontakta_1722" TargetMode="External"/><Relationship Id="rId_hyperlink_6361" Type="http://schemas.openxmlformats.org/officeDocument/2006/relationships/hyperlink" Target="https://old.ukr-mobil.com/nagrevatelnyj_ehlement_termofena_a1147_dlya_payalnyh_stancij_quick_857_857a_857d_857dw_706w_957dw_10004326" TargetMode="External"/><Relationship Id="rId_hyperlink_6362" Type="http://schemas.openxmlformats.org/officeDocument/2006/relationships/hyperlink" Target="https://old.ukr-mobil.com/nagrevatelnyj_ehlement_termofena_h1901r_dlya_payalnyh_stancij_quick_ts1100_ts2200_10004343" TargetMode="External"/><Relationship Id="rId_hyperlink_6363" Type="http://schemas.openxmlformats.org/officeDocument/2006/relationships/hyperlink" Target="https://old.ukr-mobil.com/nizhnij_podogrev_sunshine_ss-t12a_osnovnaya_chast_bez_platform_10002687" TargetMode="External"/><Relationship Id="rId_hyperlink_6364" Type="http://schemas.openxmlformats.org/officeDocument/2006/relationships/hyperlink" Target="https://old.ukr-mobil.com/nizhnij_podogrev_sunshine_ss-t12a_face_id_platforma_dlya_ss-t12a_dlya_remonta_face_id_dlya_iphone_x_xs_xs_max_11_11_pro_11_pro_max_10002697" TargetMode="External"/><Relationship Id="rId_hyperlink_6365" Type="http://schemas.openxmlformats.org/officeDocument/2006/relationships/hyperlink" Target="https://old.ukr-mobil.com/nizhnij_podogrev_sunshine_ss-t12a-m6_platforma_dlya_ss-t12a_iphone_x_xs_xs_max_11_11_pro_11_pro_max_cpu_a13_10002695" TargetMode="External"/><Relationship Id="rId_hyperlink_6366" Type="http://schemas.openxmlformats.org/officeDocument/2006/relationships/hyperlink" Target="https://old.ukr-mobil.com/nizhnij_podogrev_sunshine_ss-t12a-n11_platforma_dlya_ss-t12a_dlya_iphone_11_11_pro_11_pro_max_10002696" TargetMode="External"/><Relationship Id="rId_hyperlink_6367" Type="http://schemas.openxmlformats.org/officeDocument/2006/relationships/hyperlink" Target="https://old.ukr-mobil.com/nizhnij_podogrev_sunshine_ss-t12a-n12_platforma_dlya_ss-t12a_dlya_iphone_12_mini_12_12_pro_12_pro_max_10002694" TargetMode="External"/><Relationship Id="rId_hyperlink_6368" Type="http://schemas.openxmlformats.org/officeDocument/2006/relationships/hyperlink" Target="https://old.ukr-mobil.com/nizhnij_podogrev_sunshine_ss-t12a-n13_platforma_dlya_ss-t12a_dlya_iphone_13_mini_13_13_pro_13_pro_max_10002693" TargetMode="External"/><Relationship Id="rId_hyperlink_6369" Type="http://schemas.openxmlformats.org/officeDocument/2006/relationships/hyperlink" Target="https://old.ukr-mobil.com/index.php?route=product&amp;product_id=10005188" TargetMode="External"/><Relationship Id="rId_hyperlink_6370" Type="http://schemas.openxmlformats.org/officeDocument/2006/relationships/hyperlink" Target="https://old.ukr-mobil.com/index.php?route=product&amp;product_id=10005189" TargetMode="External"/><Relationship Id="rId_hyperlink_6371" Type="http://schemas.openxmlformats.org/officeDocument/2006/relationships/hyperlink" Target="https://old.ukr-mobil.com/nizhnij_podogrev_plat_baku_853_prednagrevatel_termovozdushnyj_1044" TargetMode="External"/><Relationship Id="rId_hyperlink_6372" Type="http://schemas.openxmlformats.org/officeDocument/2006/relationships/hyperlink" Target="https://old.ukr-mobil.com/nizhnij_podogrev_plat_yaxun_yx-853_6113" TargetMode="External"/><Relationship Id="rId_hyperlink_6373" Type="http://schemas.openxmlformats.org/officeDocument/2006/relationships/hyperlink" Target="https://old.ukr-mobil.com/nizhnij_podogrev_plat_ya_xun_yx-853a_s_fenom_1555" TargetMode="External"/><Relationship Id="rId_hyperlink_6374" Type="http://schemas.openxmlformats.org/officeDocument/2006/relationships/hyperlink" Target="https://old.ukr-mobil.com/payalnik_k_payalnoj_stancii_936_mama_3630" TargetMode="External"/><Relationship Id="rId_hyperlink_6375" Type="http://schemas.openxmlformats.org/officeDocument/2006/relationships/hyperlink" Target="https://old.ukr-mobil.com/payalnik_k_payalnoj_stancii_936_papa_643" TargetMode="External"/><Relationship Id="rId_hyperlink_6376" Type="http://schemas.openxmlformats.org/officeDocument/2006/relationships/hyperlink" Target="https://old.ukr-mobil.com/payalnaya_stanciya_baku_601d_fen_payalnik_1_cifrovoj_displej_7404" TargetMode="External"/><Relationship Id="rId_hyperlink_6377" Type="http://schemas.openxmlformats.org/officeDocument/2006/relationships/hyperlink" Target="https://old.ukr-mobil.com/payalnaya_stanciya_baku_852_fen_3356" TargetMode="External"/><Relationship Id="rId_hyperlink_6378" Type="http://schemas.openxmlformats.org/officeDocument/2006/relationships/hyperlink" Target="https://old.ukr-mobil.com/payalnaya_stanciya_baku_852d_fen_payalnik_1_cifrovoj_displej_635" TargetMode="External"/><Relationship Id="rId_hyperlink_6379" Type="http://schemas.openxmlformats.org/officeDocument/2006/relationships/hyperlink" Target="https://old.ukr-mobil.com/payalnaya_stanciya_baku_858d_termofen_1lcd_1046" TargetMode="External"/><Relationship Id="rId_hyperlink_6380" Type="http://schemas.openxmlformats.org/officeDocument/2006/relationships/hyperlink" Target="https://old.ukr-mobil.com/payalnaya_stanciya_baku_878d_fen_2349" TargetMode="External"/><Relationship Id="rId_hyperlink_6381" Type="http://schemas.openxmlformats.org/officeDocument/2006/relationships/hyperlink" Target="https://old.ukr-mobil.com/payalnaya_stanciya_baku_909_fen_payalnik_2_cifrovyh_displeya_blok_pitaniya_2a_6304" TargetMode="External"/><Relationship Id="rId_hyperlink_6382" Type="http://schemas.openxmlformats.org/officeDocument/2006/relationships/hyperlink" Target="https://old.ukr-mobil.com/payalnaya_stanciya_baku_909s_fen_payalnik_2_cifrovyh_displeya_blok_pitaniya_2a_mp3_1045" TargetMode="External"/><Relationship Id="rId_hyperlink_6383" Type="http://schemas.openxmlformats.org/officeDocument/2006/relationships/hyperlink" Target="https://old.ukr-mobil.com/payalnaya_stanciya_baku_ba-8701d_fen_payalnik_1_cifrovoj_displej_10296" TargetMode="External"/><Relationship Id="rId_hyperlink_6384" Type="http://schemas.openxmlformats.org/officeDocument/2006/relationships/hyperlink" Target="https://old.ukr-mobil.com/payalnaya_stanciya_baku_ba-9305l_fen_payalnik_2_cifrovyh_displeya_blok_pitaniya_5a_10297" TargetMode="External"/><Relationship Id="rId_hyperlink_6385" Type="http://schemas.openxmlformats.org/officeDocument/2006/relationships/hyperlink" Target="https://old.ukr-mobil.com/payalnaya_stanciya_baku_bk-936d_2" TargetMode="External"/><Relationship Id="rId_hyperlink_6386" Type="http://schemas.openxmlformats.org/officeDocument/2006/relationships/hyperlink" Target="https://old.ukr-mobil.com/payalnaya_stanciya_lukey_702_fen_payalnik_2_cifrovih_displeya_2896" TargetMode="External"/><Relationship Id="rId_hyperlink_6387" Type="http://schemas.openxmlformats.org/officeDocument/2006/relationships/hyperlink" Target="https://old.ukr-mobil.com/payalnaya_stanciya_lukey_852d_fen_payalnik_1_cifrovyh_displeya_2895" TargetMode="External"/><Relationship Id="rId_hyperlink_6388" Type="http://schemas.openxmlformats.org/officeDocument/2006/relationships/hyperlink" Target="https://old.ukr-mobil.com/payalnaya_stanciya_lukey_852d_fen_payalnik_2_cifrovyh_displeya_2894" TargetMode="External"/><Relationship Id="rId_hyperlink_6389" Type="http://schemas.openxmlformats.org/officeDocument/2006/relationships/hyperlink" Target="https://old.ukr-mobil.com/payalnaya_stanciya_nt_878d_fen_payalnik_2876" TargetMode="External"/><Relationship Id="rId_hyperlink_6390" Type="http://schemas.openxmlformats.org/officeDocument/2006/relationships/hyperlink" Target="https://old.ukr-mobil.com/payalnaya_stanciya_quick_2008_termovozdushnaya_10983" TargetMode="External"/><Relationship Id="rId_hyperlink_6391" Type="http://schemas.openxmlformats.org/officeDocument/2006/relationships/hyperlink" Target="https://old.ukr-mobil.com/payalnaya_stanciya_quick_203h_indukcionnaya_10001771" TargetMode="External"/><Relationship Id="rId_hyperlink_6392" Type="http://schemas.openxmlformats.org/officeDocument/2006/relationships/hyperlink" Target="https://old.ukr-mobil.com/payalnaya_stanciya_quick_236_payalnik_s_keramicheskim_nagrevatelnym_elementom_90w_10004335" TargetMode="External"/><Relationship Id="rId_hyperlink_6393" Type="http://schemas.openxmlformats.org/officeDocument/2006/relationships/hyperlink" Target="https://old.ukr-mobil.com/payalnaya_stanciya_quick_712_esd_kompressornaya_fen_payalnik_12240" TargetMode="External"/><Relationship Id="rId_hyperlink_6394" Type="http://schemas.openxmlformats.org/officeDocument/2006/relationships/hyperlink" Target="https://old.ukr-mobil.com/payalnaya_stanciya_quick_715_termovozdushnaya_fen_payalnik_10000717" TargetMode="External"/><Relationship Id="rId_hyperlink_6395" Type="http://schemas.openxmlformats.org/officeDocument/2006/relationships/hyperlink" Target="https://old.ukr-mobil.com/payalnaya_stanciya_quick_857dw_termovozdushnaya_11349" TargetMode="External"/><Relationship Id="rId_hyperlink_6396" Type="http://schemas.openxmlformats.org/officeDocument/2006/relationships/hyperlink" Target="https://old.ukr-mobil.com/payalnaya_stanciya_quick_8586d_fen_payalnik_10004323" TargetMode="External"/><Relationship Id="rId_hyperlink_6397" Type="http://schemas.openxmlformats.org/officeDocument/2006/relationships/hyperlink" Target="https://old.ukr-mobil.com/payalnaya_stanciya_quick_858d_termovozdushnaya_10982" TargetMode="External"/><Relationship Id="rId_hyperlink_6398" Type="http://schemas.openxmlformats.org/officeDocument/2006/relationships/hyperlink" Target="https://old.ukr-mobil.com/payalnaya_stanciya_quick_859d_termovozdushnaya_programiruemaya_fen_10002301" TargetMode="External"/><Relationship Id="rId_hyperlink_6399" Type="http://schemas.openxmlformats.org/officeDocument/2006/relationships/hyperlink" Target="https://old.ukr-mobil.com/payalnaya_stanciya_quick_861dw_termovozdushnaya_10980" TargetMode="External"/><Relationship Id="rId_hyperlink_6400" Type="http://schemas.openxmlformats.org/officeDocument/2006/relationships/hyperlink" Target="https://old.ukr-mobil.com/payalnaya_stanciya_quick_881d_termovozdushnaya_12202" TargetMode="External"/><Relationship Id="rId_hyperlink_6401" Type="http://schemas.openxmlformats.org/officeDocument/2006/relationships/hyperlink" Target="https://old.ukr-mobil.com/payalnaya_stanciya_quick_936_payalnik_s_keramicheskim_nagrevatelnym_elementom_60w_10004332" TargetMode="External"/><Relationship Id="rId_hyperlink_6402" Type="http://schemas.openxmlformats.org/officeDocument/2006/relationships/hyperlink" Target="https://old.ukr-mobil.com/payalnaya_stanciya_quick_936a_payalnik_s_metalicheskim_nagrevatelnym_elementom_60w_10004334" TargetMode="External"/><Relationship Id="rId_hyperlink_6403" Type="http://schemas.openxmlformats.org/officeDocument/2006/relationships/hyperlink" Target="https://old.ukr-mobil.com/payalnaya_stanciya_quick_k8_termovozdushnaya_1000_w_10004324" TargetMode="External"/><Relationship Id="rId_hyperlink_6404" Type="http://schemas.openxmlformats.org/officeDocument/2006/relationships/hyperlink" Target="https://old.ukr-mobil.com/payalnaya_stanciya_quick_tr1100_termovozdushnaya_10978" TargetMode="External"/><Relationship Id="rId_hyperlink_6405" Type="http://schemas.openxmlformats.org/officeDocument/2006/relationships/hyperlink" Target="https://old.ukr-mobil.com/payalnaya_stanciya_quick_tr1300a_termovozdushnaya_10981" TargetMode="External"/><Relationship Id="rId_hyperlink_6406" Type="http://schemas.openxmlformats.org/officeDocument/2006/relationships/hyperlink" Target="https://old.ukr-mobil.com/payalnaya_stanciya_quick_ts1100_payalnik_12239" TargetMode="External"/><Relationship Id="rId_hyperlink_6407" Type="http://schemas.openxmlformats.org/officeDocument/2006/relationships/hyperlink" Target="https://old.ukr-mobil.com/payalnaya_stanciya_quick_ts1200a_payalnik_s_datchikom_temperatury_10979" TargetMode="External"/><Relationship Id="rId_hyperlink_6408" Type="http://schemas.openxmlformats.org/officeDocument/2006/relationships/hyperlink" Target="https://old.ukr-mobil.com/payalnaya_stanciya_yaxun_881d_fen_payalnik_1_lcd_5744" TargetMode="External"/><Relationship Id="rId_hyperlink_6409" Type="http://schemas.openxmlformats.org/officeDocument/2006/relationships/hyperlink" Target="https://old.ukr-mobil.com/payalnaya_stanciya_infrakrasnaya_ya_xun_863d_9192" TargetMode="External"/><Relationship Id="rId_hyperlink_6410" Type="http://schemas.openxmlformats.org/officeDocument/2006/relationships/hyperlink" Target="https://old.ukr-mobil.com/payalnaya_stanciya_termovozdushnaya_baku_761d_1041" TargetMode="External"/><Relationship Id="rId_hyperlink_6411" Type="http://schemas.openxmlformats.org/officeDocument/2006/relationships/hyperlink" Target="https://old.ukr-mobil.com/payalnaya_stanciya_termovozdushnaya_lukey_868_7335" TargetMode="External"/><Relationship Id="rId_hyperlink_6412" Type="http://schemas.openxmlformats.org/officeDocument/2006/relationships/hyperlink" Target="https://old.ukr-mobil.com/payalnaya_stanciya_termovozdushnaya_lukey_898_7336" TargetMode="External"/><Relationship Id="rId_hyperlink_6413" Type="http://schemas.openxmlformats.org/officeDocument/2006/relationships/hyperlink" Target="https://old.ukr-mobil.com/payalnaya_stanciya_termovozdushnaya_baku_858_termofen_6148" TargetMode="External"/><Relationship Id="rId_hyperlink_6414" Type="http://schemas.openxmlformats.org/officeDocument/2006/relationships/hyperlink" Target="https://old.ukr-mobil.com/payalnaya_stanciya_termovozdushnaya_baku_878l_fen_payalnik_1725" TargetMode="External"/><Relationship Id="rId_hyperlink_6415" Type="http://schemas.openxmlformats.org/officeDocument/2006/relationships/hyperlink" Target="https://old.ukr-mobil.com/payalnaya_stanciya_termovozdushnaya_baku_878l2_fen_payalnik_2_cifrovyh_displeya_4450" TargetMode="External"/><Relationship Id="rId_hyperlink_6416" Type="http://schemas.openxmlformats.org/officeDocument/2006/relationships/hyperlink" Target="https://old.ukr-mobil.com/payalnaya_stanciya_termovozdushnaya_baku_898d_fen_payalnik_1_cifrovoj_displej_636" TargetMode="External"/><Relationship Id="rId_hyperlink_6417" Type="http://schemas.openxmlformats.org/officeDocument/2006/relationships/hyperlink" Target="https://old.ukr-mobil.com/payalnaya_stanciya_termovozdushnaya_baku_bk-702b_fen_payalnik_2_displeya_634" TargetMode="External"/><Relationship Id="rId_hyperlink_6418" Type="http://schemas.openxmlformats.org/officeDocument/2006/relationships/hyperlink" Target="https://old.ukr-mobil.com/payalnaya_stanciya_termovozdushnaya_turbinnaya_vakuumnyj_separator_ya_xun_889a_fen_payalnik_2_cifrovyh_displeya_11000" TargetMode="External"/><Relationship Id="rId_hyperlink_6419" Type="http://schemas.openxmlformats.org/officeDocument/2006/relationships/hyperlink" Target="https://old.ukr-mobil.com/payalnaya_stanciya_termovozdushnaya_turbinnaya_yaxun_878d_fen_payalnik_2386" TargetMode="External"/><Relationship Id="rId_hyperlink_6420" Type="http://schemas.openxmlformats.org/officeDocument/2006/relationships/hyperlink" Target="https://old.ukr-mobil.com/payalnaya_stanciya_termovozdushnaya_turbinnaya_ya_xun_878d_fen_payalnik_2_cifrovih_displeya_2348" TargetMode="External"/><Relationship Id="rId_hyperlink_6421" Type="http://schemas.openxmlformats.org/officeDocument/2006/relationships/hyperlink" Target="https://old.ukr-mobil.com/payalnaya_stanciya_termovozdushnaya_turbinnaya_ya_xun_886d_fen_payalnik_2_cifrovih_displeya_usb_5v_1a_8882" TargetMode="External"/><Relationship Id="rId_hyperlink_6422" Type="http://schemas.openxmlformats.org/officeDocument/2006/relationships/hyperlink" Target="https://old.ukr-mobil.com/ultrazvukovaya_vanna_baku_9030_1721" TargetMode="External"/><Relationship Id="rId_hyperlink_6423" Type="http://schemas.openxmlformats.org/officeDocument/2006/relationships/hyperlink" Target="https://old.ukr-mobil.com/ultrazvukovaya_vanna_baku_9050_638" TargetMode="External"/><Relationship Id="rId_hyperlink_6424" Type="http://schemas.openxmlformats.org/officeDocument/2006/relationships/hyperlink" Target="https://old.ukr-mobil.com/ultrazvukovaya_vanna_baku_bk-1200_s_funkciej_degazacii_zhidkosti_1_6l_60w_40_khz_podogrev_do_80c_11043" TargetMode="External"/><Relationship Id="rId_hyperlink_6425" Type="http://schemas.openxmlformats.org/officeDocument/2006/relationships/hyperlink" Target="https://old.ukr-mobil.com/ultrazvukovaya_vanna_baku_bk-2400_0_9l_35w_11044" TargetMode="External"/><Relationship Id="rId_hyperlink_6426" Type="http://schemas.openxmlformats.org/officeDocument/2006/relationships/hyperlink" Target="https://old.ukr-mobil.com/ultrazvukovaya_vanna_nt-285_30w_50w_2870" TargetMode="External"/><Relationship Id="rId_hyperlink_6427" Type="http://schemas.openxmlformats.org/officeDocument/2006/relationships/hyperlink" Target="https://old.ukr-mobil.com/ultrazvukovaya_vanna_nt-628_30w_50w_alyuminievyj_korpus_2871" TargetMode="External"/><Relationship Id="rId_hyperlink_6428" Type="http://schemas.openxmlformats.org/officeDocument/2006/relationships/hyperlink" Target="https://old.ukr-mobil.com/index.php?route=product&amp;product_id=10005170" TargetMode="External"/><Relationship Id="rId_hyperlink_6429" Type="http://schemas.openxmlformats.org/officeDocument/2006/relationships/hyperlink" Target="https://old.ukr-mobil.com/ultrafioletovaya_lampa_dlya_sushki_stekla_s_podstavkoj_4444" TargetMode="External"/><Relationship Id="rId_hyperlink_6430" Type="http://schemas.openxmlformats.org/officeDocument/2006/relationships/hyperlink" Target="https://old.ukr-mobil.com/fen_dlya_payalnoj_stanciii_baku_702b_3_kontaktov_1723" TargetMode="External"/><Relationship Id="rId_hyperlink_6431" Type="http://schemas.openxmlformats.org/officeDocument/2006/relationships/hyperlink" Target="https://old.ukr-mobil.com/fen_dlya_payalnoj_stanciii_baku_702b_5_kontaktov_1724" TargetMode="External"/><Relationship Id="rId_hyperlink_6432" Type="http://schemas.openxmlformats.org/officeDocument/2006/relationships/hyperlink" Target="https://old.ukr-mobil.com/lazernaya_ustanovka_m-triangel_mg_one_dlya_otdeleniya_zadnih_kryshek_iphone_8_8_plus_x_xs_xs_max_12210" TargetMode="External"/><Relationship Id="rId_hyperlink_6433" Type="http://schemas.openxmlformats.org/officeDocument/2006/relationships/hyperlink" Target="https://old.ukr-mobil.com/lazernaya_ustanovka_m-triangel_mg_ones_s_avtofokusom_dlya_otdeleniya_zadnih_kryshek_iphone_8_8_plus_x_xs_xs_max_12365" TargetMode="External"/><Relationship Id="rId_hyperlink_6434" Type="http://schemas.openxmlformats.org/officeDocument/2006/relationships/hyperlink" Target="https://old.ukr-mobil.com/lazernaya_ustanovka_m-triangel_mi_one_10001504" TargetMode="External"/><Relationship Id="rId_hyperlink_6435" Type="http://schemas.openxmlformats.org/officeDocument/2006/relationships/hyperlink" Target="https://old.ukr-mobil.com/lazernaya_ustanovka_m-triangel_mt_z-one_s_avtofokusom_10001503" TargetMode="External"/><Relationship Id="rId_hyperlink_6436" Type="http://schemas.openxmlformats.org/officeDocument/2006/relationships/hyperlink" Target="https://old.ukr-mobil.com/lazernaya_ustanovka_m-triangel_pg_ones_mt-by4_s_avtofokusom_displeem_10001134" TargetMode="External"/><Relationship Id="rId_hyperlink_6437" Type="http://schemas.openxmlformats.org/officeDocument/2006/relationships/hyperlink" Target="https://old.ukr-mobil.com/lazernaya_ustanovka_sunshine_ss-890b_dlya_otdeleniya_zadnih_kryshek_iphone_8_8_plus_x_xs_xs_max_12229" TargetMode="External"/><Relationship Id="rId_hyperlink_6438" Type="http://schemas.openxmlformats.org/officeDocument/2006/relationships/hyperlink" Target="https://old.ukr-mobil.com/lampa_svetodiodnaya_s_uvelichitelnym_steklom_ya_xun_929_1043" TargetMode="External"/><Relationship Id="rId_hyperlink_6439" Type="http://schemas.openxmlformats.org/officeDocument/2006/relationships/hyperlink" Target="https://old.ukr-mobil.com/linza_obektiva_mikroskopa_barlou_0_3x_10002770" TargetMode="External"/><Relationship Id="rId_hyperlink_6440" Type="http://schemas.openxmlformats.org/officeDocument/2006/relationships/hyperlink" Target="https://old.ukr-mobil.com/linza_obektiva_mikroskopa_barlou_0_5x_10002764" TargetMode="External"/><Relationship Id="rId_hyperlink_6441" Type="http://schemas.openxmlformats.org/officeDocument/2006/relationships/hyperlink" Target="https://old.ukr-mobil.com/linza_obektiva_mikroskopa_barlou_0_7x_10002763" TargetMode="External"/><Relationship Id="rId_hyperlink_6442" Type="http://schemas.openxmlformats.org/officeDocument/2006/relationships/hyperlink" Target="https://old.ukr-mobil.com/linza_obektiva_mikroskopa_zashchitnaya_mechanic_mcn-1x_10002769" TargetMode="External"/><Relationship Id="rId_hyperlink_6443" Type="http://schemas.openxmlformats.org/officeDocument/2006/relationships/hyperlink" Target="https://old.ukr-mobil.com/mikroskop_amscope_sw-3b24_binokulyarnyj_uvelichenie_20x_40h_shtativ_iz_litoj_stali_10001737" TargetMode="External"/><Relationship Id="rId_hyperlink_6444" Type="http://schemas.openxmlformats.org/officeDocument/2006/relationships/hyperlink" Target="https://old.ukr-mobil.com/mikroskop_baku_xt-4c_kratnost_uvelicheniya_20h_i_40h_verhnyaya_podsvetka_11049" TargetMode="External"/><Relationship Id="rId_hyperlink_6445" Type="http://schemas.openxmlformats.org/officeDocument/2006/relationships/hyperlink" Target="https://old.ukr-mobil.com/mikroskop_relife_rl_m3t-b1_trinokulyarnyj_c_kameroj_38_mp_10002784" TargetMode="External"/><Relationship Id="rId_hyperlink_6446" Type="http://schemas.openxmlformats.org/officeDocument/2006/relationships/hyperlink" Target="https://old.ukr-mobil.com/mikroskop_relife_rl_m3t-b1_trinokulyarnyj_c_kameroj_38_mp_s_displeem_10_inch_10002785" TargetMode="External"/><Relationship Id="rId_hyperlink_6447" Type="http://schemas.openxmlformats.org/officeDocument/2006/relationships/hyperlink" Target="https://old.ukr-mobil.com/mikroskop_relife_rl_m3t-b1_trinokulyarnyj_c_kameroj_48_mp_full_hd_10002298" TargetMode="External"/><Relationship Id="rId_hyperlink_6448" Type="http://schemas.openxmlformats.org/officeDocument/2006/relationships/hyperlink" Target="https://old.ukr-mobil.com/mikroskop_relife_rl_m3t-b1_trinokulyarnyj_c_kameroj_48mp_full_hd_displeem_10_inch_10001076" TargetMode="External"/><Relationship Id="rId_hyperlink_6449" Type="http://schemas.openxmlformats.org/officeDocument/2006/relationships/hyperlink" Target="https://old.ukr-mobil.com/mikroskop_relife_rl_m3t-b1_trinokulyarnyj_10002786" TargetMode="External"/><Relationship Id="rId_hyperlink_6450" Type="http://schemas.openxmlformats.org/officeDocument/2006/relationships/hyperlink" Target="https://old.ukr-mobil.com/mikroskop_sunshine_c_kameroj_i_displeem_10000393" TargetMode="External"/><Relationship Id="rId_hyperlink_6451" Type="http://schemas.openxmlformats.org/officeDocument/2006/relationships/hyperlink" Target="https://old.ukr-mobil.com/m_kroskop_tx-3a_10x_2x_4x_verhnya_lyum_n_scentna_p_dsv_tka_3721" TargetMode="External"/><Relationship Id="rId_hyperlink_6452" Type="http://schemas.openxmlformats.org/officeDocument/2006/relationships/hyperlink" Target="https://old.ukr-mobil.com/m_kroskop_tx-3b_2x_4x_verhnyaya_podsvetka_2878" TargetMode="External"/><Relationship Id="rId_hyperlink_6453" Type="http://schemas.openxmlformats.org/officeDocument/2006/relationships/hyperlink" Target="https://old.ukr-mobil.com/m_kroskop_xtx-3c_10x_2x_4x_podsvetka_nizhnyaya_i_verhnyaya_1554" TargetMode="External"/><Relationship Id="rId_hyperlink_6454" Type="http://schemas.openxmlformats.org/officeDocument/2006/relationships/hyperlink" Target="https://old.ukr-mobil.com/mikroskop_ya_xun_yx-ak10b_kratnost_uvelicheniya_7h-45h_verhnyaya_podsvetka_7986" TargetMode="External"/><Relationship Id="rId_hyperlink_6455" Type="http://schemas.openxmlformats.org/officeDocument/2006/relationships/hyperlink" Target="https://old.ukr-mobil.com/mikroskop_ya_xun_yx-ak21_kratnost_uvelicheniya_20h_i_40h_verhnyaya_podsvetka_4072" TargetMode="External"/><Relationship Id="rId_hyperlink_6456" Type="http://schemas.openxmlformats.org/officeDocument/2006/relationships/hyperlink" Target="https://old.ukr-mobil.com/mikroskop_yaxun_yx-ak33_c_kameroj_21mp_full_hd_1080_60fps_hdmi_s_antistaticheskoj_robochej_poverhnostyu_11793" TargetMode="External"/><Relationship Id="rId_hyperlink_6457" Type="http://schemas.openxmlformats.org/officeDocument/2006/relationships/hyperlink" Target="https://old.ukr-mobil.com/podsvetka_dlya_mikroskopa_diodnaya_s_regulyatorom_yarkosti_11794" TargetMode="External"/><Relationship Id="rId_hyperlink_6458" Type="http://schemas.openxmlformats.org/officeDocument/2006/relationships/hyperlink" Target="https://old.ukr-mobil.com/podsvetka_dlya_mikroskopa_diodnaya_s_regulyatorom_yarkosti_podklyuchenie_po_usb_10004379" TargetMode="External"/><Relationship Id="rId_hyperlink_6459" Type="http://schemas.openxmlformats.org/officeDocument/2006/relationships/hyperlink" Target="https://old.ukr-mobil.com/nozh_dlya_plottera_relife_rl-870c_sunshine_ss-890c_ss-890c_pro_ss-890c_pro_max_1sht_10002698" TargetMode="External"/><Relationship Id="rId_hyperlink_6460" Type="http://schemas.openxmlformats.org/officeDocument/2006/relationships/hyperlink" Target="https://old.ukr-mobil.com/plotter_mc-180_dlya_narezki_zashchitnoj_gidrogelevoj_plyonki_10001380" TargetMode="External"/><Relationship Id="rId_hyperlink_6461" Type="http://schemas.openxmlformats.org/officeDocument/2006/relationships/hyperlink" Target="https://old.ukr-mobil.com/plotter_mx5t-230_eco_dlya_narezki_zashchitnoj_gidrogelevoj_plyonki_bez_privyazki_k_akkauntu_10004346" TargetMode="External"/><Relationship Id="rId_hyperlink_6462" Type="http://schemas.openxmlformats.org/officeDocument/2006/relationships/hyperlink" Target="https://old.ukr-mobil.com/plotter_relife_rl-870c_dlya_narezki_zashchitnoj_gidrogelevoj_plyonki_10001088" TargetMode="External"/><Relationship Id="rId_hyperlink_6463" Type="http://schemas.openxmlformats.org/officeDocument/2006/relationships/hyperlink" Target="https://old.ukr-mobil.com/plotter_sunshine_ss-890_mini_dlya_narezki_zashchitnoj_gidrogelevoj_plyonki_diametrom_do_7_1_dyujmov_10002300" TargetMode="External"/><Relationship Id="rId_hyperlink_6464" Type="http://schemas.openxmlformats.org/officeDocument/2006/relationships/hyperlink" Target="https://old.ukr-mobil.com/plotter_sunshine_ss-890c_pro_max_dlya_narezki_zashchitnoj_gidrogelevoj_plyonki_diametrom_do_16_dyujmov_10003004" TargetMode="External"/><Relationship Id="rId_hyperlink_6465" Type="http://schemas.openxmlformats.org/officeDocument/2006/relationships/hyperlink" Target="https://old.ukr-mobil.com/plotter_sunshine_ss-890c_pro_dlya_narezki_zashchitnoj_gidrogelevoj_plyonki_diametrom_do_12_9_dyujmov_10002721" TargetMode="External"/><Relationship Id="rId_hyperlink_6466" Type="http://schemas.openxmlformats.org/officeDocument/2006/relationships/hyperlink" Target="https://old.ukr-mobil.com/nabor_molibdenovoj_provolki_s_derzhatelem_mechanic_jgs6010_6in1_d_0_1mm_d_0_04mm_d_0_05mm_d_0_06mm_d_0_08mm_12296" TargetMode="External"/><Relationship Id="rId_hyperlink_6467" Type="http://schemas.openxmlformats.org/officeDocument/2006/relationships/hyperlink" Target="https://old.ukr-mobil.com/provolka_dlya_otdeleniya_stekla_ot_displeya_d_0_04mm_l_100m_4438" TargetMode="External"/><Relationship Id="rId_hyperlink_6468" Type="http://schemas.openxmlformats.org/officeDocument/2006/relationships/hyperlink" Target="https://old.ukr-mobil.com/provolka_dlya_otdeleniya_stekla_ot_displeya_mechanic_iline_x_d_0_03_mm_l_100_m_karbonovaya_10001506" TargetMode="External"/><Relationship Id="rId_hyperlink_6469" Type="http://schemas.openxmlformats.org/officeDocument/2006/relationships/hyperlink" Target="https://old.ukr-mobil.com/provolka_dlya_otdeleniya_stekla_ot_displeya_mechanic_iline_x_d_0_03_mm_l_200_m_karbonovaya_10002765" TargetMode="External"/><Relationship Id="rId_hyperlink_6470" Type="http://schemas.openxmlformats.org/officeDocument/2006/relationships/hyperlink" Target="https://old.ukr-mobil.com/provolka_dlya_otdeleniya_stekla_ot_displeya_mechanic_iline_x_d_0_05_mm_l_100_m_karbonovaya_10001507" TargetMode="External"/><Relationship Id="rId_hyperlink_6471" Type="http://schemas.openxmlformats.org/officeDocument/2006/relationships/hyperlink" Target="https://old.ukr-mobil.com/provolka_dlya_otdeleniya_stekla_ot_displeya_mechanic_itought_x_d_0_028_mm_l_200_m_molibdenovaya_10002744" TargetMode="External"/><Relationship Id="rId_hyperlink_6472" Type="http://schemas.openxmlformats.org/officeDocument/2006/relationships/hyperlink" Target="https://old.ukr-mobil.com/provolka_dlya_otdeleniya_stekla_ot_displeya_mechanic_ithought_x_d_0_03_mm_l_200_m_molibdenovaya_10001508" TargetMode="External"/><Relationship Id="rId_hyperlink_6473" Type="http://schemas.openxmlformats.org/officeDocument/2006/relationships/hyperlink" Target="https://old.ukr-mobil.com/provolka_dlya_otdeleniya_stekla_ot_displeya_mechanic_ithought_x_d_0_035_mm_l_200_m_molibdenovaya_10001509" TargetMode="External"/><Relationship Id="rId_hyperlink_6474" Type="http://schemas.openxmlformats.org/officeDocument/2006/relationships/hyperlink" Target="https://old.ukr-mobil.com/provolka_dlya_otdeleniya_stekla_ot_displeya_molibdenovaya_sunshine_ss-051_d_0_03mm_l_100m_10000573" TargetMode="External"/><Relationship Id="rId_hyperlink_6475" Type="http://schemas.openxmlformats.org/officeDocument/2006/relationships/hyperlink" Target="https://old.ukr-mobil.com/provolka_dlya_otdeleniya_stekla_ot_displeya_molibdenovaya_sunshine_d_0_08mm_l_100m_10000574" TargetMode="External"/><Relationship Id="rId_hyperlink_6476" Type="http://schemas.openxmlformats.org/officeDocument/2006/relationships/hyperlink" Target="https://old.ukr-mobil.com/provoloka_dlya_vosstanovleniya_dorozhek_sunshine_ss-007d_med_d_0_01mm_150m_10000701" TargetMode="External"/><Relationship Id="rId_hyperlink_6477" Type="http://schemas.openxmlformats.org/officeDocument/2006/relationships/hyperlink" Target="https://old.ukr-mobil.com/provoloka_dlya_vosstanovleniya_dorozhek_sunshine_ss-007c_d_0_02mm_l_120m_10000572" TargetMode="External"/><Relationship Id="rId_hyperlink_6478" Type="http://schemas.openxmlformats.org/officeDocument/2006/relationships/hyperlink" Target="https://old.ukr-mobil.com/struna_separatornaya_dlya_otdeleniya_stekla_displeya_mechanic_cs01_d_0_025_mm_l_100_m_karbonovaya_10002752" TargetMode="External"/><Relationship Id="rId_hyperlink_6479" Type="http://schemas.openxmlformats.org/officeDocument/2006/relationships/hyperlink" Target="https://old.ukr-mobil.com/struna_separatornaya_dlya_otdeleniya_stekla_displeya_mechanic_cs01_d_0_03_mm_l_100_m_karbonovaya_10002753" TargetMode="External"/><Relationship Id="rId_hyperlink_6480" Type="http://schemas.openxmlformats.org/officeDocument/2006/relationships/hyperlink" Target="https://old.ukr-mobil.com/struna_separatornaya_dlya_otdeleniya_stekla_displeya_mechanic_cs01_d_0_035_mm_l_100_m_karbonovaya_10002751" TargetMode="External"/><Relationship Id="rId_hyperlink_6481" Type="http://schemas.openxmlformats.org/officeDocument/2006/relationships/hyperlink" Target="https://old.ukr-mobil.com/index.php?route=product&amp;product_id=10004569" TargetMode="External"/><Relationship Id="rId_hyperlink_6482" Type="http://schemas.openxmlformats.org/officeDocument/2006/relationships/hyperlink" Target="https://old.ukr-mobil.com/plata_k_programmatoru_jcid_v1se_dlya_vosstanovleniya_face_id_iphone_x_14_pro_max_10004284" TargetMode="External"/><Relationship Id="rId_hyperlink_6483" Type="http://schemas.openxmlformats.org/officeDocument/2006/relationships/hyperlink" Target="https://old.ukr-mobil.com/plata_k_programmatoru_jcid_v1se_dlya_vosstanovleniya_true_tone_iphone_12_14_plus_10004278" TargetMode="External"/><Relationship Id="rId_hyperlink_6484" Type="http://schemas.openxmlformats.org/officeDocument/2006/relationships/hyperlink" Target="https://old.ukr-mobil.com/plata_k_programmatoru_jcid_v1se_dlya_vosstanovleniya_akkumulyatorov_iphone_6_14_pro_max_10004285" TargetMode="External"/><Relationship Id="rId_hyperlink_6485" Type="http://schemas.openxmlformats.org/officeDocument/2006/relationships/hyperlink" Target="https://old.ukr-mobil.com/programmator_i2c_dlya_vosstanovleniya_face_id_v8i_versiya_3_10002221" TargetMode="External"/><Relationship Id="rId_hyperlink_6486" Type="http://schemas.openxmlformats.org/officeDocument/2006/relationships/hyperlink" Target="https://old.ukr-mobil.com/index.php?route=product&amp;product_id=10004730" TargetMode="External"/><Relationship Id="rId_hyperlink_6487" Type="http://schemas.openxmlformats.org/officeDocument/2006/relationships/hyperlink" Target="https://old.ukr-mobil.com/programmator_jcid_v1se_s_6_platami_dlya_iphone_7_7_plus_8_8p_x_xs_xr_xs_max_11_11_pro_11_pro_max_12_12_mini_12_pro_12_pro_max_10002222" TargetMode="External"/><Relationship Id="rId_hyperlink_6488" Type="http://schemas.openxmlformats.org/officeDocument/2006/relationships/hyperlink" Target="https://old.ukr-mobil.com/programmator_jcid_v1se_wi-fi_s_platoj_dlya_vostanovleniya_true_tone_iphone_7_11_pro_max_10004277" TargetMode="External"/><Relationship Id="rId_hyperlink_6489" Type="http://schemas.openxmlformats.org/officeDocument/2006/relationships/hyperlink" Target="https://old.ukr-mobil.com/adapter_kabeli_naviplus_pro_3000s_nand_fixture_ipad_air_ipad_air_2_11237" TargetMode="External"/><Relationship Id="rId_hyperlink_6490" Type="http://schemas.openxmlformats.org/officeDocument/2006/relationships/hyperlink" Target="https://old.ukr-mobil.com/boks_sunshine_ss-001a_dlya_hraneniya_smartfona_pri_remonte_10001904" TargetMode="External"/><Relationship Id="rId_hyperlink_6491" Type="http://schemas.openxmlformats.org/officeDocument/2006/relationships/hyperlink" Target="https://old.ukr-mobil.com/derzhatel_plat_baku_bk-687_1566" TargetMode="External"/><Relationship Id="rId_hyperlink_6492" Type="http://schemas.openxmlformats.org/officeDocument/2006/relationships/hyperlink" Target="https://old.ukr-mobil.com/index.php?route=product&amp;product_id=10005610" TargetMode="External"/><Relationship Id="rId_hyperlink_6493" Type="http://schemas.openxmlformats.org/officeDocument/2006/relationships/hyperlink" Target="https://old.ukr-mobil.com/derzhatel_plat_relife_rl-601r_dlya_iphone_x_iphone_xs_iphone_xs_max_iphone_11_iphone_11_pro_iphone_12_iphone_12_pro_max_10001641" TargetMode="External"/><Relationship Id="rId_hyperlink_6494" Type="http://schemas.openxmlformats.org/officeDocument/2006/relationships/hyperlink" Target="https://old.ukr-mobil.com/dozator-pistolet_dlya_kleya_flyusa_payalnj_pasty_relife_rl-062a_10_cc_10004333" TargetMode="External"/><Relationship Id="rId_hyperlink_6495" Type="http://schemas.openxmlformats.org/officeDocument/2006/relationships/hyperlink" Target="https://old.ukr-mobil.com/emkost_dlya_zhidkostej_baku_bk-402_120_ml_s_dozatorom_1570" TargetMode="External"/><Relationship Id="rId_hyperlink_6496" Type="http://schemas.openxmlformats.org/officeDocument/2006/relationships/hyperlink" Target="https://old.ukr-mobil.com/emkost_dlya_zhidkosti_s_dozatorom_mechanic_tp01_120_ml_10002754" TargetMode="External"/><Relationship Id="rId_hyperlink_6497" Type="http://schemas.openxmlformats.org/officeDocument/2006/relationships/hyperlink" Target="https://old.ukr-mobil.com/zazhim_plastikovyj_dlya_skleivaniya_tachskrinov_stekol_korpusov_11047" TargetMode="External"/><Relationship Id="rId_hyperlink_6498" Type="http://schemas.openxmlformats.org/officeDocument/2006/relationships/hyperlink" Target="https://old.ukr-mobil.com/zazhim-strubcina_metalicheskij_dlya_skleivaniya_tachskrinov_stekol_korpusov_12295" TargetMode="External"/><Relationship Id="rId_hyperlink_6499" Type="http://schemas.openxmlformats.org/officeDocument/2006/relationships/hyperlink" Target="https://old.ukr-mobil.com/instrument_dlya_remonta_korpusa_ali_tool_fz1_26_in1_iphone_5_iphone_5c_iphone_5s_iphone_6_iphone_6_plus_ipad_2_ipad_3_ipad_4_ipad_mini_7092" TargetMode="External"/><Relationship Id="rId_hyperlink_6500" Type="http://schemas.openxmlformats.org/officeDocument/2006/relationships/hyperlink" Target="https://old.ukr-mobil.com/instrument-prisoska_dlya_snyatiya_ustanovki_displeev_mechanic_sc86_diametr_prisoski_57_mm_10002755" TargetMode="External"/><Relationship Id="rId_hyperlink_6501" Type="http://schemas.openxmlformats.org/officeDocument/2006/relationships/hyperlink" Target="https://old.ukr-mobil.com/instrument-prisoska_dlya_snyatiya_ustanovki_sensornyh_displeev_yaxun_yx-d02_5357" TargetMode="External"/><Relationship Id="rId_hyperlink_6502" Type="http://schemas.openxmlformats.org/officeDocument/2006/relationships/hyperlink" Target="https://old.ukr-mobil.com/klej_dlya_predvaritelnogo_montazha_komponentov_na_platu_mechanic_4108_40g_12298" TargetMode="External"/><Relationship Id="rId_hyperlink_6503" Type="http://schemas.openxmlformats.org/officeDocument/2006/relationships/hyperlink" Target="https://old.ukr-mobil.com/index.php?route=product&amp;product_id=10005612" TargetMode="External"/><Relationship Id="rId_hyperlink_6504" Type="http://schemas.openxmlformats.org/officeDocument/2006/relationships/hyperlink" Target="https://old.ukr-mobil.com/sprej_dlya_obnaruzheniya_neispravnyh_elektronnyh_komponentov_yaxun_v7_350ml_8508" TargetMode="External"/><Relationship Id="rId_hyperlink_6505" Type="http://schemas.openxmlformats.org/officeDocument/2006/relationships/hyperlink" Target="https://old.ukr-mobil.com/stanok_dlya_snyatiya_zadnih_kryshek_yaxun_yx-991_iphone_8g_iphone_8_plus_iphone_x_iphone_xs_iphone_xs_max_11787" TargetMode="External"/><Relationship Id="rId_hyperlink_6506" Type="http://schemas.openxmlformats.org/officeDocument/2006/relationships/hyperlink" Target="https://old.ukr-mobil.com/holder_dlya_m_kroskhem_bga_t-3208_2889" TargetMode="External"/><Relationship Id="rId_hyperlink_6507" Type="http://schemas.openxmlformats.org/officeDocument/2006/relationships/hyperlink" Target="https://old.ukr-mobil.com/derzhatel_qianli_dzj1_dlya_remonta_face_id_i_dot_sensora_iphone_x_12_pro_max_10002225" TargetMode="External"/><Relationship Id="rId_hyperlink_6508" Type="http://schemas.openxmlformats.org/officeDocument/2006/relationships/hyperlink" Target="https://old.ukr-mobil.com/shlejf_apple_iphone_11_pro_max_dlya_vosstanovleniya_face_id_i2c_10002235" TargetMode="External"/><Relationship Id="rId_hyperlink_6509" Type="http://schemas.openxmlformats.org/officeDocument/2006/relationships/hyperlink" Target="https://old.ukr-mobil.com/shlejf_apple_iphone_11_pro_dlya_vosstanovleniya_face_id_i2c_10002234" TargetMode="External"/><Relationship Id="rId_hyperlink_6510" Type="http://schemas.openxmlformats.org/officeDocument/2006/relationships/hyperlink" Target="https://old.ukr-mobil.com/shlejf_apple_iphone_11_dlya_vosstanovleniya_face_id_i2c_10002233" TargetMode="External"/><Relationship Id="rId_hyperlink_6511" Type="http://schemas.openxmlformats.org/officeDocument/2006/relationships/hyperlink" Target="https://old.ukr-mobil.com/shlejf_apple_iphone_12_mini_dlya_vosstanovleniya_face_id_i2c_10002237" TargetMode="External"/><Relationship Id="rId_hyperlink_6512" Type="http://schemas.openxmlformats.org/officeDocument/2006/relationships/hyperlink" Target="https://old.ukr-mobil.com/shlejf_apple_iphone_12_pro_max_dlya_vosstanovleniya_face_id_i2c_10002238" TargetMode="External"/><Relationship Id="rId_hyperlink_6513" Type="http://schemas.openxmlformats.org/officeDocument/2006/relationships/hyperlink" Target="https://old.ukr-mobil.com/shlejf_apple_iphone_12_iphone_12_pro_dlya_vosstanovleniya_face_id_i2c_10002236" TargetMode="External"/><Relationship Id="rId_hyperlink_6514" Type="http://schemas.openxmlformats.org/officeDocument/2006/relationships/hyperlink" Target="https://old.ukr-mobil.com/shlejf_apple_iphone_x_dlya_vosstanovleniya_face_id_i2c_10002229" TargetMode="External"/><Relationship Id="rId_hyperlink_6515" Type="http://schemas.openxmlformats.org/officeDocument/2006/relationships/hyperlink" Target="https://old.ukr-mobil.com/shlejf_apple_iphone_x_dlya_vosstanovleniya_face_id_jcid_dlya_programmatorov_jcid_10002638" TargetMode="External"/><Relationship Id="rId_hyperlink_6516" Type="http://schemas.openxmlformats.org/officeDocument/2006/relationships/hyperlink" Target="https://old.ukr-mobil.com/shlejf_apple_iphone_xr_dlya_vosstanovleniya_face_id_i2c_10002230" TargetMode="External"/><Relationship Id="rId_hyperlink_6517" Type="http://schemas.openxmlformats.org/officeDocument/2006/relationships/hyperlink" Target="https://old.ukr-mobil.com/shlejf_apple_iphone_xr_dlya_vosstanovleniya_face_id_jcid_dlya_programmatorov_jcid_10002639" TargetMode="External"/><Relationship Id="rId_hyperlink_6518" Type="http://schemas.openxmlformats.org/officeDocument/2006/relationships/hyperlink" Target="https://old.ukr-mobil.com/shlejf_apple_iphone_xs_max_dlya_vosstanovleniya_face_id_i2c_10002232" TargetMode="External"/><Relationship Id="rId_hyperlink_6519" Type="http://schemas.openxmlformats.org/officeDocument/2006/relationships/hyperlink" Target="https://old.ukr-mobil.com/shlejf_apple_iphone_xs_max_dlya_vosstanovleniya_face_id_jcid_dlya_programmatorov_jcid_10002642" TargetMode="External"/><Relationship Id="rId_hyperlink_6520" Type="http://schemas.openxmlformats.org/officeDocument/2006/relationships/hyperlink" Target="https://old.ukr-mobil.com/shlejf_apple_iphone_xs_dlya_vosstanovleniya_face_id_i2c_10002231" TargetMode="External"/><Relationship Id="rId_hyperlink_6521" Type="http://schemas.openxmlformats.org/officeDocument/2006/relationships/hyperlink" Target="https://old.ukr-mobil.com/shlejf_apple_iphone_xs_dlya_vosstanovleniya_face_id_jcid_dlya_programmatorov_jcid_10002641" TargetMode="External"/><Relationship Id="rId_hyperlink_6522" Type="http://schemas.openxmlformats.org/officeDocument/2006/relationships/hyperlink" Target="https://old.ukr-mobil.com/ruchnaya_mini_drelka_polirovochnaya_mashinka_relife_rl-068b_s_zaryadnym_ustrojstvom_10002717" TargetMode="External"/><Relationship Id="rId_hyperlink_6523" Type="http://schemas.openxmlformats.org/officeDocument/2006/relationships/hyperlink" Target="https://old.ukr-mobil.com/kusachki_baku_bk-021_10000387" TargetMode="External"/><Relationship Id="rId_hyperlink_6524" Type="http://schemas.openxmlformats.org/officeDocument/2006/relationships/hyperlink" Target="https://old.ukr-mobil.com/kusachki-bokorezy_baku_bk-109_11035" TargetMode="External"/><Relationship Id="rId_hyperlink_6525" Type="http://schemas.openxmlformats.org/officeDocument/2006/relationships/hyperlink" Target="https://old.ukr-mobil.com/index.php?route=product&amp;product_id=10005609" TargetMode="External"/><Relationship Id="rId_hyperlink_6526" Type="http://schemas.openxmlformats.org/officeDocument/2006/relationships/hyperlink" Target="https://old.ukr-mobil.com/index.php?route=product&amp;product_id=10005613" TargetMode="External"/><Relationship Id="rId_hyperlink_6527" Type="http://schemas.openxmlformats.org/officeDocument/2006/relationships/hyperlink" Target="https://old.ukr-mobil.com/nozhic_dlya_sim_karti_nano_sim_micro_sim_bk-7299_4986" TargetMode="External"/><Relationship Id="rId_hyperlink_6528" Type="http://schemas.openxmlformats.org/officeDocument/2006/relationships/hyperlink" Target="https://old.ukr-mobil.com/nozhic_dlya_sim_karti_p_d_i-phone_5_nano_sim_bk-7291_3445" TargetMode="External"/><Relationship Id="rId_hyperlink_6529" Type="http://schemas.openxmlformats.org/officeDocument/2006/relationships/hyperlink" Target="https://old.ukr-mobil.com/nozhnicy_dlya_obrezki_dvustoronnego_skotcha_6793" TargetMode="External"/><Relationship Id="rId_hyperlink_6530" Type="http://schemas.openxmlformats.org/officeDocument/2006/relationships/hyperlink" Target="https://old.ukr-mobil.com/ploskogubcy_baku_bk-031_10000386" TargetMode="External"/><Relationship Id="rId_hyperlink_6531" Type="http://schemas.openxmlformats.org/officeDocument/2006/relationships/hyperlink" Target="https://old.ukr-mobil.com/ploskogubcy_uglovye_baku_bk-055_125mm_1565" TargetMode="External"/><Relationship Id="rId_hyperlink_6532" Type="http://schemas.openxmlformats.org/officeDocument/2006/relationships/hyperlink" Target="https://old.ukr-mobil.com/nab_r_dlya_v_dkrivannya_korpus_v_baku_bk-212_12_plastikovih_skalpel_v_1586" TargetMode="External"/><Relationship Id="rId_hyperlink_6533" Type="http://schemas.openxmlformats.org/officeDocument/2006/relationships/hyperlink" Target="https://old.ukr-mobil.com/nabor_instrumentov_baku_ba-3336a_otvyortki_y0_6_1_5_pentalob_0_8_pinhead_2_5_dve_lopatki_mediator_10000372" TargetMode="External"/><Relationship Id="rId_hyperlink_6534" Type="http://schemas.openxmlformats.org/officeDocument/2006/relationships/hyperlink" Target="https://old.ukr-mobil.com/nabor_instrumentov_dlya_otkryvaniya_korpusov_yaxun_yx-690_7651" TargetMode="External"/><Relationship Id="rId_hyperlink_6535" Type="http://schemas.openxmlformats.org/officeDocument/2006/relationships/hyperlink" Target="https://old.ukr-mobil.com/nabor_metallicheskih_lopatok_dlya_razborki_korpusov_baku_3_in_1_spudgers_set_9567" TargetMode="External"/><Relationship Id="rId_hyperlink_6536" Type="http://schemas.openxmlformats.org/officeDocument/2006/relationships/hyperlink" Target="https://old.ukr-mobil.com/nabor_instrumentov_i_otvertki_baseus_acdm-ip7_dlya_zameny_batarej_na_iphone_7_10001675" TargetMode="External"/><Relationship Id="rId_hyperlink_6537" Type="http://schemas.openxmlformats.org/officeDocument/2006/relationships/hyperlink" Target="https://old.ukr-mobil.com/nabor_instrumentov_i_otvertki_baseus_acdm-ip7p_dlya_zameny_batarej_na_iphone_7_plus_10001673" TargetMode="External"/><Relationship Id="rId_hyperlink_6538" Type="http://schemas.openxmlformats.org/officeDocument/2006/relationships/hyperlink" Target="https://old.ukr-mobil.com/nabor_instrumentov_i_otvertki_baseus_acdm-ip8_dlya_zameny_batarej_na_iphone_8_10001674" TargetMode="External"/><Relationship Id="rId_hyperlink_6539" Type="http://schemas.openxmlformats.org/officeDocument/2006/relationships/hyperlink" Target="https://old.ukr-mobil.com/nabor_otvertok_baku_3337a_3_otvyortki_1_5_y0_6_0_8_plastikovyj_otkryvatel_11034" TargetMode="External"/><Relationship Id="rId_hyperlink_6540" Type="http://schemas.openxmlformats.org/officeDocument/2006/relationships/hyperlink" Target="https://old.ukr-mobil.com/nabor_otvertok_baku_bk-1101_ruchka_16_nasadok_pincet_pryamoj_pincet_izognutyj_11041" TargetMode="External"/><Relationship Id="rId_hyperlink_6541" Type="http://schemas.openxmlformats.org/officeDocument/2006/relationships/hyperlink" Target="https://old.ukr-mobil.com/nabor_otvertok_baku_bk-3020_ruchka_20_nasadok_11039" TargetMode="External"/><Relationship Id="rId_hyperlink_6542" Type="http://schemas.openxmlformats.org/officeDocument/2006/relationships/hyperlink" Target="https://old.ukr-mobil.com/nabor_otvertok_baku_bk-3035_ruchka_30_nasadok_11040" TargetMode="External"/><Relationship Id="rId_hyperlink_6543" Type="http://schemas.openxmlformats.org/officeDocument/2006/relationships/hyperlink" Target="https://old.ukr-mobil.com/nabor_otvertok_baku_bk-312_12sht_3355" TargetMode="External"/><Relationship Id="rId_hyperlink_6544" Type="http://schemas.openxmlformats.org/officeDocument/2006/relationships/hyperlink" Target="https://old.ukr-mobil.com/nabor_otvertok_baku_bk-5530_t4_25mm_t5_22mm_t6_25mm_1_5_25mm_0_8_25mm_3627" TargetMode="External"/><Relationship Id="rId_hyperlink_6545" Type="http://schemas.openxmlformats.org/officeDocument/2006/relationships/hyperlink" Target="https://old.ukr-mobil.com/nabor_otvertok_baku_bk-6108_t3_t4_t5_t6_1_5_1_2_0_8_1_5_11046" TargetMode="External"/><Relationship Id="rId_hyperlink_6546" Type="http://schemas.openxmlformats.org/officeDocument/2006/relationships/hyperlink" Target="https://old.ukr-mobil.com/nabor_otvertok_baku_bk-7275_5_in_1_5_nasadok_t4_t5_t6_0_8_1_5_1102" TargetMode="External"/><Relationship Id="rId_hyperlink_6547" Type="http://schemas.openxmlformats.org/officeDocument/2006/relationships/hyperlink" Target="https://old.ukr-mobil.com/nabor_otvertok_baku_bk-7276_6_nasadok_1_5_y0_6_0_8_teleskopicheskaya_ruchka_11036" TargetMode="External"/><Relationship Id="rId_hyperlink_6548" Type="http://schemas.openxmlformats.org/officeDocument/2006/relationships/hyperlink" Target="https://old.ukr-mobil.com/nab_r_vikrutok_baku-3310_dlya_iphone_2vikrutki_0_8_1_2_4439" TargetMode="External"/><Relationship Id="rId_hyperlink_6549" Type="http://schemas.openxmlformats.org/officeDocument/2006/relationships/hyperlink" Target="https://old.ukr-mobil.com/nabor_otvyortok_kaisi_k5222_7_v_odnom_8048" TargetMode="External"/><Relationship Id="rId_hyperlink_6550" Type="http://schemas.openxmlformats.org/officeDocument/2006/relationships/hyperlink" Target="https://old.ukr-mobil.com/index.php?route=product&amp;product_id=10005178" TargetMode="External"/><Relationship Id="rId_hyperlink_6551" Type="http://schemas.openxmlformats.org/officeDocument/2006/relationships/hyperlink" Target="https://old.ukr-mobil.com/index.php?route=product&amp;product_id=10005179" TargetMode="External"/><Relationship Id="rId_hyperlink_6552" Type="http://schemas.openxmlformats.org/officeDocument/2006/relationships/hyperlink" Target="https://old.ukr-mobil.com/nabor_otvertok_sunshine_ss5106_8_in_1_4_otvertki_2_5_1_3_0_8_y0_6_skalpel_plastikovyj_otkryvatel_10001734" TargetMode="External"/><Relationship Id="rId_hyperlink_6553" Type="http://schemas.openxmlformats.org/officeDocument/2006/relationships/hyperlink" Target="https://old.ukr-mobil.com/index.php?route=product&amp;product_id=10005177" TargetMode="External"/><Relationship Id="rId_hyperlink_6554" Type="http://schemas.openxmlformats.org/officeDocument/2006/relationships/hyperlink" Target="https://old.ukr-mobil.com/nabor_otvertok_sunshine_ss5116_26_in_1_ruchka_18_nasadok_pincet_pryamoj_10001733" TargetMode="External"/><Relationship Id="rId_hyperlink_6555" Type="http://schemas.openxmlformats.org/officeDocument/2006/relationships/hyperlink" Target="https://old.ukr-mobil.com/nabor_otvertok_sunshine_ss-5118_25_in_1_ruchka_18_nasadok_10002303" TargetMode="External"/><Relationship Id="rId_hyperlink_6556" Type="http://schemas.openxmlformats.org/officeDocument/2006/relationships/hyperlink" Target="https://old.ukr-mobil.com/nabor_otvyortok_ya_xun_yx-8185_9122" TargetMode="External"/><Relationship Id="rId_hyperlink_6557" Type="http://schemas.openxmlformats.org/officeDocument/2006/relationships/hyperlink" Target="https://old.ukr-mobil.com/nabor_otvertok_yaxun_yx-8181_dlya_iphone_7_iphone_7_plus_iwatch_6_v_1_7149" TargetMode="External"/><Relationship Id="rId_hyperlink_6558" Type="http://schemas.openxmlformats.org/officeDocument/2006/relationships/hyperlink" Target="https://old.ukr-mobil.com/nabor_otvertok_yaxun_yx-8184_dlya_iphone_7_1_2_y0_6_0_8_5_v_1_7148" TargetMode="External"/><Relationship Id="rId_hyperlink_6559" Type="http://schemas.openxmlformats.org/officeDocument/2006/relationships/hyperlink" Target="https://old.ukr-mobil.com/otvyortka_baku_355_0_8_11031" TargetMode="External"/><Relationship Id="rId_hyperlink_6560" Type="http://schemas.openxmlformats.org/officeDocument/2006/relationships/hyperlink" Target="https://old.ukr-mobil.com/otvyortka_baku_355_1_5_11032" TargetMode="External"/><Relationship Id="rId_hyperlink_6561" Type="http://schemas.openxmlformats.org/officeDocument/2006/relationships/hyperlink" Target="https://old.ukr-mobil.com/otvyortka_baku_355_y_0_6_11033" TargetMode="External"/><Relationship Id="rId_hyperlink_6562" Type="http://schemas.openxmlformats.org/officeDocument/2006/relationships/hyperlink" Target="https://old.ukr-mobil.com/otvyortka_kaisi_0_8_10002317" TargetMode="External"/><Relationship Id="rId_hyperlink_6563" Type="http://schemas.openxmlformats.org/officeDocument/2006/relationships/hyperlink" Target="https://old.ukr-mobil.com/otvyortka_kaisi_1_5_10002316" TargetMode="External"/><Relationship Id="rId_hyperlink_6564" Type="http://schemas.openxmlformats.org/officeDocument/2006/relationships/hyperlink" Target="https://old.ukr-mobil.com/otvyortka_kaisi_y_0_6_dlya_iphone_7_iphone_7_plus_iwatch_10002315" TargetMode="External"/><Relationship Id="rId_hyperlink_6565" Type="http://schemas.openxmlformats.org/officeDocument/2006/relationships/hyperlink" Target="https://old.ukr-mobil.com/index.php?route=product&amp;product_id=10005227" TargetMode="External"/><Relationship Id="rId_hyperlink_6566" Type="http://schemas.openxmlformats.org/officeDocument/2006/relationships/hyperlink" Target="https://old.ukr-mobil.com/index.php?route=product&amp;product_id=10005225" TargetMode="External"/><Relationship Id="rId_hyperlink_6567" Type="http://schemas.openxmlformats.org/officeDocument/2006/relationships/hyperlink" Target="https://old.ukr-mobil.com/index.php?route=product&amp;product_id=10005226" TargetMode="External"/><Relationship Id="rId_hyperlink_6568" Type="http://schemas.openxmlformats.org/officeDocument/2006/relationships/hyperlink" Target="https://old.ukr-mobil.com/index.php?route=product&amp;product_id=10005224" TargetMode="External"/><Relationship Id="rId_hyperlink_6569" Type="http://schemas.openxmlformats.org/officeDocument/2006/relationships/hyperlink" Target="https://old.ukr-mobil.com/index.php?route=product&amp;product_id=10005223" TargetMode="External"/><Relationship Id="rId_hyperlink_6570" Type="http://schemas.openxmlformats.org/officeDocument/2006/relationships/hyperlink" Target="https://old.ukr-mobil.com/index.php?route=product&amp;product_id=10005185" TargetMode="External"/><Relationship Id="rId_hyperlink_6571" Type="http://schemas.openxmlformats.org/officeDocument/2006/relationships/hyperlink" Target="https://old.ukr-mobil.com/index.php?route=product&amp;product_id=10005187" TargetMode="External"/><Relationship Id="rId_hyperlink_6572" Type="http://schemas.openxmlformats.org/officeDocument/2006/relationships/hyperlink" Target="https://old.ukr-mobil.com/index.php?route=product&amp;product_id=10005186" TargetMode="External"/><Relationship Id="rId_hyperlink_6573" Type="http://schemas.openxmlformats.org/officeDocument/2006/relationships/hyperlink" Target="https://old.ukr-mobil.com/index.php?route=product&amp;product_id=10005182" TargetMode="External"/><Relationship Id="rId_hyperlink_6574" Type="http://schemas.openxmlformats.org/officeDocument/2006/relationships/hyperlink" Target="https://old.ukr-mobil.com/index.php?route=product&amp;product_id=10005184" TargetMode="External"/><Relationship Id="rId_hyperlink_6575" Type="http://schemas.openxmlformats.org/officeDocument/2006/relationships/hyperlink" Target="https://old.ukr-mobil.com/index.php?route=product&amp;product_id=10005180" TargetMode="External"/><Relationship Id="rId_hyperlink_6576" Type="http://schemas.openxmlformats.org/officeDocument/2006/relationships/hyperlink" Target="https://old.ukr-mobil.com/index.php?route=product&amp;product_id=10005181" TargetMode="External"/><Relationship Id="rId_hyperlink_6577" Type="http://schemas.openxmlformats.org/officeDocument/2006/relationships/hyperlink" Target="https://old.ukr-mobil.com/index.php?route=product&amp;product_id=10005183" TargetMode="External"/><Relationship Id="rId_hyperlink_6578" Type="http://schemas.openxmlformats.org/officeDocument/2006/relationships/hyperlink" Target="https://old.ukr-mobil.com/otvyortka_sunshine_ss-719_t3_10000705" TargetMode="External"/><Relationship Id="rId_hyperlink_6579" Type="http://schemas.openxmlformats.org/officeDocument/2006/relationships/hyperlink" Target="https://old.ukr-mobil.com/otvyortka_sunshine_ss-719_0_8_dlya_iphone_7_10000702" TargetMode="External"/><Relationship Id="rId_hyperlink_6580" Type="http://schemas.openxmlformats.org/officeDocument/2006/relationships/hyperlink" Target="https://old.ukr-mobil.com/otvyortka_sunshine_ss-719_1_5_10000703" TargetMode="External"/><Relationship Id="rId_hyperlink_6581" Type="http://schemas.openxmlformats.org/officeDocument/2006/relationships/hyperlink" Target="https://old.ukr-mobil.com/otvyortka_sunshine_ss-719_y0_6_10000704" TargetMode="External"/><Relationship Id="rId_hyperlink_6582" Type="http://schemas.openxmlformats.org/officeDocument/2006/relationships/hyperlink" Target="https://old.ukr-mobil.com/otvyortka_yaxun_yx-11_y_0_6_dlya_iphone_7_iphone_7_plus_iwatch_8507" TargetMode="External"/><Relationship Id="rId_hyperlink_6583" Type="http://schemas.openxmlformats.org/officeDocument/2006/relationships/hyperlink" Target="https://old.ukr-mobil.com/otvyortka_yaxun_yx-11_0_8_8878" TargetMode="External"/><Relationship Id="rId_hyperlink_6584" Type="http://schemas.openxmlformats.org/officeDocument/2006/relationships/hyperlink" Target="https://old.ukr-mobil.com/otvyortka_yaxun_yx-11_1_5_8877" TargetMode="External"/><Relationship Id="rId_hyperlink_6585" Type="http://schemas.openxmlformats.org/officeDocument/2006/relationships/hyperlink" Target="https://old.ukr-mobil.com/otvyortka_yaxun_yx-11_t2_8879" TargetMode="External"/><Relationship Id="rId_hyperlink_6586" Type="http://schemas.openxmlformats.org/officeDocument/2006/relationships/hyperlink" Target="https://old.ukr-mobil.com/otvyortka_yaxun_yx-11_t6_8880" TargetMode="External"/><Relationship Id="rId_hyperlink_6587" Type="http://schemas.openxmlformats.org/officeDocument/2006/relationships/hyperlink" Target="https://old.ukr-mobil.com/ehlektricheskaya_otvertkka_sunshine_sd-18e_14_nasadok_12277" TargetMode="External"/><Relationship Id="rId_hyperlink_6588" Type="http://schemas.openxmlformats.org/officeDocument/2006/relationships/hyperlink" Target="https://old.ukr-mobil.com/pincet_baku_7-sa_u_r_izognutyj_10016" TargetMode="External"/><Relationship Id="rId_hyperlink_6589" Type="http://schemas.openxmlformats.org/officeDocument/2006/relationships/hyperlink" Target="https://old.ukr-mobil.com/pincet_baku_7a-16_izognutyj_tonkij_11030" TargetMode="External"/><Relationship Id="rId_hyperlink_6590" Type="http://schemas.openxmlformats.org/officeDocument/2006/relationships/hyperlink" Target="https://old.ukr-mobil.com/pincet_baku_a8_7-sa_izognutyj_nemagnitnyj_10000499" TargetMode="External"/><Relationship Id="rId_hyperlink_6591" Type="http://schemas.openxmlformats.org/officeDocument/2006/relationships/hyperlink" Target="https://old.ukr-mobil.com/pincet_baku_a8_ss-sa_pryamoj_nemagnitnyj_10000500" TargetMode="External"/><Relationship Id="rId_hyperlink_6592" Type="http://schemas.openxmlformats.org/officeDocument/2006/relationships/hyperlink" Target="https://old.ukr-mobil.com/pincet_baku_i7_72mz_pryamoj_antistaticheskij_s_keramicheskimi_nakonechnikami_8370" TargetMode="External"/><Relationship Id="rId_hyperlink_6593" Type="http://schemas.openxmlformats.org/officeDocument/2006/relationships/hyperlink" Target="https://old.ukr-mobil.com/pincet_baku_v9_7-sa_izognutyj_nemagnitnyj_perforirovanyj_8367" TargetMode="External"/><Relationship Id="rId_hyperlink_6594" Type="http://schemas.openxmlformats.org/officeDocument/2006/relationships/hyperlink" Target="https://old.ukr-mobil.com/pincet_baku_v9_aa-sa_pryamoj_nemagnitnyj_perforirovanyj_8366" TargetMode="External"/><Relationship Id="rId_hyperlink_6595" Type="http://schemas.openxmlformats.org/officeDocument/2006/relationships/hyperlink" Target="https://old.ukr-mobil.com/pincet_mechanic_sak-15_izognutyj_perforirovanyj_10002745" TargetMode="External"/><Relationship Id="rId_hyperlink_6596" Type="http://schemas.openxmlformats.org/officeDocument/2006/relationships/hyperlink" Target="https://old.ukr-mobil.com/pincet_mechanic_ti-11_pryamoj_ultra-tonkij_nakonechnik_titanovyj_splav_10002747" TargetMode="External"/><Relationship Id="rId_hyperlink_6597" Type="http://schemas.openxmlformats.org/officeDocument/2006/relationships/hyperlink" Target="https://old.ukr-mobil.com/pincet_mechanic_ti-15_izognutyj_ultra-tonkij_nakonechnik_titanovyj_splav_10002746" TargetMode="External"/><Relationship Id="rId_hyperlink_6598" Type="http://schemas.openxmlformats.org/officeDocument/2006/relationships/hyperlink" Target="https://old.ukr-mobil.com/index.php?route=product&amp;product_id=10005614" TargetMode="External"/><Relationship Id="rId_hyperlink_6599" Type="http://schemas.openxmlformats.org/officeDocument/2006/relationships/hyperlink" Target="https://old.ukr-mobil.com/index.php?route=product&amp;product_id=10005615" TargetMode="External"/><Relationship Id="rId_hyperlink_6600" Type="http://schemas.openxmlformats.org/officeDocument/2006/relationships/hyperlink" Target="https://old.ukr-mobil.com/p_ncet_ts-11_pryamij_2891" TargetMode="External"/><Relationship Id="rId_hyperlink_6601" Type="http://schemas.openxmlformats.org/officeDocument/2006/relationships/hyperlink" Target="https://old.ukr-mobil.com/p_ncet_ts-15_zagnutij_2892" TargetMode="External"/><Relationship Id="rId_hyperlink_6602" Type="http://schemas.openxmlformats.org/officeDocument/2006/relationships/hyperlink" Target="https://old.ukr-mobil.com/n_zh-skalpel_dlya_v_dkrivannya_ipod_ipad_iphone_yx-3b_5000" TargetMode="External"/><Relationship Id="rId_hyperlink_6603" Type="http://schemas.openxmlformats.org/officeDocument/2006/relationships/hyperlink" Target="https://old.ukr-mobil.com/skalpel_nasadki_10sht_2888" TargetMode="External"/><Relationship Id="rId_hyperlink_6604" Type="http://schemas.openxmlformats.org/officeDocument/2006/relationships/hyperlink" Target="https://old.ukr-mobil.com/skalpel_so_smennymi_lezviyami_6in1_hobby_knife_set_8349" TargetMode="External"/><Relationship Id="rId_hyperlink_6605" Type="http://schemas.openxmlformats.org/officeDocument/2006/relationships/hyperlink" Target="https://old.ukr-mobil.com/nabor_universalnyj_bk-7283_shpatel_dlya_pasty_bga_shchetka_dlya_plat_karandash_dlya_plat_i_mikroskhem_nozh_3626" TargetMode="External"/><Relationship Id="rId_hyperlink_6606" Type="http://schemas.openxmlformats.org/officeDocument/2006/relationships/hyperlink" Target="https://old.ukr-mobil.com/sprej_dlya_ochistki_plat_contact_cleaner_530_550ml_8097" TargetMode="External"/><Relationship Id="rId_hyperlink_6607" Type="http://schemas.openxmlformats.org/officeDocument/2006/relationships/hyperlink" Target="https://old.ukr-mobil.com/sprej_dlya_ochistki_plat_yx-538_na_osnove_spirta_315ml_9206" TargetMode="External"/><Relationship Id="rId_hyperlink_6608" Type="http://schemas.openxmlformats.org/officeDocument/2006/relationships/hyperlink" Target="https://old.ukr-mobil.com/sprej_dlya_ochistki_plat_yx-539_na_osnove_spirta_140ml_9205" TargetMode="External"/><Relationship Id="rId_hyperlink_6609" Type="http://schemas.openxmlformats.org/officeDocument/2006/relationships/hyperlink" Target="https://old.ukr-mobil.com/mezhplatnyj_trafaret_platforma_qianli_3_v_1_dlya_raspajki_i_rebolla_iphone_11_11_pro_11_pro_max_10002226" TargetMode="External"/><Relationship Id="rId_hyperlink_6610" Type="http://schemas.openxmlformats.org/officeDocument/2006/relationships/hyperlink" Target="https://old.ukr-mobil.com/mezhplatnyj_trafaret_platforma_qianli_3_v_1_dlya_raspajki_i_rebolla_iphone_x_xs_xs_max_10002228" TargetMode="External"/><Relationship Id="rId_hyperlink_6611" Type="http://schemas.openxmlformats.org/officeDocument/2006/relationships/hyperlink" Target="https://old.ukr-mobil.com/mezhplatnyj_trafaret_platforma_qianli_4_v_1_dlya_raspajki_i_rebolla_iphone_12_12_pro_12_pro_max_12_mini_10002227" TargetMode="External"/><Relationship Id="rId_hyperlink_6612" Type="http://schemas.openxmlformats.org/officeDocument/2006/relationships/hyperlink" Target="https://old.ukr-mobil.com/trafaret_3d_mechanic_s40-a10_dlya_iphone_7_iphone_7_plus_12301" TargetMode="External"/><Relationship Id="rId_hyperlink_6613" Type="http://schemas.openxmlformats.org/officeDocument/2006/relationships/hyperlink" Target="https://old.ukr-mobil.com/trafaret_3d_mechanic_s40-a11_dlya_iphone_8_iphone_8_plus_iphone_x_10000358" TargetMode="External"/><Relationship Id="rId_hyperlink_6614" Type="http://schemas.openxmlformats.org/officeDocument/2006/relationships/hyperlink" Target="https://old.ukr-mobil.com/trafaret_3d_mechanic_s40-a12_dlya_iphone_xs_iphone_xs_max_iphone_xr_12303" TargetMode="External"/><Relationship Id="rId_hyperlink_6615" Type="http://schemas.openxmlformats.org/officeDocument/2006/relationships/hyperlink" Target="https://old.ukr-mobil.com/trafaret_3d_mechanic_s40-a8_dlya_iphone_6_iphone_6_plus_10000360" TargetMode="External"/><Relationship Id="rId_hyperlink_6616" Type="http://schemas.openxmlformats.org/officeDocument/2006/relationships/hyperlink" Target="https://old.ukr-mobil.com/trafaret_a00_htc_3650" TargetMode="External"/><Relationship Id="rId_hyperlink_6617" Type="http://schemas.openxmlformats.org/officeDocument/2006/relationships/hyperlink" Target="https://old.ukr-mobil.com/trafaret_a112_5004" TargetMode="External"/><Relationship Id="rId_hyperlink_6618" Type="http://schemas.openxmlformats.org/officeDocument/2006/relationships/hyperlink" Target="https://old.ukr-mobil.com/trafaret_a113_5005" TargetMode="External"/><Relationship Id="rId_hyperlink_6619" Type="http://schemas.openxmlformats.org/officeDocument/2006/relationships/hyperlink" Target="https://old.ukr-mobil.com/trafaret_a115_5002" TargetMode="External"/><Relationship Id="rId_hyperlink_6620" Type="http://schemas.openxmlformats.org/officeDocument/2006/relationships/hyperlink" Target="https://old.ukr-mobil.com/trafaret_b461_samsung_i9000_i9100_3649" TargetMode="External"/><Relationship Id="rId_hyperlink_6621" Type="http://schemas.openxmlformats.org/officeDocument/2006/relationships/hyperlink" Target="https://old.ukr-mobil.com/trafaret_b462_3653" TargetMode="External"/><Relationship Id="rId_hyperlink_6622" Type="http://schemas.openxmlformats.org/officeDocument/2006/relationships/hyperlink" Target="https://old.ukr-mobil.com/trafaret_bga_iphone_7_8505" TargetMode="External"/><Relationship Id="rId_hyperlink_6623" Type="http://schemas.openxmlformats.org/officeDocument/2006/relationships/hyperlink" Target="https://old.ukr-mobil.com/trafaret_bga_iphone_7_plus_11004" TargetMode="External"/><Relationship Id="rId_hyperlink_6624" Type="http://schemas.openxmlformats.org/officeDocument/2006/relationships/hyperlink" Target="https://old.ukr-mobil.com/trafaret_bga_iphone_8_10000379" TargetMode="External"/><Relationship Id="rId_hyperlink_6625" Type="http://schemas.openxmlformats.org/officeDocument/2006/relationships/hyperlink" Target="https://old.ukr-mobil.com/trafaret_bga_iphone_8_plus_10000378" TargetMode="External"/><Relationship Id="rId_hyperlink_6626" Type="http://schemas.openxmlformats.org/officeDocument/2006/relationships/hyperlink" Target="https://old.ukr-mobil.com/trafaret_bga_iphone_x_10000377" TargetMode="External"/><Relationship Id="rId_hyperlink_6627" Type="http://schemas.openxmlformats.org/officeDocument/2006/relationships/hyperlink" Target="https://old.ukr-mobil.com/trafaret_bga_samsung_g920_galaxy_s6_10000376" TargetMode="External"/><Relationship Id="rId_hyperlink_6628" Type="http://schemas.openxmlformats.org/officeDocument/2006/relationships/hyperlink" Target="https://old.ukr-mobil.com/trafaret_bga_samsung_g925_galaxy_s6_edge_10000374" TargetMode="External"/><Relationship Id="rId_hyperlink_6629" Type="http://schemas.openxmlformats.org/officeDocument/2006/relationships/hyperlink" Target="https://old.ukr-mobil.com/trafaret_bga_samsung_g930_galaxy_s7_11012" TargetMode="External"/><Relationship Id="rId_hyperlink_6630" Type="http://schemas.openxmlformats.org/officeDocument/2006/relationships/hyperlink" Target="https://old.ukr-mobil.com/trafaret_bga_samsung_n900_galaxy_note_4_11011" TargetMode="External"/><Relationship Id="rId_hyperlink_6631" Type="http://schemas.openxmlformats.org/officeDocument/2006/relationships/hyperlink" Target="https://old.ukr-mobil.com/trafaret_bga_samsung_n920_galaxy_note_5_11010" TargetMode="External"/><Relationship Id="rId_hyperlink_6632" Type="http://schemas.openxmlformats.org/officeDocument/2006/relationships/hyperlink" Target="https://old.ukr-mobil.com/trafaret_bga_samsung_n950_galaxy_note_8_11014" TargetMode="External"/><Relationship Id="rId_hyperlink_6633" Type="http://schemas.openxmlformats.org/officeDocument/2006/relationships/hyperlink" Target="https://old.ukr-mobil.com/trafaret_iphone_3gs_1573" TargetMode="External"/><Relationship Id="rId_hyperlink_6634" Type="http://schemas.openxmlformats.org/officeDocument/2006/relationships/hyperlink" Target="https://old.ukr-mobil.com/trafaret_iphone_6_5643" TargetMode="External"/><Relationship Id="rId_hyperlink_6635" Type="http://schemas.openxmlformats.org/officeDocument/2006/relationships/hyperlink" Target="https://old.ukr-mobil.com/trafaret_iphone_6_plus_5644" TargetMode="External"/><Relationship Id="rId_hyperlink_6636" Type="http://schemas.openxmlformats.org/officeDocument/2006/relationships/hyperlink" Target="https://old.ukr-mobil.com/trafaret_iphone_6s_plus_11003" TargetMode="External"/><Relationship Id="rId_hyperlink_6637" Type="http://schemas.openxmlformats.org/officeDocument/2006/relationships/hyperlink" Target="https://old.ukr-mobil.com/trafaret_nokia_c_n_series_3654" TargetMode="External"/><Relationship Id="rId_hyperlink_6638" Type="http://schemas.openxmlformats.org/officeDocument/2006/relationships/hyperlink" Target="https://old.ukr-mobil.com/trafaret_qualcomm_cpu_a10_a20_5646" TargetMode="External"/><Relationship Id="rId_hyperlink_6639" Type="http://schemas.openxmlformats.org/officeDocument/2006/relationships/hyperlink" Target="https://old.ukr-mobil.com/trafaret_relife_rl-044_ipz5_dlya_iphone_xr_iphone_xs_iphone_xs_max_cpu_a12_tolshchina_0_12_mm_10004340" TargetMode="External"/><Relationship Id="rId_hyperlink_6640" Type="http://schemas.openxmlformats.org/officeDocument/2006/relationships/hyperlink" Target="https://old.ukr-mobil.com/trafaret_relife_rl-044_ipz6_dlya_iphone_11_iphone_11_pro_iphone_11_pro_max_cpu_a13_tolshchina_0_12_mm_10004339" TargetMode="External"/><Relationship Id="rId_hyperlink_6641" Type="http://schemas.openxmlformats.org/officeDocument/2006/relationships/hyperlink" Target="https://old.ukr-mobil.com/trafaret_relife_rl-044_ipz7_dlya_iphone_12_iphone_12_pro_iphone_12_pro_max_12_mini_cpu_a14_tolshchina_0_12_mm_10004341" TargetMode="External"/><Relationship Id="rId_hyperlink_6642" Type="http://schemas.openxmlformats.org/officeDocument/2006/relationships/hyperlink" Target="https://old.ukr-mobil.com/trafaret_relife_rl-044_ipz7_dlya_iphone_13_iphone_13_pro_iphone_13_pro_max_13_mini_cpu_a15_tolshchina_0_12_mm_10004342" TargetMode="External"/><Relationship Id="rId_hyperlink_6643" Type="http://schemas.openxmlformats.org/officeDocument/2006/relationships/hyperlink" Target="https://old.ukr-mobil.com/trafaret_relife_rl-044_ot2_emmc_emcp_nand_10004322" TargetMode="External"/><Relationship Id="rId_hyperlink_6644" Type="http://schemas.openxmlformats.org/officeDocument/2006/relationships/hyperlink" Target="https://old.ukr-mobil.com/trafaret_relife_rl-044_universal_pod_mikroskhemy_s_shagom_0_3_mm_0_35_mm_0_4_mm_0_5_mm_10004338" TargetMode="External"/><Relationship Id="rId_hyperlink_6645" Type="http://schemas.openxmlformats.org/officeDocument/2006/relationships/hyperlink" Target="https://old.ukr-mobil.com/trafaret_universal_0_3_1_27_5003" TargetMode="External"/><Relationship Id="rId_hyperlink_6646" Type="http://schemas.openxmlformats.org/officeDocument/2006/relationships/hyperlink" Target="https://old.ukr-mobil.com/trafaret_universal_vip12_mother_board_5006" TargetMode="External"/><Relationship Id="rId_hyperlink_6647" Type="http://schemas.openxmlformats.org/officeDocument/2006/relationships/hyperlink" Target="https://old.ukr-mobil.com/akkumulyator_pmnn4544a_dlya_racii_motorola_serii_dp4000_dp4800_dp4801_dp4600_dp4601_dp4400_dp4401_dp4801_3000_mah_10004525" TargetMode="External"/><Relationship Id="rId_hyperlink_6648" Type="http://schemas.openxmlformats.org/officeDocument/2006/relationships/hyperlink" Target="https://old.ukr-mobil.com/index.php?route=product&amp;product_id=10004819" TargetMode="External"/><Relationship Id="rId_hyperlink_6649" Type="http://schemas.openxmlformats.org/officeDocument/2006/relationships/hyperlink" Target="https://old.ukr-mobil.com/index.php?route=product&amp;product_id=10004820" TargetMode="External"/><Relationship Id="rId_hyperlink_6650" Type="http://schemas.openxmlformats.org/officeDocument/2006/relationships/hyperlink" Target="https://old.ukr-mobil.com/index.php?route=product&amp;product_id=10004957" TargetMode="External"/><Relationship Id="rId_hyperlink_6651" Type="http://schemas.openxmlformats.org/officeDocument/2006/relationships/hyperlink" Target="https://old.ukr-mobil.com/raciya_motorola_dp4400e_vhf_136-174_mgc_5w_10004998" TargetMode="External"/><Relationship Id="rId_hyperlink_6652" Type="http://schemas.openxmlformats.org/officeDocument/2006/relationships/hyperlink" Target="https://old.ukr-mobil.com/index.php?route=product&amp;product_id=10004818" TargetMode="External"/><Relationship Id="rId_hyperlink_6653" Type="http://schemas.openxmlformats.org/officeDocument/2006/relationships/hyperlink" Target="https://old.ukr-mobil.com/index.php?route=product&amp;product_id=10006220" TargetMode="External"/><Relationship Id="rId_hyperlink_6654" Type="http://schemas.openxmlformats.org/officeDocument/2006/relationships/hyperlink" Target="https://old.ukr-mobil.com/index.php?route=product&amp;product_id=10006221" TargetMode="External"/><Relationship Id="rId_hyperlink_6655" Type="http://schemas.openxmlformats.org/officeDocument/2006/relationships/hyperlink" Target="https://old.ukr-mobil.com/akkumulyator_vysokotokovyj_inr18650-26e_2600_mah_18650_10002187" TargetMode="External"/><Relationship Id="rId_hyperlink_6656" Type="http://schemas.openxmlformats.org/officeDocument/2006/relationships/hyperlink" Target="https://old.ukr-mobil.com/akkumulyator_eve_icr18650-26v_2600_mah_3_7_v_tok_rozryada_max_30a_10003178" TargetMode="External"/><Relationship Id="rId_hyperlink_6657" Type="http://schemas.openxmlformats.org/officeDocument/2006/relationships/hyperlink" Target="https://old.ukr-mobil.com/akkumulyator_fsd_18650_2600_mah_3_6_4_2_v_tok_rozryada_max_10_4a_10003181" TargetMode="External"/><Relationship Id="rId_hyperlink_6658" Type="http://schemas.openxmlformats.org/officeDocument/2006/relationships/hyperlink" Target="https://old.ukr-mobil.com/akkumulyator_inr18650_2500_mah_3_65_v_soprotivlenie_17_20_om_data_proizvodstva_25_02_2021_10001749" TargetMode="External"/><Relationship Id="rId_hyperlink_6659" Type="http://schemas.openxmlformats.org/officeDocument/2006/relationships/hyperlink" Target="https://old.ukr-mobil.com/akkumulyator_lishen_lr1865sk_2600_mah_3_7_v_tok_rozryada_max_5a_18650_10003180" TargetMode="External"/><Relationship Id="rId_hyperlink_6660" Type="http://schemas.openxmlformats.org/officeDocument/2006/relationships/hyperlink" Target="https://old.ukr-mobil.com/akkumulyator_lishen_lr1865ss_3000mah_3_7_v_max_6a_18650_10005118" TargetMode="External"/><Relationship Id="rId_hyperlink_6661" Type="http://schemas.openxmlformats.org/officeDocument/2006/relationships/hyperlink" Target="https://old.ukr-mobil.com/akkumulyator_lishen_lr1865la_2000_mah_3_7_v_tok_rozryada_max_20a_18650_10003182" TargetMode="External"/><Relationship Id="rId_hyperlink_6662" Type="http://schemas.openxmlformats.org/officeDocument/2006/relationships/hyperlink" Target="https://old.ukr-mobil.com/akkumulyator_sinowatt_sw18650-34mp_3400_mah_3_6_v_tok_rozryada_max_9_75a_10003183" TargetMode="External"/><Relationship Id="rId_hyperlink_6663" Type="http://schemas.openxmlformats.org/officeDocument/2006/relationships/hyperlink" Target="https://old.ukr-mobil.com/index.php?route=product&amp;product_id=10006238" TargetMode="External"/><Relationship Id="rId_hyperlink_6664" Type="http://schemas.openxmlformats.org/officeDocument/2006/relationships/hyperlink" Target="https://old.ukr-mobil.com/akkumulyator_inr18650-30e_3000mah_6a_18650_10002188" TargetMode="External"/><Relationship Id="rId_hyperlink_6665" Type="http://schemas.openxmlformats.org/officeDocument/2006/relationships/hyperlink" Target="https://old.ukr-mobil.com/akkumulyator_lishen_lr1865sz_2500_mah_18650_vysokotokovyj_10002186" TargetMode="External"/><Relationship Id="rId_hyperlink_6666" Type="http://schemas.openxmlformats.org/officeDocument/2006/relationships/hyperlink" Target="https://old.ukr-mobil.com/index.php?route=product&amp;product_id=10006203" TargetMode="External"/><Relationship Id="rId_hyperlink_6667" Type="http://schemas.openxmlformats.org/officeDocument/2006/relationships/hyperlink" Target="https://old.ukr-mobil.com/akkumulyator_vysokotokovyj_lishen_lr2170sd_5000_mah_21700_10004498" TargetMode="External"/><Relationship Id="rId_hyperlink_6668" Type="http://schemas.openxmlformats.org/officeDocument/2006/relationships/hyperlink" Target="https://old.ukr-mobil.com/index.php?route=product&amp;product_id=10006206" TargetMode="External"/><Relationship Id="rId_hyperlink_6669" Type="http://schemas.openxmlformats.org/officeDocument/2006/relationships/hyperlink" Target="https://old.ukr-mobil.com/akkumulyator_vysokotokovyj_lr2170la_4000_mah_21700_10002189" TargetMode="External"/><Relationship Id="rId_hyperlink_6670" Type="http://schemas.openxmlformats.org/officeDocument/2006/relationships/hyperlink" Target="https://old.ukr-mobil.com/index.php?route=product&amp;product_id=10005750" TargetMode="External"/><Relationship Id="rId_hyperlink_6671" Type="http://schemas.openxmlformats.org/officeDocument/2006/relationships/hyperlink" Target="https://old.ukr-mobil.com/index.php?route=product&amp;product_id=10006232" TargetMode="External"/><Relationship Id="rId_hyperlink_6672" Type="http://schemas.openxmlformats.org/officeDocument/2006/relationships/hyperlink" Target="https://old.ukr-mobil.com/index.php?route=product&amp;product_id=10006205" TargetMode="External"/><Relationship Id="rId_hyperlink_6673" Type="http://schemas.openxmlformats.org/officeDocument/2006/relationships/hyperlink" Target="https://old.ukr-mobil.com/index.php?route=product&amp;product_id=10006234" TargetMode="External"/><Relationship Id="rId_hyperlink_6674" Type="http://schemas.openxmlformats.org/officeDocument/2006/relationships/hyperlink" Target="https://old.ukr-mobil.com/index.php?route=product&amp;product_id=10006208" TargetMode="External"/><Relationship Id="rId_hyperlink_6675" Type="http://schemas.openxmlformats.org/officeDocument/2006/relationships/hyperlink" Target="https://old.ukr-mobil.com/index.php?route=product&amp;product_id=10006200" TargetMode="External"/><Relationship Id="rId_hyperlink_6676" Type="http://schemas.openxmlformats.org/officeDocument/2006/relationships/hyperlink" Target="https://old.ukr-mobil.com/index.php?route=product&amp;product_id=10006204" TargetMode="External"/><Relationship Id="rId_hyperlink_6677" Type="http://schemas.openxmlformats.org/officeDocument/2006/relationships/hyperlink" Target="https://old.ukr-mobil.com/akkumulyator_headway_38120_hp_lifepo4_3_2v_10ah_10003498" TargetMode="External"/><Relationship Id="rId_hyperlink_6678" Type="http://schemas.openxmlformats.org/officeDocument/2006/relationships/hyperlink" Target="https://old.ukr-mobil.com/korpus_universalnyj_pod_akkumulyator_12v_es12-100ah_10004293" TargetMode="External"/><Relationship Id="rId_hyperlink_6679" Type="http://schemas.openxmlformats.org/officeDocument/2006/relationships/hyperlink" Target="https://old.ukr-mobil.com/korpus_universalnyj_pod_akkumulyator_12v_es12-12d_10004294" TargetMode="External"/><Relationship Id="rId_hyperlink_6680" Type="http://schemas.openxmlformats.org/officeDocument/2006/relationships/hyperlink" Target="https://old.ukr-mobil.com/korpus_universalnyj_pod_akkumulyator_12v_es12-20b_10004291" TargetMode="External"/><Relationship Id="rId_hyperlink_6681" Type="http://schemas.openxmlformats.org/officeDocument/2006/relationships/hyperlink" Target="https://old.ukr-mobil.com/korpus_universalnyj_pod_akkumulyator_12v_es12-33c_10004296" TargetMode="External"/><Relationship Id="rId_hyperlink_6682" Type="http://schemas.openxmlformats.org/officeDocument/2006/relationships/hyperlink" Target="https://old.ukr-mobil.com/korpus_universalnyj_pod_akkumulyator_12v_es12-33d_10004297" TargetMode="External"/><Relationship Id="rId_hyperlink_6683" Type="http://schemas.openxmlformats.org/officeDocument/2006/relationships/hyperlink" Target="https://old.ukr-mobil.com/korpus_universalnyj_pod_akkumulyator_12v_es12-4_10004298" TargetMode="External"/><Relationship Id="rId_hyperlink_6684" Type="http://schemas.openxmlformats.org/officeDocument/2006/relationships/hyperlink" Target="https://old.ukr-mobil.com/korpus_universalnyj_pod_akkumulyator_12v_es12-40_10004292" TargetMode="External"/><Relationship Id="rId_hyperlink_6685" Type="http://schemas.openxmlformats.org/officeDocument/2006/relationships/hyperlink" Target="https://old.ukr-mobil.com/korpus_universalnyj_pod_akkumulyator_12v_es12-45ah_10004295" TargetMode="External"/><Relationship Id="rId_hyperlink_6686" Type="http://schemas.openxmlformats.org/officeDocument/2006/relationships/hyperlink" Target="https://old.ukr-mobil.com/korpus_universalnyj_pod_akkumulyator_12v_es12-7d_10004288" TargetMode="External"/><Relationship Id="rId_hyperlink_6687" Type="http://schemas.openxmlformats.org/officeDocument/2006/relationships/hyperlink" Target="https://old.ukr-mobil.com/apparat_kontaktnoj_tochechnoj_svarki_glitter_801a_dlya_akb_18650_11_6_kwh_10003717" TargetMode="External"/><Relationship Id="rId_hyperlink_6688" Type="http://schemas.openxmlformats.org/officeDocument/2006/relationships/hyperlink" Target="https://old.ukr-mobil.com/apparat_kontaktnoj_tochechnoj_svarki_glitter_801a_dlya_akb_18650_9_9_kwh_10003716" TargetMode="External"/><Relationship Id="rId_hyperlink_6689" Type="http://schemas.openxmlformats.org/officeDocument/2006/relationships/hyperlink" Target="https://old.ukr-mobil.com/apparat_kontaktnoj_tochechnoj_svarki_glitter_801b_dlya_akb_18650_21700_11_6_kwh_10004603" TargetMode="External"/><Relationship Id="rId_hyperlink_6690" Type="http://schemas.openxmlformats.org/officeDocument/2006/relationships/hyperlink" Target="https://old.ukr-mobil.com/apparat_kontaktnoj_tochechnoj_svarki_glitter_801d_dlya_akb_18650_21700_12_kwh_10004602" TargetMode="External"/><Relationship Id="rId_hyperlink_6691" Type="http://schemas.openxmlformats.org/officeDocument/2006/relationships/hyperlink" Target="https://old.ukr-mobil.com/apparat_kontaktnoj_tochechnoj_svarki_glitter_801h_dlya_akb_18650_19_8_kwh_10003718" TargetMode="External"/><Relationship Id="rId_hyperlink_6692" Type="http://schemas.openxmlformats.org/officeDocument/2006/relationships/hyperlink" Target="https://old.ukr-mobil.com/apparat_kontaktnoj_tochechnoj_svarki_glitter_811a_dlya_akb_18650_36_kwh_10003715" TargetMode="External"/><Relationship Id="rId_hyperlink_6693" Type="http://schemas.openxmlformats.org/officeDocument/2006/relationships/hyperlink" Target="https://old.ukr-mobil.com/apparat_kontaktnoj_tochechnoj_svarki_glitter_812a_s_payalnikom_dlya_akb_18650_21700_12_kwh_10004601" TargetMode="External"/><Relationship Id="rId_hyperlink_6694" Type="http://schemas.openxmlformats.org/officeDocument/2006/relationships/hyperlink" Target="https://old.ukr-mobil.com/apparat_kontaktnoj_tochechnoj_svarki_sunkko_709_plus_s_payalnikom_dlya_akb_18650_21700_4300_wh_10004599" TargetMode="External"/><Relationship Id="rId_hyperlink_6695" Type="http://schemas.openxmlformats.org/officeDocument/2006/relationships/hyperlink" Target="https://old.ukr-mobil.com/apparat_kontaktnoj_tochechnoj_svarki_sunkko_709a_dlya_akb_18650_3000_wh_10003712" TargetMode="External"/><Relationship Id="rId_hyperlink_6696" Type="http://schemas.openxmlformats.org/officeDocument/2006/relationships/hyperlink" Target="https://old.ukr-mobil.com/apparat_kontaktnoj_tochechnoj_svarki_sunkko_737dh_dlya_akb_18650_21700_4300_wh_10003714" TargetMode="External"/><Relationship Id="rId_hyperlink_6697" Type="http://schemas.openxmlformats.org/officeDocument/2006/relationships/hyperlink" Target="https://old.ukr-mobil.com/apparat_kontaktnoj_tochechnoj_svarki_sunkko_737g_dlya_akb_18650_800a_1500_wh_10003711" TargetMode="External"/><Relationship Id="rId_hyperlink_6698" Type="http://schemas.openxmlformats.org/officeDocument/2006/relationships/hyperlink" Target="https://old.ukr-mobil.com/apparat_kontaktnoj_tochechnoj_svarki_sunkko_769d_dlya_akb_18650_3200_wh_10003713" TargetMode="External"/><Relationship Id="rId_hyperlink_6699" Type="http://schemas.openxmlformats.org/officeDocument/2006/relationships/hyperlink" Target="https://old.ukr-mobil.com/apparat_kontaktnoj_tochechnoj_svarki_sunkko_787a_s_blokom_pitaniya_15v_2a_dlya_akb_18650_21700_2800_wh_10004600" TargetMode="External"/><Relationship Id="rId_hyperlink_6700" Type="http://schemas.openxmlformats.org/officeDocument/2006/relationships/hyperlink" Target="https://old.ukr-mobil.com/apparat_kontaktnoj_tochechnoj_svarki_sunkko_788h_usb_s_blokom_pitaniya_36v_2a_dlya_akb_18650_21700_2800_wh_10004598" TargetMode="External"/><Relationship Id="rId_hyperlink_6701" Type="http://schemas.openxmlformats.org/officeDocument/2006/relationships/hyperlink" Target="https://old.ukr-mobil.com/apparat_kontaktnoj_tochechnoj_svarki_sunkko_788h_s_blokom_pitaniya_36v_2a_dlya_akb_18650_21700_2800_wh_10004597" TargetMode="External"/><Relationship Id="rId_hyperlink_6702" Type="http://schemas.openxmlformats.org/officeDocument/2006/relationships/hyperlink" Target="https://old.ukr-mobil.com/plata_balansirovki_akkumulyatora_ehkvalajzer_sunkko_bal-24s-1_2a_24s_1_2a_10003722" TargetMode="External"/><Relationship Id="rId_hyperlink_6703" Type="http://schemas.openxmlformats.org/officeDocument/2006/relationships/hyperlink" Target="https://old.ukr-mobil.com/plata_balansirovki_akkumulyatora_ehkvalajzer_sunkko_bal-813_13s_8a_10003724" TargetMode="External"/><Relationship Id="rId_hyperlink_6704" Type="http://schemas.openxmlformats.org/officeDocument/2006/relationships/hyperlink" Target="https://old.ukr-mobil.com/plata_balansirovki_akkumulyatora_ehkvalajzer_sunkko_bal-824_24s_8a_10003723" TargetMode="External"/><Relationship Id="rId_hyperlink_6705" Type="http://schemas.openxmlformats.org/officeDocument/2006/relationships/hyperlink" Target="https://old.ukr-mobil.com/plata_bms_daly_li-ion_12v_3s_100a_simetriya_vlagozashchitnaya_s_balansirom_10003008" TargetMode="External"/><Relationship Id="rId_hyperlink_6706" Type="http://schemas.openxmlformats.org/officeDocument/2006/relationships/hyperlink" Target="https://old.ukr-mobil.com/plata_bms_daly_li-ion_12v_3s_100a_s_ventilyatorom_simetriya_vlagozashchitnaya_s_balansirom_10003013" TargetMode="External"/><Relationship Id="rId_hyperlink_6707" Type="http://schemas.openxmlformats.org/officeDocument/2006/relationships/hyperlink" Target="https://old.ukr-mobil.com/plata_bms_daly_li-ion_12v_3s_20a_simetriya_vlagozashchitnaya_s_balansirom_10003005" TargetMode="External"/><Relationship Id="rId_hyperlink_6708" Type="http://schemas.openxmlformats.org/officeDocument/2006/relationships/hyperlink" Target="https://old.ukr-mobil.com/plata_bms_daly_li-ion_12v_3s_40a_simetriya_vlagozashchitnaya_s_balansirom_10003006" TargetMode="External"/><Relationship Id="rId_hyperlink_6709" Type="http://schemas.openxmlformats.org/officeDocument/2006/relationships/hyperlink" Target="https://old.ukr-mobil.com/plata_bms_daly_li-ion_12v_3s_60a_simetriya_vlagozashchitnaya_s_balansirom_10003007" TargetMode="External"/><Relationship Id="rId_hyperlink_6710" Type="http://schemas.openxmlformats.org/officeDocument/2006/relationships/hyperlink" Target="https://old.ukr-mobil.com/plata_bms_daly_li-ion_12v_4s_100a_simetriya_vlagozashchitnaya_s_balansirom_10003017" TargetMode="External"/><Relationship Id="rId_hyperlink_6711" Type="http://schemas.openxmlformats.org/officeDocument/2006/relationships/hyperlink" Target="https://old.ukr-mobil.com/plata_bms_daly_li-ion_12v_4s_100a_s_ventilyatorom_simetriya_vlagozashchitnaya_s_balansirom_10003018" TargetMode="External"/><Relationship Id="rId_hyperlink_6712" Type="http://schemas.openxmlformats.org/officeDocument/2006/relationships/hyperlink" Target="https://old.ukr-mobil.com/plata_bms_daly_li-ion_12v_4s_20a_simetriya_vlagozashchitnaya_s_balansirom_10003014" TargetMode="External"/><Relationship Id="rId_hyperlink_6713" Type="http://schemas.openxmlformats.org/officeDocument/2006/relationships/hyperlink" Target="https://old.ukr-mobil.com/plata_bms_daly_li-ion_12v_4s_40a_simetriya_vlagozashchitnaya_s_balansirom_10003015" TargetMode="External"/><Relationship Id="rId_hyperlink_6714" Type="http://schemas.openxmlformats.org/officeDocument/2006/relationships/hyperlink" Target="https://old.ukr-mobil.com/plata_bms_daly_li-ion_12v_4s_60a_simetriya_vlagozashchitnaya_s_balansirom_10003016" TargetMode="External"/><Relationship Id="rId_hyperlink_6715" Type="http://schemas.openxmlformats.org/officeDocument/2006/relationships/hyperlink" Target="https://old.ukr-mobil.com/plata_bms_daly_li-ion_24v_6s_20a_simetriya_vlagozashchitnaya_s_balansirom_10003024" TargetMode="External"/><Relationship Id="rId_hyperlink_6716" Type="http://schemas.openxmlformats.org/officeDocument/2006/relationships/hyperlink" Target="https://old.ukr-mobil.com/plata_bms_daly_li-ion_24v_6s_30a_simetriya_vlagozashchitnaya_s_balansirom_10003025" TargetMode="External"/><Relationship Id="rId_hyperlink_6717" Type="http://schemas.openxmlformats.org/officeDocument/2006/relationships/hyperlink" Target="https://old.ukr-mobil.com/plata_bms_daly_li-ion_24v_7s_20a_simetriya_vlagozashchitnaya_s_balansirom_10003026" TargetMode="External"/><Relationship Id="rId_hyperlink_6718" Type="http://schemas.openxmlformats.org/officeDocument/2006/relationships/hyperlink" Target="https://old.ukr-mobil.com/plata_bms_daly_li-ion_24v_7s_30a_simetriya_vlagozashchitnaya_s_balansirom_10003027" TargetMode="External"/><Relationship Id="rId_hyperlink_6719" Type="http://schemas.openxmlformats.org/officeDocument/2006/relationships/hyperlink" Target="https://old.ukr-mobil.com/plata_bms_daly_li-ion_36v_10s_30a_simetriya_vlagozashchitnaya_s_balansirom_10002985" TargetMode="External"/><Relationship Id="rId_hyperlink_6720" Type="http://schemas.openxmlformats.org/officeDocument/2006/relationships/hyperlink" Target="https://old.ukr-mobil.com/plata_bms_daly_li-ion_36v_10s_50a_simetriya_vlagozashchitnaya_s_balansirom_10003030" TargetMode="External"/><Relationship Id="rId_hyperlink_6721" Type="http://schemas.openxmlformats.org/officeDocument/2006/relationships/hyperlink" Target="https://old.ukr-mobil.com/plata_bms_daly_li-ion_48v_13s_30a_simetriya_vlagozashchitnaya_s_balansirom_10003033" TargetMode="External"/><Relationship Id="rId_hyperlink_6722" Type="http://schemas.openxmlformats.org/officeDocument/2006/relationships/hyperlink" Target="https://old.ukr-mobil.com/plata_bms_daly_li-ion_48v_13s_50a_simetriya_vlagozashchitnaya_s_balansirom_10003034" TargetMode="External"/><Relationship Id="rId_hyperlink_6723" Type="http://schemas.openxmlformats.org/officeDocument/2006/relationships/hyperlink" Target="https://old.ukr-mobil.com/plata_bms_daly_li-ion_48v_14s_30a_simetriya_vlagozashchitnaya_s_balansirom_10003035" TargetMode="External"/><Relationship Id="rId_hyperlink_6724" Type="http://schemas.openxmlformats.org/officeDocument/2006/relationships/hyperlink" Target="https://old.ukr-mobil.com/plata_bms_daly_li-ion_48v_14s_50a_simetriya_vlagozashchitnaya_s_balansirom_10003036" TargetMode="External"/><Relationship Id="rId_hyperlink_6725" Type="http://schemas.openxmlformats.org/officeDocument/2006/relationships/hyperlink" Target="https://old.ukr-mobil.com/plata_bms_daly_li-ion_60v_16s_30a_simetriya_vlagozashchitnaya_s_balansirom_10003041" TargetMode="External"/><Relationship Id="rId_hyperlink_6726" Type="http://schemas.openxmlformats.org/officeDocument/2006/relationships/hyperlink" Target="https://old.ukr-mobil.com/plata_bms_daly_li-ion_60v_16s_60a_simetriya_vlagozashchitnaya_s_balansirom_10003042" TargetMode="External"/><Relationship Id="rId_hyperlink_6727" Type="http://schemas.openxmlformats.org/officeDocument/2006/relationships/hyperlink" Target="https://old.ukr-mobil.com/plata_bms_daly_li-ion_60v_17s_30a_simetriya_vlagozashchitnaya_s_balansirom_10003043" TargetMode="External"/><Relationship Id="rId_hyperlink_6728" Type="http://schemas.openxmlformats.org/officeDocument/2006/relationships/hyperlink" Target="https://old.ukr-mobil.com/plata_bms_daly_li-ion_60v_17s_60a_simetriya_vlagozashchitnaya_s_balansirom_10003044" TargetMode="External"/><Relationship Id="rId_hyperlink_6729" Type="http://schemas.openxmlformats.org/officeDocument/2006/relationships/hyperlink" Target="https://old.ukr-mobil.com/plata_bms_daly_li-ion_72v_20s_40a_simetriya_vlagozashchitnaya_s_balansirom_10003047" TargetMode="External"/><Relationship Id="rId_hyperlink_6730" Type="http://schemas.openxmlformats.org/officeDocument/2006/relationships/hyperlink" Target="https://old.ukr-mobil.com/plata_bms_daly_li-ion_72v_20s_60a_simetriya_vlagozashchitnaya_s_balansirom_10003048" TargetMode="External"/><Relationship Id="rId_hyperlink_6731" Type="http://schemas.openxmlformats.org/officeDocument/2006/relationships/hyperlink" Target="https://old.ukr-mobil.com/plata_bms_daly_li-ion_72v_21s_40a_simetriya_vlagozashchitnaya_s_balansirom_10003049" TargetMode="External"/><Relationship Id="rId_hyperlink_6732" Type="http://schemas.openxmlformats.org/officeDocument/2006/relationships/hyperlink" Target="https://old.ukr-mobil.com/plata_bms_daly_li-ion_72v_21s_60a_simetriya_vlagozashchitnaya_s_balansirom_10003050" TargetMode="External"/><Relationship Id="rId_hyperlink_6733" Type="http://schemas.openxmlformats.org/officeDocument/2006/relationships/hyperlink" Target="https://old.ukr-mobil.com/plata_bms_daly_lifepo4_12v_4s_100a_simetriya_vlagozashchitnaya_s_balansirom_10003022" TargetMode="External"/><Relationship Id="rId_hyperlink_6734" Type="http://schemas.openxmlformats.org/officeDocument/2006/relationships/hyperlink" Target="https://old.ukr-mobil.com/plata_bms_daly_lifepo4_12v_4s_100a_s_ventilyatorom_simetriya_vlagozashchitnaya_s_balansirom_10003023" TargetMode="External"/><Relationship Id="rId_hyperlink_6735" Type="http://schemas.openxmlformats.org/officeDocument/2006/relationships/hyperlink" Target="https://old.ukr-mobil.com/plata_bms_daly_lifepo4_12v_4s_20a_simetriya_vlagozashchitnaya_s_balansirom_10003019" TargetMode="External"/><Relationship Id="rId_hyperlink_6736" Type="http://schemas.openxmlformats.org/officeDocument/2006/relationships/hyperlink" Target="https://old.ukr-mobil.com/plata_bms_daly_lifepo4_12v_4s_40a_simetriya_vlagozashchitnaya_s_balansirom_10003020" TargetMode="External"/><Relationship Id="rId_hyperlink_6737" Type="http://schemas.openxmlformats.org/officeDocument/2006/relationships/hyperlink" Target="https://old.ukr-mobil.com/plata_bms_daly_lifepo4_12v_4s_60a_simetriya_vlagozashchitnaya_s_balansirom_10003021" TargetMode="External"/><Relationship Id="rId_hyperlink_6738" Type="http://schemas.openxmlformats.org/officeDocument/2006/relationships/hyperlink" Target="https://old.ukr-mobil.com/plata_bms_daly_lifepo4_24v_8s_20a_simetriya_vlagozashchitnaya_s_balansirom_10003028" TargetMode="External"/><Relationship Id="rId_hyperlink_6739" Type="http://schemas.openxmlformats.org/officeDocument/2006/relationships/hyperlink" Target="https://old.ukr-mobil.com/plata_bms_daly_lifepo4_24v_8s_30a_simetriya_vlagozashchitnaya_s_balansirom_10003029" TargetMode="External"/><Relationship Id="rId_hyperlink_6740" Type="http://schemas.openxmlformats.org/officeDocument/2006/relationships/hyperlink" Target="https://old.ukr-mobil.com/plata_bms_daly_lifepo4_36v_12s_30a_simetriya_vlagozashchitnaya_s_balansirom_10003031" TargetMode="External"/><Relationship Id="rId_hyperlink_6741" Type="http://schemas.openxmlformats.org/officeDocument/2006/relationships/hyperlink" Target="https://old.ukr-mobil.com/plata_bms_daly_lifepo4_36v_12s_50a_simetriya_vlagozashchitnaya_s_balansirom_10003032" TargetMode="External"/><Relationship Id="rId_hyperlink_6742" Type="http://schemas.openxmlformats.org/officeDocument/2006/relationships/hyperlink" Target="https://old.ukr-mobil.com/plata_bms_daly_lifepo4_48v_15s_30a_simetriya_vlagozashchitnaya_s_balansirom_10003037" TargetMode="External"/><Relationship Id="rId_hyperlink_6743" Type="http://schemas.openxmlformats.org/officeDocument/2006/relationships/hyperlink" Target="https://old.ukr-mobil.com/plata_bms_daly_lifepo4_48v_15s_50a_simetriya_vlagozashchitnaya_s_balansirom_10003038" TargetMode="External"/><Relationship Id="rId_hyperlink_6744" Type="http://schemas.openxmlformats.org/officeDocument/2006/relationships/hyperlink" Target="https://old.ukr-mobil.com/plata_bms_daly_lifepo4_48v_16s_120a_simetriya_vlagozashchitnaya_s_balansirom_10003895" TargetMode="External"/><Relationship Id="rId_hyperlink_6745" Type="http://schemas.openxmlformats.org/officeDocument/2006/relationships/hyperlink" Target="https://old.ukr-mobil.com/plata_bms_daly_lifepo4_48v_16s_30a_simetriya_vlagozashchitnaya_s_balansirom_10003039" TargetMode="External"/><Relationship Id="rId_hyperlink_6746" Type="http://schemas.openxmlformats.org/officeDocument/2006/relationships/hyperlink" Target="https://old.ukr-mobil.com/plata_bms_daly_lifepo4_48v_16s_50a_simetriya_vlagozashchitnaya_s_balansirom_10003040" TargetMode="External"/><Relationship Id="rId_hyperlink_6747" Type="http://schemas.openxmlformats.org/officeDocument/2006/relationships/hyperlink" Target="https://old.ukr-mobil.com/plata_bms_daly_lifepo4_60v_20s_30a_simetriya_vlagozashchitnaya_s_balansirom_10003045" TargetMode="External"/><Relationship Id="rId_hyperlink_6748" Type="http://schemas.openxmlformats.org/officeDocument/2006/relationships/hyperlink" Target="https://old.ukr-mobil.com/plata_bms_daly_lifepo4_60v_20s_60a_simetriya_vlagozashchitnaya_s_balansirom_10003046" TargetMode="External"/><Relationship Id="rId_hyperlink_6749" Type="http://schemas.openxmlformats.org/officeDocument/2006/relationships/hyperlink" Target="https://old.ukr-mobil.com/plata_bms_daly_lifepo4_72v_24s_40a_simetriya_vlagozashchitnaya_s_balansirom_10003051" TargetMode="External"/><Relationship Id="rId_hyperlink_6750" Type="http://schemas.openxmlformats.org/officeDocument/2006/relationships/hyperlink" Target="https://old.ukr-mobil.com/plata_bms_daly_lifepo4_72v_24s_60a_simetriya_vlagozashchitnaya_s_balansirom_10003052" TargetMode="External"/><Relationship Id="rId_hyperlink_6751" Type="http://schemas.openxmlformats.org/officeDocument/2006/relationships/hyperlink" Target="https://old.ukr-mobil.com/index.php?route=product&amp;product_id=10005370" TargetMode="External"/><Relationship Id="rId_hyperlink_6752" Type="http://schemas.openxmlformats.org/officeDocument/2006/relationships/hyperlink" Target="https://old.ukr-mobil.com/index.php?route=product&amp;product_id=10005371" TargetMode="External"/><Relationship Id="rId_hyperlink_6753" Type="http://schemas.openxmlformats.org/officeDocument/2006/relationships/hyperlink" Target="https://old.ukr-mobil.com/index.php?route=product&amp;product_id=10005372" TargetMode="External"/><Relationship Id="rId_hyperlink_6754" Type="http://schemas.openxmlformats.org/officeDocument/2006/relationships/hyperlink" Target="https://old.ukr-mobil.com/index.php?route=product&amp;product_id=10005373" TargetMode="External"/><Relationship Id="rId_hyperlink_6755" Type="http://schemas.openxmlformats.org/officeDocument/2006/relationships/hyperlink" Target="https://old.ukr-mobil.com/index.php?route=product&amp;product_id=10005374" TargetMode="External"/><Relationship Id="rId_hyperlink_6756" Type="http://schemas.openxmlformats.org/officeDocument/2006/relationships/hyperlink" Target="https://old.ukr-mobil.com/index.php?route=product&amp;product_id=10005375" TargetMode="External"/><Relationship Id="rId_hyperlink_6757" Type="http://schemas.openxmlformats.org/officeDocument/2006/relationships/hyperlink" Target="https://old.ukr-mobil.com/index.php?route=product&amp;product_id=10005376" TargetMode="External"/><Relationship Id="rId_hyperlink_6758" Type="http://schemas.openxmlformats.org/officeDocument/2006/relationships/hyperlink" Target="https://old.ukr-mobil.com/plata_bms_daly_lifepo4_12v_4s_250a_simetriya_vlagozashchitnaya_s_balansirom_uart_bluetooth_knopka_vklyucheniya_10004497" TargetMode="External"/><Relationship Id="rId_hyperlink_6759" Type="http://schemas.openxmlformats.org/officeDocument/2006/relationships/hyperlink" Target="https://old.ukr-mobil.com/index.php?route=product&amp;product_id=10004592" TargetMode="External"/><Relationship Id="rId_hyperlink_6760" Type="http://schemas.openxmlformats.org/officeDocument/2006/relationships/hyperlink" Target="https://old.ukr-mobil.com/index.php?route=product&amp;product_id=10005377" TargetMode="External"/><Relationship Id="rId_hyperlink_6761" Type="http://schemas.openxmlformats.org/officeDocument/2006/relationships/hyperlink" Target="https://old.ukr-mobil.com/index.php?route=product&amp;product_id=10005378" TargetMode="External"/><Relationship Id="rId_hyperlink_6762" Type="http://schemas.openxmlformats.org/officeDocument/2006/relationships/hyperlink" Target="https://old.ukr-mobil.com/index.php?route=product&amp;product_id=10005379" TargetMode="External"/><Relationship Id="rId_hyperlink_6763" Type="http://schemas.openxmlformats.org/officeDocument/2006/relationships/hyperlink" Target="https://old.ukr-mobil.com/plata_bms_li-ion_12v_3s_40a_s_balansirom_10003149" TargetMode="External"/><Relationship Id="rId_hyperlink_6764" Type="http://schemas.openxmlformats.org/officeDocument/2006/relationships/hyperlink" Target="https://old.ukr-mobil.com/plata_bms_li-ion_36v_10s_30a_simmetriya_s_balansirom_10003150" TargetMode="External"/><Relationship Id="rId_hyperlink_6765" Type="http://schemas.openxmlformats.org/officeDocument/2006/relationships/hyperlink" Target="https://old.ukr-mobil.com/plata_bms_li-ion_48v_13s_30a_50a_max_simmetriya_s_balansirom_10003151" TargetMode="External"/><Relationship Id="rId_hyperlink_6766" Type="http://schemas.openxmlformats.org/officeDocument/2006/relationships/hyperlink" Target="https://old.ukr-mobil.com/plata_bms_li-ion_48v_13s_30a_50a_max_simmetrichna_s_balansirom_10004505" TargetMode="External"/><Relationship Id="rId_hyperlink_6767" Type="http://schemas.openxmlformats.org/officeDocument/2006/relationships/hyperlink" Target="https://old.ukr-mobil.com/plata_bms_li-ion_48v_13s_60a_s_balansirom_10003152" TargetMode="External"/><Relationship Id="rId_hyperlink_6768" Type="http://schemas.openxmlformats.org/officeDocument/2006/relationships/hyperlink" Target="https://old.ukr-mobil.com/plata_bms_li-ion_60v_16s_60a_s_balansirom_10004302" TargetMode="External"/><Relationship Id="rId_hyperlink_6769" Type="http://schemas.openxmlformats.org/officeDocument/2006/relationships/hyperlink" Target="https://old.ukr-mobil.com/plata_bms_li-ion_72v_20s_45a_90a_max_simmetriya_s_balansirom_10003154" TargetMode="External"/><Relationship Id="rId_hyperlink_6770" Type="http://schemas.openxmlformats.org/officeDocument/2006/relationships/hyperlink" Target="https://old.ukr-mobil.com/index.php?route=product&amp;product_id=10005874" TargetMode="External"/><Relationship Id="rId_hyperlink_6771" Type="http://schemas.openxmlformats.org/officeDocument/2006/relationships/hyperlink" Target="https://old.ukr-mobil.com/index.php?route=product&amp;product_id=10005875" TargetMode="External"/><Relationship Id="rId_hyperlink_6772" Type="http://schemas.openxmlformats.org/officeDocument/2006/relationships/hyperlink" Target="https://old.ukr-mobil.com/index.php?route=product&amp;product_id=10005877" TargetMode="External"/><Relationship Id="rId_hyperlink_6773" Type="http://schemas.openxmlformats.org/officeDocument/2006/relationships/hyperlink" Target="https://old.ukr-mobil.com/index.php?route=product&amp;product_id=10005873" TargetMode="External"/><Relationship Id="rId_hyperlink_6774" Type="http://schemas.openxmlformats.org/officeDocument/2006/relationships/hyperlink" Target="https://old.ukr-mobil.com/index.php?route=product&amp;product_id=10005825" TargetMode="External"/><Relationship Id="rId_hyperlink_6775" Type="http://schemas.openxmlformats.org/officeDocument/2006/relationships/hyperlink" Target="https://old.ukr-mobil.com/index.php?route=product&amp;product_id=10005867" TargetMode="External"/><Relationship Id="rId_hyperlink_6776" Type="http://schemas.openxmlformats.org/officeDocument/2006/relationships/hyperlink" Target="https://old.ukr-mobil.com/index.php?route=product&amp;product_id=10005824" TargetMode="External"/><Relationship Id="rId_hyperlink_6777" Type="http://schemas.openxmlformats.org/officeDocument/2006/relationships/hyperlink" Target="https://old.ukr-mobil.com/index.php?route=product&amp;product_id=10005869" TargetMode="External"/><Relationship Id="rId_hyperlink_6778" Type="http://schemas.openxmlformats.org/officeDocument/2006/relationships/hyperlink" Target="https://old.ukr-mobil.com/index.php?route=product&amp;product_id=10005870" TargetMode="External"/><Relationship Id="rId_hyperlink_6779" Type="http://schemas.openxmlformats.org/officeDocument/2006/relationships/hyperlink" Target="https://old.ukr-mobil.com/index.php?route=product&amp;product_id=10005871" TargetMode="External"/><Relationship Id="rId_hyperlink_6780" Type="http://schemas.openxmlformats.org/officeDocument/2006/relationships/hyperlink" Target="https://old.ukr-mobil.com/index.php?route=product&amp;product_id=10005820" TargetMode="External"/><Relationship Id="rId_hyperlink_6781" Type="http://schemas.openxmlformats.org/officeDocument/2006/relationships/hyperlink" Target="https://old.ukr-mobil.com/index.php?route=product&amp;product_id=10005866" TargetMode="External"/><Relationship Id="rId_hyperlink_6782" Type="http://schemas.openxmlformats.org/officeDocument/2006/relationships/hyperlink" Target="https://old.ukr-mobil.com/index.php?route=product&amp;product_id=10005872" TargetMode="External"/><Relationship Id="rId_hyperlink_6783" Type="http://schemas.openxmlformats.org/officeDocument/2006/relationships/hyperlink" Target="https://old.ukr-mobil.com/index.php?route=product&amp;product_id=10005865" TargetMode="External"/><Relationship Id="rId_hyperlink_6784" Type="http://schemas.openxmlformats.org/officeDocument/2006/relationships/hyperlink" Target="https://old.ukr-mobil.com/index.php?route=product&amp;product_id=10005868" TargetMode="External"/><Relationship Id="rId_hyperlink_6785" Type="http://schemas.openxmlformats.org/officeDocument/2006/relationships/hyperlink" Target="https://old.ukr-mobil.com/index.php?route=product&amp;product_id=10005709" TargetMode="External"/><Relationship Id="rId_hyperlink_6786" Type="http://schemas.openxmlformats.org/officeDocument/2006/relationships/hyperlink" Target="https://old.ukr-mobil.com/index.php?route=product&amp;product_id=10005710" TargetMode="External"/><Relationship Id="rId_hyperlink_6787" Type="http://schemas.openxmlformats.org/officeDocument/2006/relationships/hyperlink" Target="https://old.ukr-mobil.com/izolyacionnaya_prokladka_0_27_18650_list_100sht_10003588" TargetMode="External"/><Relationship Id="rId_hyperlink_6788" Type="http://schemas.openxmlformats.org/officeDocument/2006/relationships/hyperlink" Target="https://old.ukr-mobil.com/izolyacionnaya_prokladka_0_27_21700_list_60sht_10003589" TargetMode="External"/><Relationship Id="rId_hyperlink_6789" Type="http://schemas.openxmlformats.org/officeDocument/2006/relationships/hyperlink" Target="https://old.ukr-mobil.com/karton_izolyacionnyj_kleyashchijsya_0_27_100mm_1m_10003683" TargetMode="External"/><Relationship Id="rId_hyperlink_6790" Type="http://schemas.openxmlformats.org/officeDocument/2006/relationships/hyperlink" Target="https://old.ukr-mobil.com/karton_izolyacionnyj_kleyashchijsya_0_27_mm_h_130_mm_1_metr_10005588" TargetMode="External"/><Relationship Id="rId_hyperlink_6791" Type="http://schemas.openxmlformats.org/officeDocument/2006/relationships/hyperlink" Target="https://old.ukr-mobil.com/karton_izolyacionnyj_kleyashchijsya_0_27_50mm_1m_10003679" TargetMode="External"/><Relationship Id="rId_hyperlink_6792" Type="http://schemas.openxmlformats.org/officeDocument/2006/relationships/hyperlink" Target="https://old.ukr-mobil.com/karton_izolyacionnyj_kleyashchijsya_0_27_60mm_1m_10003680" TargetMode="External"/><Relationship Id="rId_hyperlink_6793" Type="http://schemas.openxmlformats.org/officeDocument/2006/relationships/hyperlink" Target="https://old.ukr-mobil.com/karton_izolyacionnyj_kleyashchijsya_0_27_70mm_1m_10003682" TargetMode="External"/><Relationship Id="rId_hyperlink_6794" Type="http://schemas.openxmlformats.org/officeDocument/2006/relationships/hyperlink" Target="https://old.ukr-mobil.com/kaptonovyj_skotch_20mm_33m_10003603" TargetMode="External"/><Relationship Id="rId_hyperlink_6795" Type="http://schemas.openxmlformats.org/officeDocument/2006/relationships/hyperlink" Target="https://old.ukr-mobil.com/kaptonovyj_skotch_50mm_33m_10003602" TargetMode="External"/><Relationship Id="rId_hyperlink_6796" Type="http://schemas.openxmlformats.org/officeDocument/2006/relationships/hyperlink" Target="https://old.ukr-mobil.com/nikelevaya_lenta_dlya_tochechnoj_svarki_akkumulyatorov_18650_bez_holdera_25_5_x_18_5_mm_1m_10004405" TargetMode="External"/><Relationship Id="rId_hyperlink_6797" Type="http://schemas.openxmlformats.org/officeDocument/2006/relationships/hyperlink" Target="https://old.ukr-mobil.com/nikelevaya_lenta_dvojnaya_dlya_tochechnoj_svarki_akkumulyatorov_18650_25_5_mm_x_18_5_mm_10_metrov_10005010" TargetMode="External"/><Relationship Id="rId_hyperlink_6798" Type="http://schemas.openxmlformats.org/officeDocument/2006/relationships/hyperlink" Target="https://old.ukr-mobil.com/nikelevaya_lenta_dlya_tochechnoj_svarki_akkumulyatorov_25_5_x_20_2_mm_1m_10003687" TargetMode="External"/><Relationship Id="rId_hyperlink_6799" Type="http://schemas.openxmlformats.org/officeDocument/2006/relationships/hyperlink" Target="https://old.ukr-mobil.com/nikelevaya_lenta_dvojnaya_dlya_tochechnoj_svarki_akkumulyatorov_18650_pod_holder_27_mm_h_20_2_mm_10_metrov_10004759" TargetMode="External"/><Relationship Id="rId_hyperlink_6800" Type="http://schemas.openxmlformats.org/officeDocument/2006/relationships/hyperlink" Target="https://old.ukr-mobil.com/nikelevaya_lenta_dvojnaya_dlya_tochechnoj_svarki_akkumulyatorov_21700_30_5_mm_h_21_5_mm_10_metrov_10005009" TargetMode="External"/><Relationship Id="rId_hyperlink_6801" Type="http://schemas.openxmlformats.org/officeDocument/2006/relationships/hyperlink" Target="https://old.ukr-mobil.com/nikelevaya_lenta_dlya_tochechnoj_svarki_akkumulyatorov_21700_pod_holder_25_5_x_22_5_mm_1m_10003688" TargetMode="External"/><Relationship Id="rId_hyperlink_6802" Type="http://schemas.openxmlformats.org/officeDocument/2006/relationships/hyperlink" Target="https://old.ukr-mobil.com/nikelevaya_lenta_dvojnaya_dlya_tochechnoj_svarki_akkumulyatorov_21700_pod_holder_30_5_mm_h_22_5_mm_10_metrov_10005008" TargetMode="External"/><Relationship Id="rId_hyperlink_6803" Type="http://schemas.openxmlformats.org/officeDocument/2006/relationships/hyperlink" Target="https://old.ukr-mobil.com/nikelevaya_lenta_dvojnaya_kosaya_dlya_tochechnoj_svarki_akkumulyatorov_18650_23_mm_x_18_5_mm_10_metrov_10005020" TargetMode="External"/><Relationship Id="rId_hyperlink_6804" Type="http://schemas.openxmlformats.org/officeDocument/2006/relationships/hyperlink" Target="https://old.ukr-mobil.com/nikelevaya_lenta_dvojnaya_kosaya_dlya_tochechnoj_svarki_akkumulyatorov_21700_27_7_mm_x_21_5_mm_10_metrov_10005021" TargetMode="External"/><Relationship Id="rId_hyperlink_6805" Type="http://schemas.openxmlformats.org/officeDocument/2006/relationships/hyperlink" Target="https://old.ukr-mobil.com/nikelevaya_lenta_dlya_tochechnoj_svarki_akkumulyatorov_18650_21700_8mm_x_0_15mm_1m_ni_99_5_10003436" TargetMode="External"/><Relationship Id="rId_hyperlink_6806" Type="http://schemas.openxmlformats.org/officeDocument/2006/relationships/hyperlink" Target="https://old.ukr-mobil.com/nikelevaya_lenta_dlya_tochechnoj_svarki_akkumulyatorov_18650_21700_8mm_x_0_15mm_10m_ni_99_5_10003437" TargetMode="External"/><Relationship Id="rId_hyperlink_6807" Type="http://schemas.openxmlformats.org/officeDocument/2006/relationships/hyperlink" Target="https://old.ukr-mobil.com/nikelevaya_lenta_trojnaya_dlya_tochechnoj_svarki_akkumulyatorov_18650_43_8_mm_h_18_5_mm_10_metrov_10005014" TargetMode="External"/><Relationship Id="rId_hyperlink_6808" Type="http://schemas.openxmlformats.org/officeDocument/2006/relationships/hyperlink" Target="https://old.ukr-mobil.com/nikelevaya_lenta_trojnaya_dlya_tochechnoj_svarki_akkumulyatorov_18650_pod_holder_47_1_mm_h_20_2_mm_10_metrov_10005013" TargetMode="External"/><Relationship Id="rId_hyperlink_6809" Type="http://schemas.openxmlformats.org/officeDocument/2006/relationships/hyperlink" Target="https://old.ukr-mobil.com/nikelevaya_lenta_trojnaya_dlya_tochechnoj_svarki_akkumulyatorov_21700_51_mm_h_21_5_mm_10_metrov_10005012" TargetMode="External"/><Relationship Id="rId_hyperlink_6810" Type="http://schemas.openxmlformats.org/officeDocument/2006/relationships/hyperlink" Target="https://old.ukr-mobil.com/nikelevaya_lenta_trojnaya_dlya_tochechnoj_svarki_akkumulyatorov_21700_pod_holder_53_mm_h_22_5_mm_10_metrov_10005011" TargetMode="External"/><Relationship Id="rId_hyperlink_6811" Type="http://schemas.openxmlformats.org/officeDocument/2006/relationships/hyperlink" Target="https://old.ukr-mobil.com/nikelevaya_lenta_trojnaya_kosaya_dlya_tochechnoj_svarki_akkumulyatorov_18650_39_mm_x_18_5_mm_10_metrov_10005022" TargetMode="External"/><Relationship Id="rId_hyperlink_6812" Type="http://schemas.openxmlformats.org/officeDocument/2006/relationships/hyperlink" Target="https://old.ukr-mobil.com/nikelevaya_lenta_trojnaya_kosaya_dlya_tochechnoj_svarki_akkumulyatorov_21700_46_4_mm_x_21_5_mm_10_metrov_10005019" TargetMode="External"/><Relationship Id="rId_hyperlink_6813" Type="http://schemas.openxmlformats.org/officeDocument/2006/relationships/hyperlink" Target="https://old.ukr-mobil.com/nikelevaya_lenta_chetyrekhryadnaya_dlya_tochechnoj_svarki_akkumulyatorov_18650_62_5_mm_h_18_5_mm_10_metrov_10005018" TargetMode="External"/><Relationship Id="rId_hyperlink_6814" Type="http://schemas.openxmlformats.org/officeDocument/2006/relationships/hyperlink" Target="https://old.ukr-mobil.com/nikelevaya_lenta_chetyrekhryadnaya_dlya_tochechnoj_svarki_akkumulyatorov_18650_pod_holder_67_4_mm_h_20_2_mm_10_metrov_10005017" TargetMode="External"/><Relationship Id="rId_hyperlink_6815" Type="http://schemas.openxmlformats.org/officeDocument/2006/relationships/hyperlink" Target="https://old.ukr-mobil.com/nikelevaya_lenta_chetyrekhryadnaya_dlya_tochechnoj_svarki_akkumulyatorov_21700_72_5_mm_h_21_5_mm_10_metrov_10005016" TargetMode="External"/><Relationship Id="rId_hyperlink_6816" Type="http://schemas.openxmlformats.org/officeDocument/2006/relationships/hyperlink" Target="https://old.ukr-mobil.com/nikelevaya_lenta_chetyrekhryadnaya_dlya_tochechnoj_svarki_akkumulyatorov_21700_pod_holder_75_5_mm_h_22_5_mm_10_metrov_10005015" TargetMode="External"/><Relationship Id="rId_hyperlink_6817" Type="http://schemas.openxmlformats.org/officeDocument/2006/relationships/hyperlink" Target="https://old.ukr-mobil.com/nikelirovanaya_lenta_dlya_tochechnoj_svarki_akkumulyatorov_18650_21700_dvojnaya_s_prosechkoj_pod_kronshtejn_25_5mm_x_22_2mm_10m_10003686" TargetMode="External"/><Relationship Id="rId_hyperlink_6818" Type="http://schemas.openxmlformats.org/officeDocument/2006/relationships/hyperlink" Target="https://old.ukr-mobil.com/nikelirovanaya_lenta_dlya_tochechnoj_svarki_akkumulyatorov_18650_21700_dvojnaya_s_prosechkoj_pod_kronshtejn_25_5mm_x_18_5mm_1m_10003496" TargetMode="External"/><Relationship Id="rId_hyperlink_6819" Type="http://schemas.openxmlformats.org/officeDocument/2006/relationships/hyperlink" Target="https://old.ukr-mobil.com/nikelirovanaya_lenta_dlya_tochechnoj_svarki_akkumulyatorov_18650_21700_dvojnaya_s_prosechkoj_pod_kronshtejn_25_5mm_x_20_2mm_10m_10003685" TargetMode="External"/><Relationship Id="rId_hyperlink_6820" Type="http://schemas.openxmlformats.org/officeDocument/2006/relationships/hyperlink" Target="https://old.ukr-mobil.com/index.php?route=product&amp;product_id=10005576" TargetMode="External"/><Relationship Id="rId_hyperlink_6821" Type="http://schemas.openxmlformats.org/officeDocument/2006/relationships/hyperlink" Target="https://old.ukr-mobil.com/nikelirovannaya_stalnaya_lenta_dlya_tochechnoj_svarki_akkumulyatorov_6mm_x_0_15mm_10m_10003612" TargetMode="External"/><Relationship Id="rId_hyperlink_6822" Type="http://schemas.openxmlformats.org/officeDocument/2006/relationships/hyperlink" Target="https://old.ukr-mobil.com/nikelirovannaya_stalnaya_lenta_dlya_tochechnoj_svarki_akkumulyatorov_8mm_x_0_15mm_10m_10003586" TargetMode="External"/><Relationship Id="rId_hyperlink_6823" Type="http://schemas.openxmlformats.org/officeDocument/2006/relationships/hyperlink" Target="https://old.ukr-mobil.com/provod_silikonovyj_10awg_krasnyj_1m_1050h0_08_mm_10003519" TargetMode="External"/><Relationship Id="rId_hyperlink_6824" Type="http://schemas.openxmlformats.org/officeDocument/2006/relationships/hyperlink" Target="https://old.ukr-mobil.com/provod_silikonovyj_10awg_chyornyj_1m_1050h0_08_mm_10003518" TargetMode="External"/><Relationship Id="rId_hyperlink_6825" Type="http://schemas.openxmlformats.org/officeDocument/2006/relationships/hyperlink" Target="https://old.ukr-mobil.com/provod_silikonovyj_12awg_krasnyj_1m_680h0_08_mm_10003520" TargetMode="External"/><Relationship Id="rId_hyperlink_6826" Type="http://schemas.openxmlformats.org/officeDocument/2006/relationships/hyperlink" Target="https://old.ukr-mobil.com/provod_silikonovyj_12awg_chyornyj_1m_680h0_08_mm_10003521" TargetMode="External"/><Relationship Id="rId_hyperlink_6827" Type="http://schemas.openxmlformats.org/officeDocument/2006/relationships/hyperlink" Target="https://old.ukr-mobil.com/provod_silikonovyj_14awg_krasnyj_1m_400h0_08_mm_10003523" TargetMode="External"/><Relationship Id="rId_hyperlink_6828" Type="http://schemas.openxmlformats.org/officeDocument/2006/relationships/hyperlink" Target="https://old.ukr-mobil.com/provod_silikonovyj_14awg_chyornyj_1m_400h0_08_mm_10003522" TargetMode="External"/><Relationship Id="rId_hyperlink_6829" Type="http://schemas.openxmlformats.org/officeDocument/2006/relationships/hyperlink" Target="https://old.ukr-mobil.com/provod_silikonovyj_18awg_krasnyj_1m_150h0_08_mm_10003524" TargetMode="External"/><Relationship Id="rId_hyperlink_6830" Type="http://schemas.openxmlformats.org/officeDocument/2006/relationships/hyperlink" Target="https://old.ukr-mobil.com/provod_silikonovyj_18awg_chyornyj_1m_150h0_08_mm_10003525" TargetMode="External"/><Relationship Id="rId_hyperlink_6831" Type="http://schemas.openxmlformats.org/officeDocument/2006/relationships/hyperlink" Target="https://old.ukr-mobil.com/index.php?route=product&amp;product_id=10006071" TargetMode="External"/><Relationship Id="rId_hyperlink_6832" Type="http://schemas.openxmlformats.org/officeDocument/2006/relationships/hyperlink" Target="https://old.ukr-mobil.com/index.php?route=product&amp;product_id=10006072" TargetMode="External"/><Relationship Id="rId_hyperlink_6833" Type="http://schemas.openxmlformats.org/officeDocument/2006/relationships/hyperlink" Target="https://old.ukr-mobil.com/index.php?route=product&amp;product_id=10006070" TargetMode="External"/><Relationship Id="rId_hyperlink_6834" Type="http://schemas.openxmlformats.org/officeDocument/2006/relationships/hyperlink" Target="https://old.ukr-mobil.com/index.php?route=product&amp;product_id=10006068" TargetMode="External"/><Relationship Id="rId_hyperlink_6835" Type="http://schemas.openxmlformats.org/officeDocument/2006/relationships/hyperlink" Target="https://old.ukr-mobil.com/index.php?route=product&amp;product_id=10006069" TargetMode="External"/><Relationship Id="rId_hyperlink_6836" Type="http://schemas.openxmlformats.org/officeDocument/2006/relationships/hyperlink" Target="https://old.ukr-mobil.com/index.php?route=product&amp;product_id=10006067" TargetMode="External"/><Relationship Id="rId_hyperlink_6837" Type="http://schemas.openxmlformats.org/officeDocument/2006/relationships/hyperlink" Target="https://old.ukr-mobil.com/index.php?route=product&amp;product_id=10006073" TargetMode="External"/><Relationship Id="rId_hyperlink_6838" Type="http://schemas.openxmlformats.org/officeDocument/2006/relationships/hyperlink" Target="https://old.ukr-mobil.com/index.php?route=product&amp;product_id=10006074" TargetMode="External"/><Relationship Id="rId_hyperlink_6839" Type="http://schemas.openxmlformats.org/officeDocument/2006/relationships/hyperlink" Target="https://old.ukr-mobil.com/provod_silikonovyj_8awg_krasnyj_1m_1650h0_08_mm_10003517" TargetMode="External"/><Relationship Id="rId_hyperlink_6840" Type="http://schemas.openxmlformats.org/officeDocument/2006/relationships/hyperlink" Target="https://old.ukr-mobil.com/provod_silikonovyj_8awg_chyornyj_1m_1650h0_08_mm_10003516" TargetMode="External"/><Relationship Id="rId_hyperlink_6841" Type="http://schemas.openxmlformats.org/officeDocument/2006/relationships/hyperlink" Target="https://old.ukr-mobil.com/steklotekstolit_list_420x594x0_3mm_10003617" TargetMode="External"/><Relationship Id="rId_hyperlink_6842" Type="http://schemas.openxmlformats.org/officeDocument/2006/relationships/hyperlink" Target="https://old.ukr-mobil.com/termousadochnaya_plyonka_dlya_akb_18650_10003513" TargetMode="External"/><Relationship Id="rId_hyperlink_6843" Type="http://schemas.openxmlformats.org/officeDocument/2006/relationships/hyperlink" Target="https://old.ukr-mobil.com/termousadochnaya_plyonka_dlya_akb_21700_10003514" TargetMode="External"/><Relationship Id="rId_hyperlink_6844" Type="http://schemas.openxmlformats.org/officeDocument/2006/relationships/hyperlink" Target="https://old.ukr-mobil.com/termousadochnaya_plyonka_110x0_15mm_1m_10003669" TargetMode="External"/><Relationship Id="rId_hyperlink_6845" Type="http://schemas.openxmlformats.org/officeDocument/2006/relationships/hyperlink" Target="https://old.ukr-mobil.com/termousadochnaya_plyonka_130_mm_x_0_15_mm_1_metr_10005575" TargetMode="External"/><Relationship Id="rId_hyperlink_6846" Type="http://schemas.openxmlformats.org/officeDocument/2006/relationships/hyperlink" Target="https://old.ukr-mobil.com/termousadochnaya_plyonka_140_mm_x_0_15_mm_1_metr_10005574" TargetMode="External"/><Relationship Id="rId_hyperlink_6847" Type="http://schemas.openxmlformats.org/officeDocument/2006/relationships/hyperlink" Target="https://old.ukr-mobil.com/termousadochnaya_plyonka_150_mm_x_0_15_mm_1m_10003670" TargetMode="External"/><Relationship Id="rId_hyperlink_6848" Type="http://schemas.openxmlformats.org/officeDocument/2006/relationships/hyperlink" Target="https://old.ukr-mobil.com/index.php?route=product&amp;product_id=10005707" TargetMode="External"/><Relationship Id="rId_hyperlink_6849" Type="http://schemas.openxmlformats.org/officeDocument/2006/relationships/hyperlink" Target="https://old.ukr-mobil.com/termousadochnaya_plyonka_180x0_15mm_1m_10003671" TargetMode="External"/><Relationship Id="rId_hyperlink_6850" Type="http://schemas.openxmlformats.org/officeDocument/2006/relationships/hyperlink" Target="https://old.ukr-mobil.com/termousadochnaya_plyonka_200x0_15mm_1m_10003672" TargetMode="External"/><Relationship Id="rId_hyperlink_6851" Type="http://schemas.openxmlformats.org/officeDocument/2006/relationships/hyperlink" Target="https://old.ukr-mobil.com/termousadochnaya_plyonka_250x0_15mm_1m_10003673" TargetMode="External"/><Relationship Id="rId_hyperlink_6852" Type="http://schemas.openxmlformats.org/officeDocument/2006/relationships/hyperlink" Target="https://old.ukr-mobil.com/index.php?route=product&amp;product_id=10005708" TargetMode="External"/><Relationship Id="rId_hyperlink_6853" Type="http://schemas.openxmlformats.org/officeDocument/2006/relationships/hyperlink" Target="https://old.ukr-mobil.com/termousadochnaya_plyonka_30x0_15mm_1m_10003667" TargetMode="External"/><Relationship Id="rId_hyperlink_6854" Type="http://schemas.openxmlformats.org/officeDocument/2006/relationships/hyperlink" Target="https://old.ukr-mobil.com/termousadochnaya_plyonka_300x0_15mm_1m_10003674" TargetMode="External"/><Relationship Id="rId_hyperlink_6855" Type="http://schemas.openxmlformats.org/officeDocument/2006/relationships/hyperlink" Target="https://old.ukr-mobil.com/termousadochnaya_plyonka_350x0_15mm_1m_10003675" TargetMode="External"/><Relationship Id="rId_hyperlink_6856" Type="http://schemas.openxmlformats.org/officeDocument/2006/relationships/hyperlink" Target="https://old.ukr-mobil.com/termousadochnaya_plyonka_50x0_15mm_1m_10003668" TargetMode="External"/><Relationship Id="rId_hyperlink_6857" Type="http://schemas.openxmlformats.org/officeDocument/2006/relationships/hyperlink" Target="https://old.ukr-mobil.com/index.php?route=product&amp;product_id=10005949" TargetMode="External"/><Relationship Id="rId_hyperlink_6858" Type="http://schemas.openxmlformats.org/officeDocument/2006/relationships/hyperlink" Target="https://old.ukr-mobil.com/index.php?route=product&amp;product_id=10005950" TargetMode="External"/><Relationship Id="rId_hyperlink_6859" Type="http://schemas.openxmlformats.org/officeDocument/2006/relationships/hyperlink" Target="https://old.ukr-mobil.com/index.php?route=product&amp;product_id=10005951" TargetMode="External"/><Relationship Id="rId_hyperlink_6860" Type="http://schemas.openxmlformats.org/officeDocument/2006/relationships/hyperlink" Target="https://old.ukr-mobil.com/index.php?route=product&amp;product_id=10005952" TargetMode="External"/><Relationship Id="rId_hyperlink_6861" Type="http://schemas.openxmlformats.org/officeDocument/2006/relationships/hyperlink" Target="https://old.ukr-mobil.com/index.php?route=product&amp;product_id=10005953" TargetMode="External"/><Relationship Id="rId_hyperlink_6862" Type="http://schemas.openxmlformats.org/officeDocument/2006/relationships/hyperlink" Target="https://old.ukr-mobil.com/holder_derzhatel_1x1_dlya_akb_18650_10003505" TargetMode="External"/><Relationship Id="rId_hyperlink_6863" Type="http://schemas.openxmlformats.org/officeDocument/2006/relationships/hyperlink" Target="https://old.ukr-mobil.com/holder_derzhatel_1x2_dlya_akb_18650_10003506" TargetMode="External"/><Relationship Id="rId_hyperlink_6864" Type="http://schemas.openxmlformats.org/officeDocument/2006/relationships/hyperlink" Target="https://old.ukr-mobil.com/holder_derzhatel_1x2_dlya_akb_21700_10003510" TargetMode="External"/><Relationship Id="rId_hyperlink_6865" Type="http://schemas.openxmlformats.org/officeDocument/2006/relationships/hyperlink" Target="https://old.ukr-mobil.com/holder_derzhatel_1x3_dlya_akb_18650_10003507" TargetMode="External"/><Relationship Id="rId_hyperlink_6866" Type="http://schemas.openxmlformats.org/officeDocument/2006/relationships/hyperlink" Target="https://old.ukr-mobil.com/holder_derzhatel_1x3_dlya_akb_21700_10003511" TargetMode="External"/><Relationship Id="rId_hyperlink_6867" Type="http://schemas.openxmlformats.org/officeDocument/2006/relationships/hyperlink" Target="https://old.ukr-mobil.com/holder_derzhatel_3x5_dlya_akb_18650_10003509" TargetMode="External"/><Relationship Id="rId_hyperlink_6868" Type="http://schemas.openxmlformats.org/officeDocument/2006/relationships/hyperlink" Target="https://old.ukr-mobil.com/holder_derzhatel_4x5_dlya_akb_18650_10003508" TargetMode="External"/><Relationship Id="rId_hyperlink_6869" Type="http://schemas.openxmlformats.org/officeDocument/2006/relationships/hyperlink" Target="https://old.ukr-mobil.com/sobrannyj_korpus_dlya_akkumulyatora_18650_36v_sse-046_10003761" TargetMode="External"/><Relationship Id="rId_hyperlink_6870" Type="http://schemas.openxmlformats.org/officeDocument/2006/relationships/hyperlink" Target="https://old.ukr-mobil.com/sobrannyj_korpus_dlya_akkumulyatora_18650_36v_sse-077_10003763" TargetMode="External"/><Relationship Id="rId_hyperlink_6871" Type="http://schemas.openxmlformats.org/officeDocument/2006/relationships/hyperlink" Target="https://old.ukr-mobil.com/sobrannyj_korpus_dlya_akkumulyatora_18650_36v_sse-086_10003765" TargetMode="External"/><Relationship Id="rId_hyperlink_6872" Type="http://schemas.openxmlformats.org/officeDocument/2006/relationships/hyperlink" Target="https://old.ukr-mobil.com/sobrannyj_korpus_dlya_akkumulyatora_18650_36v_sse-112_g80_10003769" TargetMode="External"/><Relationship Id="rId_hyperlink_6873" Type="http://schemas.openxmlformats.org/officeDocument/2006/relationships/hyperlink" Target="https://old.ukr-mobil.com/sobrannyj_korpus_dlya_akkumulyatora_18650_36v_sse-114_g70_10003773" TargetMode="External"/><Relationship Id="rId_hyperlink_6874" Type="http://schemas.openxmlformats.org/officeDocument/2006/relationships/hyperlink" Target="https://old.ukr-mobil.com/sobrannyj_korpus_dlya_akkumulyatora_18650_48v_sse-046_10003762" TargetMode="External"/><Relationship Id="rId_hyperlink_6875" Type="http://schemas.openxmlformats.org/officeDocument/2006/relationships/hyperlink" Target="https://old.ukr-mobil.com/sobrannyj_korpus_dlya_akkumulyatora_18650_48v_sse-086_10003766" TargetMode="External"/><Relationship Id="rId_hyperlink_6876" Type="http://schemas.openxmlformats.org/officeDocument/2006/relationships/hyperlink" Target="https://old.ukr-mobil.com/sobrannyj_korpus_dlya_akkumulyatora_18650_48v_sse-112_g80_10003770" TargetMode="External"/><Relationship Id="rId_hyperlink_6877" Type="http://schemas.openxmlformats.org/officeDocument/2006/relationships/hyperlink" Target="https://old.ukr-mobil.com/sobrannyj_korpus_dlya_akkumulyatora_18650_48v_sse-114_g70_10003774" TargetMode="External"/><Relationship Id="rId_hyperlink_6878" Type="http://schemas.openxmlformats.org/officeDocument/2006/relationships/hyperlink" Target="https://old.ukr-mobil.com/sobrannyj_korpus_dlya_akkumulyatora_21700_36v_sse-077_10003764" TargetMode="External"/><Relationship Id="rId_hyperlink_6879" Type="http://schemas.openxmlformats.org/officeDocument/2006/relationships/hyperlink" Target="https://old.ukr-mobil.com/sobrannyj_korpus_dlya_akkumulyatora_21700_36v_sse-086_10003767" TargetMode="External"/><Relationship Id="rId_hyperlink_6880" Type="http://schemas.openxmlformats.org/officeDocument/2006/relationships/hyperlink" Target="https://old.ukr-mobil.com/sobrannyj_korpus_dlya_akkumulyatora_21700_36v_sse-112_g80_10003771" TargetMode="External"/><Relationship Id="rId_hyperlink_6881" Type="http://schemas.openxmlformats.org/officeDocument/2006/relationships/hyperlink" Target="https://old.ukr-mobil.com/sobrannyj_korpus_dlya_akkumulyatora_21700_48v_sse-086_10003768" TargetMode="External"/><Relationship Id="rId_hyperlink_6882" Type="http://schemas.openxmlformats.org/officeDocument/2006/relationships/hyperlink" Target="https://old.ukr-mobil.com/sobrannyj_korpus_dlya_akkumulyatora_21700_48v_sse-112_g80_10003772" TargetMode="External"/><Relationship Id="rId_hyperlink_6883" Type="http://schemas.openxmlformats.org/officeDocument/2006/relationships/hyperlink" Target="https://old.ukr-mobil.com/tester_emnosti_akkumulyatorov_sunkko_t-681_5a_0-55v_10003726" TargetMode="External"/><Relationship Id="rId_hyperlink_6884" Type="http://schemas.openxmlformats.org/officeDocument/2006/relationships/hyperlink" Target="https://old.ukr-mobil.com/tester_emnosti_akkumulyatorov_sunkko_t-681_5a_0-85v_10003727" TargetMode="External"/><Relationship Id="rId_hyperlink_6885" Type="http://schemas.openxmlformats.org/officeDocument/2006/relationships/hyperlink" Target="https://old.ukr-mobil.com/akkumulyator_14_ah_179_wh_12v_na_osnove_elementov_32700_lifepo4_razmer_75_x_140_x_80_mm_10004463" TargetMode="External"/><Relationship Id="rId_hyperlink_6886" Type="http://schemas.openxmlformats.org/officeDocument/2006/relationships/hyperlink" Target="https://old.ukr-mobil.com/akkumulyator_dlya_plansheta_1_9_34_95_mm_600_mah_10001381" TargetMode="External"/><Relationship Id="rId_hyperlink_6887" Type="http://schemas.openxmlformats.org/officeDocument/2006/relationships/hyperlink" Target="https://old.ukr-mobil.com/akkumulyator_dlya_plansheta_2_5_100_150mm_5000_mah_7786" TargetMode="External"/><Relationship Id="rId_hyperlink_6888" Type="http://schemas.openxmlformats.org/officeDocument/2006/relationships/hyperlink" Target="https://old.ukr-mobil.com/akkumulyator_dlya_plansheta_2_9_100_100mm_6000_mah_6568" TargetMode="External"/><Relationship Id="rId_hyperlink_6889" Type="http://schemas.openxmlformats.org/officeDocument/2006/relationships/hyperlink" Target="https://old.ukr-mobil.com/akkumulyator_dlya_plansheta_2_9_93_99mm_4000_mah_5126" TargetMode="External"/><Relationship Id="rId_hyperlink_6890" Type="http://schemas.openxmlformats.org/officeDocument/2006/relationships/hyperlink" Target="https://old.ukr-mobil.com/akkumulyator_dlya_plansheta_2_9_96_100mm_4000_mah_7787" TargetMode="External"/><Relationship Id="rId_hyperlink_6891" Type="http://schemas.openxmlformats.org/officeDocument/2006/relationships/hyperlink" Target="https://old.ukr-mobil.com/akkumulyator_dlya_plansheta_3_0_60_93mm_3000_mah_7799" TargetMode="External"/><Relationship Id="rId_hyperlink_6892" Type="http://schemas.openxmlformats.org/officeDocument/2006/relationships/hyperlink" Target="https://old.ukr-mobil.com/akkumulyator_dlya_plansheta_3_0_70_95_mm_2500_mah_10003053" TargetMode="External"/><Relationship Id="rId_hyperlink_6893" Type="http://schemas.openxmlformats.org/officeDocument/2006/relationships/hyperlink" Target="https://old.ukr-mobil.com/akkumulyator_dlya_plansheta_3_0_73_95mm_3000_mah_7789" TargetMode="External"/><Relationship Id="rId_hyperlink_6894" Type="http://schemas.openxmlformats.org/officeDocument/2006/relationships/hyperlink" Target="https://old.ukr-mobil.com/akkumulyator_dlya_plansheta_3_0_80_95mm_5000_mah_5129" TargetMode="External"/><Relationship Id="rId_hyperlink_6895" Type="http://schemas.openxmlformats.org/officeDocument/2006/relationships/hyperlink" Target="https://old.ukr-mobil.com/akkumulyator_dlya_plansheta_3_2_48_145mm_3800_mah_7793" TargetMode="External"/><Relationship Id="rId_hyperlink_6896" Type="http://schemas.openxmlformats.org/officeDocument/2006/relationships/hyperlink" Target="https://old.ukr-mobil.com/akkumulyator_dlya_plansheta_3_2_50_145mm_4000_mah_7792" TargetMode="External"/><Relationship Id="rId_hyperlink_6897" Type="http://schemas.openxmlformats.org/officeDocument/2006/relationships/hyperlink" Target="https://old.ukr-mobil.com/akkumulyator_dlya_plansheta_3_2_65_80mm_3500_mah_7790" TargetMode="External"/><Relationship Id="rId_hyperlink_6898" Type="http://schemas.openxmlformats.org/officeDocument/2006/relationships/hyperlink" Target="https://old.ukr-mobil.com/akkumulyator_dlya_plansheta_3_5_100_100mm_3500_mah_7795" TargetMode="External"/><Relationship Id="rId_hyperlink_6899" Type="http://schemas.openxmlformats.org/officeDocument/2006/relationships/hyperlink" Target="https://old.ukr-mobil.com/akkumulyator_dlya_plansheta_3_5_50_145mm_3500_mah_5817" TargetMode="External"/><Relationship Id="rId_hyperlink_6900" Type="http://schemas.openxmlformats.org/officeDocument/2006/relationships/hyperlink" Target="https://old.ukr-mobil.com/akkumulyator_dlya_plansheta_3_5_55_130mm_5000_mah_5131" TargetMode="External"/><Relationship Id="rId_hyperlink_6901" Type="http://schemas.openxmlformats.org/officeDocument/2006/relationships/hyperlink" Target="https://old.ukr-mobil.com/akkumulyator_dlya_plansheta_3_5_55_143mm_3200_mah_5132" TargetMode="External"/><Relationship Id="rId_hyperlink_6902" Type="http://schemas.openxmlformats.org/officeDocument/2006/relationships/hyperlink" Target="https://old.ukr-mobil.com/akkumulyator_dlya_plansheta_3_5_60_90_mm_3_7_v_3500_mah_10003417" TargetMode="External"/><Relationship Id="rId_hyperlink_6903" Type="http://schemas.openxmlformats.org/officeDocument/2006/relationships/hyperlink" Target="https://old.ukr-mobil.com/akkumulyator_dlya_plansheta_3_5_65_95mm_3000_mah_7788" TargetMode="External"/><Relationship Id="rId_hyperlink_6904" Type="http://schemas.openxmlformats.org/officeDocument/2006/relationships/hyperlink" Target="https://old.ukr-mobil.com/akkumulyator_dlya_plansheta_3_5_70_100mm_3500_mah_7794" TargetMode="External"/><Relationship Id="rId_hyperlink_6905" Type="http://schemas.openxmlformats.org/officeDocument/2006/relationships/hyperlink" Target="https://old.ukr-mobil.com/akkumulyator_dlya_plansheta_3_5_75_80mm_3500_mah_11639" TargetMode="External"/><Relationship Id="rId_hyperlink_6906" Type="http://schemas.openxmlformats.org/officeDocument/2006/relationships/hyperlink" Target="https://old.ukr-mobil.com/akkumulyator_dlya_plansheta_3_5_70_90mm_3000_mah_5130" TargetMode="External"/><Relationship Id="rId_hyperlink_6907" Type="http://schemas.openxmlformats.org/officeDocument/2006/relationships/hyperlink" Target="https://old.ukr-mobil.com/akkumulyator_dlya_plansheta_3_7_35_95mm_2800_mah_11646" TargetMode="External"/><Relationship Id="rId_hyperlink_6908" Type="http://schemas.openxmlformats.org/officeDocument/2006/relationships/hyperlink" Target="https://old.ukr-mobil.com/akkumulyator_dlya_plansheta_3_7_65_95mm_3200_mah_5140" TargetMode="External"/><Relationship Id="rId_hyperlink_6909" Type="http://schemas.openxmlformats.org/officeDocument/2006/relationships/hyperlink" Target="https://old.ukr-mobil.com/akkumulyator_dlya_plansheta_3_7_66_125mm_4000_mah_5143" TargetMode="External"/><Relationship Id="rId_hyperlink_6910" Type="http://schemas.openxmlformats.org/officeDocument/2006/relationships/hyperlink" Target="https://old.ukr-mobil.com/akkumulyator_dlya_plansheta_3_7_93_108mm_4000_mah_5127" TargetMode="External"/><Relationship Id="rId_hyperlink_6911" Type="http://schemas.openxmlformats.org/officeDocument/2006/relationships/hyperlink" Target="https://old.ukr-mobil.com/akkumulyator_dlya_plansheta_3_9_70_125mm_5000_mah_5125" TargetMode="External"/><Relationship Id="rId_hyperlink_6912" Type="http://schemas.openxmlformats.org/officeDocument/2006/relationships/hyperlink" Target="https://old.ukr-mobil.com/akkumulyator_dlya_plansheta_3_9_80_90mm_3000_mah_5141" TargetMode="External"/><Relationship Id="rId_hyperlink_6913" Type="http://schemas.openxmlformats.org/officeDocument/2006/relationships/hyperlink" Target="https://old.ukr-mobil.com/akkumulyator_dlya_plansheta_4_0_55_94mm_2700_mah_5137" TargetMode="External"/><Relationship Id="rId_hyperlink_6914" Type="http://schemas.openxmlformats.org/officeDocument/2006/relationships/hyperlink" Target="https://old.ukr-mobil.com/akkumulyator_dlya_plansheta_4_0_60_130mm_3500_mah_7796" TargetMode="External"/><Relationship Id="rId_hyperlink_6915" Type="http://schemas.openxmlformats.org/officeDocument/2006/relationships/hyperlink" Target="https://old.ukr-mobil.com/akkumulyator_dlya_plansheta_4_0_64_93mm_2800_mah_5135" TargetMode="External"/><Relationship Id="rId_hyperlink_6916" Type="http://schemas.openxmlformats.org/officeDocument/2006/relationships/hyperlink" Target="https://old.ukr-mobil.com/akkumulyator_dlya_plansheta_4_0_65_89mm_4000_mah_7797" TargetMode="External"/><Relationship Id="rId_hyperlink_6917" Type="http://schemas.openxmlformats.org/officeDocument/2006/relationships/hyperlink" Target="https://old.ukr-mobil.com/akkumulyator_dlya_plansheta_4_0_70_100_mm_3500_mah_7619" TargetMode="External"/><Relationship Id="rId_hyperlink_6918" Type="http://schemas.openxmlformats.org/officeDocument/2006/relationships/hyperlink" Target="https://old.ukr-mobil.com/akkumulyator_dlya_plansheta_4_0_70_102mm_3200_mah_5139" TargetMode="External"/><Relationship Id="rId_hyperlink_6919" Type="http://schemas.openxmlformats.org/officeDocument/2006/relationships/hyperlink" Target="https://old.ukr-mobil.com/akkumulyator_dlya_plansheta_4_0_70_108mm_3500_mah_5142" TargetMode="External"/><Relationship Id="rId_hyperlink_6920" Type="http://schemas.openxmlformats.org/officeDocument/2006/relationships/hyperlink" Target="https://old.ukr-mobil.com/akkumulyator_dlya_plansheta_4_0_70_97mm_3200_mah_5144" TargetMode="External"/><Relationship Id="rId_hyperlink_6921" Type="http://schemas.openxmlformats.org/officeDocument/2006/relationships/hyperlink" Target="https://old.ukr-mobil.com/akkumulyator_dlya_plansheta_4_0_74_108mm_4000_mah_5124" TargetMode="External"/><Relationship Id="rId_hyperlink_6922" Type="http://schemas.openxmlformats.org/officeDocument/2006/relationships/hyperlink" Target="https://old.ukr-mobil.com/akkumulyator_dlya_plansheta_4_0_75_88mm_3000_mah_9320" TargetMode="External"/><Relationship Id="rId_hyperlink_6923" Type="http://schemas.openxmlformats.org/officeDocument/2006/relationships/hyperlink" Target="https://old.ukr-mobil.com/akkumulyator_dlya_plansheta_4_0_75_88mm_4000_mah_5133" TargetMode="External"/><Relationship Id="rId_hyperlink_6924" Type="http://schemas.openxmlformats.org/officeDocument/2006/relationships/hyperlink" Target="https://old.ukr-mobil.com/akkumulyator_dlya_plansheta_4_0_70_100mm_3500_mah_5136" TargetMode="External"/><Relationship Id="rId_hyperlink_6925" Type="http://schemas.openxmlformats.org/officeDocument/2006/relationships/hyperlink" Target="https://old.ukr-mobil.com/akkumulyator_dlya_plansheta_4_0_80_90mm_3500_mah_7798" TargetMode="External"/><Relationship Id="rId_hyperlink_6926" Type="http://schemas.openxmlformats.org/officeDocument/2006/relationships/hyperlink" Target="https://old.ukr-mobil.com/akkumulyator_dlya_plansheta_4_5_75_105mm_5500_mah_7583" TargetMode="External"/><Relationship Id="rId_hyperlink_6927" Type="http://schemas.openxmlformats.org/officeDocument/2006/relationships/hyperlink" Target="https://old.ukr-mobil.com/akkumulyator_dlya_plansheta_4_8_65_89mm_3800_mah_5138" TargetMode="External"/><Relationship Id="rId_hyperlink_6928" Type="http://schemas.openxmlformats.org/officeDocument/2006/relationships/hyperlink" Target="https://old.ukr-mobil.com/akkumulyator_dlya_plansheta_5_0_70_108mm_5000_mah_5128" TargetMode="External"/><Relationship Id="rId_hyperlink_6929" Type="http://schemas.openxmlformats.org/officeDocument/2006/relationships/hyperlink" Target="https://old.ukr-mobil.com/akkumulyator_dlya_plansheta_5_0_80_95mm_5000_mah_10157" TargetMode="External"/><Relationship Id="rId_hyperlink_6930" Type="http://schemas.openxmlformats.org/officeDocument/2006/relationships/hyperlink" Target="https://old.ukr-mobil.com/akkumulyator_dlya_plansheta_poverbanka_12_60_100_mm_3_7_v_10000_mah_10003418" TargetMode="External"/><Relationship Id="rId_hyperlink_6931" Type="http://schemas.openxmlformats.org/officeDocument/2006/relationships/hyperlink" Target="https://old.ukr-mobil.com/ostatok_scheta_10000332" TargetMode="External"/><Relationship Id="rId_hyperlink_6932" Type="http://schemas.openxmlformats.org/officeDocument/2006/relationships/hyperlink" Target="https://old.ukr-mobil.com/akkumulyator_3_0_23_25mm_300_mah_11112" TargetMode="External"/><Relationship Id="rId_hyperlink_6933" Type="http://schemas.openxmlformats.org/officeDocument/2006/relationships/hyperlink" Target="https://old.ukr-mobil.com/akkumulyator_4_0_20_25mm_250_mah_11111" TargetMode="External"/><Relationship Id="rId_hyperlink_6934" Type="http://schemas.openxmlformats.org/officeDocument/2006/relationships/hyperlink" Target="https://old.ukr-mobil.com/akkumulyator_4_0_20_30mm_300_mah_11113" TargetMode="External"/><Relationship Id="rId_hyperlink_6935" Type="http://schemas.openxmlformats.org/officeDocument/2006/relationships/hyperlink" Target="https://old.ukr-mobil.com/akkumulyator_6_2_29_30mm_600_mah_11114" TargetMode="External"/><Relationship Id="rId_hyperlink_6936" Type="http://schemas.openxmlformats.org/officeDocument/2006/relationships/hyperlink" Target="https://old.ukr-mobil.com/index.php?route=product&amp;product_id=10006029" TargetMode="External"/><Relationship Id="rId_hyperlink_6937" Type="http://schemas.openxmlformats.org/officeDocument/2006/relationships/hyperlink" Target="https://old.ukr-mobil.com/ehlektroskuter_eagle_king_2000w_10004550" TargetMode="External"/><Relationship Id="rId_hyperlink_6938" Type="http://schemas.openxmlformats.org/officeDocument/2006/relationships/hyperlink" Target="https://old.ukr-mobil.com/ehlektroskuter_h1_1000w_10004582" TargetMode="External"/><Relationship Id="rId_hyperlink_6939" Type="http://schemas.openxmlformats.org/officeDocument/2006/relationships/hyperlink" Target="https://old.ukr-mobil.com/ehlektroskuter_mi-9_1000w_10004581" TargetMode="External"/><Relationship Id="rId_hyperlink_6940" Type="http://schemas.openxmlformats.org/officeDocument/2006/relationships/hyperlink" Target="https://old.ukr-mobil.com/ehlektroskuter_mima_350w_10004491" TargetMode="External"/><Relationship Id="rId_hyperlink_6941" Type="http://schemas.openxmlformats.org/officeDocument/2006/relationships/hyperlink" Target="https://old.ukr-mobil.com/ehlektroskuter_mima_350_w_10004496" TargetMode="External"/><Relationship Id="rId_hyperlink_6942" Type="http://schemas.openxmlformats.org/officeDocument/2006/relationships/hyperlink" Target="https://old.ukr-mobil.com/ehlektroskuter_mima_500_w_10004541" TargetMode="External"/><Relationship Id="rId_hyperlink_6943" Type="http://schemas.openxmlformats.org/officeDocument/2006/relationships/hyperlink" Target="https://old.ukr-mobil.com/ehlektroskuter_mima_500w_10004488" TargetMode="External"/><Relationship Id="rId_hyperlink_6944" Type="http://schemas.openxmlformats.org/officeDocument/2006/relationships/hyperlink" Target="https://old.ukr-mobil.com/ehlektroskuter_mima_500w_black_10004500" TargetMode="External"/><Relationship Id="rId_hyperlink_6945" Type="http://schemas.openxmlformats.org/officeDocument/2006/relationships/hyperlink" Target="https://old.ukr-mobil.com/ehlektroskuter_aiyao_800w_10004487" TargetMode="External"/><Relationship Id="rId_hyperlink_6946" Type="http://schemas.openxmlformats.org/officeDocument/2006/relationships/hyperlink" Target="https://old.ukr-mobil.com/ehlektroskuter_mima_350w_red_10004492" TargetMode="External"/><Relationship Id="rId_hyperlink_6947" Type="http://schemas.openxmlformats.org/officeDocument/2006/relationships/hyperlink" Target="https://old.ukr-mobil.com/index.php?route=product&amp;product_id=10004575" TargetMode="External"/><Relationship Id="rId_hyperlink_6948" Type="http://schemas.openxmlformats.org/officeDocument/2006/relationships/hyperlink" Target="https://old.ukr-mobil.com/ehlektroskuter_new_vespa_1500w_10004556" TargetMode="External"/><Relationship Id="rId_hyperlink_6949" Type="http://schemas.openxmlformats.org/officeDocument/2006/relationships/hyperlink" Target="https://old.ukr-mobil.com/ehlektroskuter_niuplus_1000w_10004583" TargetMode="External"/><Relationship Id="rId_hyperlink_6950" Type="http://schemas.openxmlformats.org/officeDocument/2006/relationships/hyperlink" Target="https://old.ukr-mobil.com/ehlektroskuter_ttx_2000w_10004538" TargetMode="External"/><Relationship Id="rId_hyperlink_6951" Type="http://schemas.openxmlformats.org/officeDocument/2006/relationships/hyperlink" Target="https://old.ukr-mobil.com/index.php?route=product&amp;product_id=10006157" TargetMode="External"/><Relationship Id="rId_hyperlink_6952" Type="http://schemas.openxmlformats.org/officeDocument/2006/relationships/hyperlink" Target="https://old.ukr-mobil.com/index.php?route=product&amp;product_id=10006158" TargetMode="External"/><Relationship Id="rId_hyperlink_6953" Type="http://schemas.openxmlformats.org/officeDocument/2006/relationships/hyperlink" Target="https://old.ukr-mobil.com/index.php?route=product&amp;product_id=10006166" TargetMode="External"/><Relationship Id="rId_hyperlink_6954" Type="http://schemas.openxmlformats.org/officeDocument/2006/relationships/hyperlink" Target="https://old.ukr-mobil.com/index.php?route=product&amp;product_id=10006165" TargetMode="External"/><Relationship Id="rId_hyperlink_6955" Type="http://schemas.openxmlformats.org/officeDocument/2006/relationships/hyperlink" Target="https://old.ukr-mobil.com/index.php?route=product&amp;product_id=10006160" TargetMode="External"/><Relationship Id="rId_hyperlink_6956" Type="http://schemas.openxmlformats.org/officeDocument/2006/relationships/hyperlink" Target="https://old.ukr-mobil.com/index.php?route=product&amp;product_id=10006159" TargetMode="External"/><Relationship Id="rId_hyperlink_6957" Type="http://schemas.openxmlformats.org/officeDocument/2006/relationships/hyperlink" Target="https://old.ukr-mobil.com/index.php?route=product&amp;product_id=10006163" TargetMode="External"/><Relationship Id="rId_hyperlink_6958" Type="http://schemas.openxmlformats.org/officeDocument/2006/relationships/hyperlink" Target="https://old.ukr-mobil.com/index.php?route=product&amp;product_id=10006164" TargetMode="External"/><Relationship Id="rId_hyperlink_6959" Type="http://schemas.openxmlformats.org/officeDocument/2006/relationships/hyperlink" Target="https://old.ukr-mobil.com/index.php?route=product&amp;product_id=10006162" TargetMode="External"/><Relationship Id="rId_hyperlink_6960" Type="http://schemas.openxmlformats.org/officeDocument/2006/relationships/hyperlink" Target="https://old.ukr-mobil.com/index.php?route=product&amp;product_id=10006169" TargetMode="External"/><Relationship Id="rId_hyperlink_6961" Type="http://schemas.openxmlformats.org/officeDocument/2006/relationships/hyperlink" Target="https://old.ukr-mobil.com/index.php?route=product&amp;product_id=10006154" TargetMode="External"/><Relationship Id="rId_hyperlink_6962" Type="http://schemas.openxmlformats.org/officeDocument/2006/relationships/hyperlink" Target="https://old.ukr-mobil.com/index.php?route=product&amp;product_id=10006155" TargetMode="External"/><Relationship Id="rId_hyperlink_6963" Type="http://schemas.openxmlformats.org/officeDocument/2006/relationships/hyperlink" Target="https://old.ukr-mobil.com/index.php?route=product&amp;product_id=10006156" TargetMode="External"/><Relationship Id="rId_hyperlink_6964" Type="http://schemas.openxmlformats.org/officeDocument/2006/relationships/hyperlink" Target="https://old.ukr-mobil.com/index.php?route=product&amp;product_id=10006161" TargetMode="External"/><Relationship Id="rId_hyperlink_6965" Type="http://schemas.openxmlformats.org/officeDocument/2006/relationships/hyperlink" Target="https://old.ukr-mobil.com/index.php?route=product&amp;product_id=100061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966"/>
  <sheetViews>
    <sheetView tabSelected="1" workbookViewId="0" showGridLines="true" showRowColHeaders="1">
      <selection activeCell="J6966" sqref="J6966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8" customWidth="true" style="0"/>
    <col min="5" max="5" width="10" customWidth="true" style="0"/>
    <col min="6" max="6" width="10" customWidth="true" style="0"/>
    <col min="7" max="7" width="95" customWidth="true" style="0"/>
    <col min="8" max="8" width="15" customWidth="true" style="0"/>
    <col min="9" max="9" width="15" customWidth="true" style="0"/>
    <col min="10" max="10" width="15" customWidth="true" style="0"/>
    <col min="11" max="11" width="8" customWidth="true" style="0"/>
    <col min="12" max="12" width="11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t="s">
        <v>11</v>
      </c>
    </row>
    <row r="2" spans="1:12">
      <c r="A2" s="3"/>
      <c r="B2" s="3"/>
      <c r="C2" s="3"/>
      <c r="D2" s="3"/>
      <c r="E2" s="2" t="str">
        <f>HYPERLINK("https://old.ukr-mobil.com/index.php?route=product&amp;product_id=10005756", "Перейти")</f>
        <v>Перейти</v>
      </c>
      <c r="F2" s="2">
        <v>10005756</v>
      </c>
      <c r="G2" s="4" t="s">
        <v>12</v>
      </c>
      <c r="H2" s="1">
        <v>0</v>
      </c>
      <c r="I2" s="1">
        <v>0</v>
      </c>
      <c r="J2" s="1">
        <v>0</v>
      </c>
      <c r="K2" s="2">
        <v>0.0</v>
      </c>
    </row>
    <row r="3" spans="1:12">
      <c r="A3" s="3"/>
      <c r="B3" s="3"/>
      <c r="C3" s="3"/>
      <c r="D3" s="3"/>
      <c r="E3" s="2" t="str">
        <f>HYPERLINK("https://old.ukr-mobil.com/index.php?route=product&amp;product_id=10005335", "Перейти")</f>
        <v>Перейти</v>
      </c>
      <c r="F3" s="2">
        <v>10005335</v>
      </c>
      <c r="G3" s="4" t="s">
        <v>13</v>
      </c>
      <c r="H3" s="1">
        <v>0</v>
      </c>
      <c r="I3" s="1">
        <v>0</v>
      </c>
      <c r="J3" s="1">
        <v>0</v>
      </c>
      <c r="K3" s="2">
        <v>0.0</v>
      </c>
    </row>
    <row r="4" spans="1:12">
      <c r="A4" s="3"/>
      <c r="B4" s="3"/>
      <c r="C4" s="3"/>
      <c r="D4" s="3"/>
      <c r="E4" s="2" t="str">
        <f>HYPERLINK("https://old.ukr-mobil.com/index.php?route=product&amp;product_id=10005495", "Перейти")</f>
        <v>Перейти</v>
      </c>
      <c r="F4" s="2">
        <v>10005495</v>
      </c>
      <c r="G4" s="4" t="s">
        <v>14</v>
      </c>
      <c r="H4" s="1">
        <v>0</v>
      </c>
      <c r="I4" s="1">
        <v>0</v>
      </c>
      <c r="J4" s="1">
        <v>0</v>
      </c>
      <c r="K4" s="2">
        <v>0.0</v>
      </c>
    </row>
    <row r="5" spans="1:12">
      <c r="A5" s="3"/>
      <c r="B5" s="3"/>
      <c r="C5" s="3"/>
      <c r="D5" s="3"/>
      <c r="E5" s="2" t="str">
        <f>HYPERLINK("https://old.ukr-mobil.com/index.php?route=product&amp;product_id=10005318", "Перейти")</f>
        <v>Перейти</v>
      </c>
      <c r="F5" s="2">
        <v>10005318</v>
      </c>
      <c r="G5" s="4" t="s">
        <v>15</v>
      </c>
      <c r="H5" s="1">
        <v>0</v>
      </c>
      <c r="I5" s="1">
        <v>0</v>
      </c>
      <c r="J5" s="1">
        <v>0</v>
      </c>
      <c r="K5" s="2">
        <v>0.0</v>
      </c>
    </row>
    <row r="6" spans="1:12">
      <c r="A6" s="3"/>
      <c r="B6" s="3"/>
      <c r="C6" s="3"/>
      <c r="D6" s="3"/>
      <c r="E6" s="2" t="str">
        <f>HYPERLINK("https://old.ukr-mobil.com/index.php?route=product&amp;product_id=10005279", "Перейти")</f>
        <v>Перейти</v>
      </c>
      <c r="F6" s="2">
        <v>10005279</v>
      </c>
      <c r="G6" s="4" t="s">
        <v>16</v>
      </c>
      <c r="H6" s="1">
        <v>0</v>
      </c>
      <c r="I6" s="1">
        <v>0</v>
      </c>
      <c r="J6" s="1">
        <v>0</v>
      </c>
      <c r="K6" s="2">
        <v>0.0</v>
      </c>
    </row>
    <row r="7" spans="1:12">
      <c r="A7" s="3"/>
      <c r="B7" s="3"/>
      <c r="C7" s="3"/>
      <c r="D7" s="3"/>
      <c r="E7" s="2" t="str">
        <f>HYPERLINK("https://old.ukr-mobil.com/index.php?route=product&amp;product_id=10005788", "Перейти")</f>
        <v>Перейти</v>
      </c>
      <c r="F7" s="2">
        <v>10005788</v>
      </c>
      <c r="G7" s="4" t="s">
        <v>17</v>
      </c>
      <c r="H7" s="1">
        <v>0</v>
      </c>
      <c r="I7" s="1">
        <v>0</v>
      </c>
      <c r="J7" s="1">
        <v>0</v>
      </c>
      <c r="K7" s="2">
        <v>0.0</v>
      </c>
    </row>
    <row r="8" spans="1:12">
      <c r="A8" s="3"/>
      <c r="B8" s="3"/>
      <c r="C8" s="3"/>
      <c r="D8" s="3"/>
      <c r="E8" s="2" t="str">
        <f>HYPERLINK("https://old.ukr-mobil.com/index.php?route=product&amp;product_id=10005317", "Перейти")</f>
        <v>Перейти</v>
      </c>
      <c r="F8" s="2">
        <v>10005317</v>
      </c>
      <c r="G8" s="4" t="s">
        <v>18</v>
      </c>
      <c r="H8" s="1">
        <v>0</v>
      </c>
      <c r="I8" s="1">
        <v>0</v>
      </c>
      <c r="J8" s="1">
        <v>0</v>
      </c>
      <c r="K8" s="2">
        <v>0.0</v>
      </c>
    </row>
    <row r="9" spans="1:12">
      <c r="A9" s="3"/>
      <c r="B9" s="3"/>
      <c r="C9" s="3"/>
      <c r="D9" s="3"/>
      <c r="E9" s="2" t="str">
        <f>HYPERLINK("https://old.ukr-mobil.com/index.php?route=product&amp;product_id=10005948", "Перейти")</f>
        <v>Перейти</v>
      </c>
      <c r="F9" s="2">
        <v>10005948</v>
      </c>
      <c r="G9" s="4" t="s">
        <v>19</v>
      </c>
      <c r="H9" s="1">
        <v>0</v>
      </c>
      <c r="I9" s="1">
        <v>0</v>
      </c>
      <c r="J9" s="1">
        <v>0</v>
      </c>
      <c r="K9" s="2">
        <v>0.0</v>
      </c>
    </row>
    <row r="10" spans="1:12">
      <c r="A10" s="3"/>
      <c r="B10" s="3"/>
      <c r="C10" s="3"/>
      <c r="D10" s="3"/>
      <c r="E10" s="2" t="str">
        <f>HYPERLINK("https://old.ukr-mobil.com/index.php?route=product&amp;product_id=10005947", "Перейти")</f>
        <v>Перейти</v>
      </c>
      <c r="F10" s="2">
        <v>10005947</v>
      </c>
      <c r="G10" s="4" t="s">
        <v>20</v>
      </c>
      <c r="H10" s="1">
        <v>0</v>
      </c>
      <c r="I10" s="1">
        <v>0</v>
      </c>
      <c r="J10" s="1">
        <v>0</v>
      </c>
      <c r="K10" s="2">
        <v>0.0</v>
      </c>
    </row>
    <row r="11" spans="1:12">
      <c r="A11" s="3"/>
      <c r="B11" s="3"/>
      <c r="C11" s="3"/>
      <c r="D11" s="3"/>
      <c r="E11" s="2" t="str">
        <f>HYPERLINK("https://old.ukr-mobil.com/displej_samsung_a525_galaxy_a52_a526_galaxy_a52_5g_s_tachskrinom_s_ramkoj_oled_small_lcd_black_10002332", "Перейти")</f>
        <v>Перейти</v>
      </c>
      <c r="F11" s="2">
        <v>10002332</v>
      </c>
      <c r="G11" s="4" t="s">
        <v>21</v>
      </c>
      <c r="H11" s="1">
        <v>8</v>
      </c>
      <c r="I11" s="1">
        <v>0</v>
      </c>
      <c r="J11" s="1">
        <v>2</v>
      </c>
      <c r="K11" s="2">
        <v>39.5</v>
      </c>
    </row>
    <row r="12" spans="1:12">
      <c r="A12" s="3"/>
      <c r="B12" s="3"/>
      <c r="C12" s="3"/>
      <c r="D12" s="3"/>
      <c r="E12" s="2" t="str">
        <f>HYPERLINK("https://old.ukr-mobil.com/displej_samsung_m526_galaxy_m52_s_tachskrinom_incell_black_10002333", "Перейти")</f>
        <v>Перейти</v>
      </c>
      <c r="F12" s="2">
        <v>10002333</v>
      </c>
      <c r="G12" s="4" t="s">
        <v>22</v>
      </c>
      <c r="H12" s="1">
        <v>1</v>
      </c>
      <c r="I12" s="1">
        <v>0</v>
      </c>
      <c r="J12" s="1">
        <v>1</v>
      </c>
      <c r="K12" s="2">
        <v>35.0</v>
      </c>
    </row>
    <row r="13" spans="1:12">
      <c r="A13" s="3"/>
      <c r="B13" s="3"/>
      <c r="C13" s="3"/>
      <c r="D13" s="3"/>
      <c r="E13" s="2" t="str">
        <f>HYPERLINK("https://old.ukr-mobil.com/index.php?route=product&amp;product_id=10005176", "Перейти")</f>
        <v>Перейти</v>
      </c>
      <c r="F13" s="2">
        <v>10005176</v>
      </c>
      <c r="G13" s="4" t="s">
        <v>23</v>
      </c>
      <c r="H13" s="1">
        <v>0</v>
      </c>
      <c r="I13" s="1">
        <v>0</v>
      </c>
      <c r="J13" s="1">
        <v>0</v>
      </c>
      <c r="K13" s="2">
        <v>12.65</v>
      </c>
    </row>
    <row r="14" spans="1:12">
      <c r="A14" s="3"/>
      <c r="B14" s="3"/>
      <c r="C14" s="3"/>
      <c r="D14" s="3"/>
      <c r="E14" s="2" t="str">
        <f>HYPERLINK("https://old.ukr-mobil.com/index.php?route=product&amp;product_id=10006228", "Перейти")</f>
        <v>Перейти</v>
      </c>
      <c r="F14" s="2">
        <v>10006228</v>
      </c>
      <c r="G14" s="4" t="s">
        <v>24</v>
      </c>
      <c r="H14" s="1">
        <v>50</v>
      </c>
      <c r="I14" s="1">
        <v>0</v>
      </c>
      <c r="J14" s="1">
        <v>0</v>
      </c>
      <c r="K14" s="2">
        <v>50.0</v>
      </c>
    </row>
    <row r="15" spans="1:12">
      <c r="A15" s="3"/>
      <c r="B15" s="3"/>
      <c r="C15" s="3"/>
      <c r="D15" s="3"/>
      <c r="E15" s="2" t="str">
        <f>HYPERLINK("https://old.ukr-mobil.com/index.php?route=product&amp;product_id=10006084", "Перейти")</f>
        <v>Перейти</v>
      </c>
      <c r="F15" s="2">
        <v>10006084</v>
      </c>
      <c r="G15" s="4" t="s">
        <v>25</v>
      </c>
      <c r="H15" s="1">
        <v>0</v>
      </c>
      <c r="I15" s="1">
        <v>0</v>
      </c>
      <c r="J15" s="1">
        <v>0</v>
      </c>
      <c r="K15" s="2">
        <v>0.0</v>
      </c>
    </row>
    <row r="16" spans="1:12">
      <c r="A16" s="3"/>
      <c r="B16" s="3"/>
      <c r="C16" s="3"/>
      <c r="D16" s="3"/>
      <c r="E16" s="2" t="str">
        <f>HYPERLINK("https://old.ukr-mobil.com/kur_rska_dostavka_m_lv_v_10003088", "Перейти")</f>
        <v>Перейти</v>
      </c>
      <c r="F16" s="2">
        <v>10003088</v>
      </c>
      <c r="G16" s="4" t="s">
        <v>26</v>
      </c>
      <c r="H16" s="1">
        <v>0</v>
      </c>
      <c r="I16" s="1">
        <v>0</v>
      </c>
      <c r="J16" s="1">
        <v>445</v>
      </c>
      <c r="K16" s="2">
        <v>1.0</v>
      </c>
    </row>
    <row r="17" spans="1:12">
      <c r="A17" s="3"/>
      <c r="B17" s="3"/>
      <c r="C17" s="3"/>
      <c r="D17" s="3"/>
      <c r="E17" s="2" t="str">
        <f>HYPERLINK("https://old.ukr-mobil.com/index.php?route=product&amp;product_id=10004648", "Перейти")</f>
        <v>Перейти</v>
      </c>
      <c r="F17" s="2">
        <v>10004648</v>
      </c>
      <c r="G17" s="4" t="s">
        <v>27</v>
      </c>
      <c r="H17" s="1">
        <v>0</v>
      </c>
      <c r="I17" s="1">
        <v>85</v>
      </c>
      <c r="J17" s="1">
        <v>0</v>
      </c>
      <c r="K17" s="2">
        <v>1.31</v>
      </c>
    </row>
    <row r="18" spans="1:12">
      <c r="A18" s="3"/>
      <c r="B18" s="3"/>
      <c r="C18" s="3"/>
      <c r="D18" s="3"/>
      <c r="E18" s="2" t="str">
        <f>HYPERLINK("https://old.ukr-mobil.com/kur_rska_dostavka_10002259", "Перейти")</f>
        <v>Перейти</v>
      </c>
      <c r="F18" s="2">
        <v>10002259</v>
      </c>
      <c r="G18" s="4" t="s">
        <v>28</v>
      </c>
      <c r="H18" s="1">
        <v>788</v>
      </c>
      <c r="I18" s="1">
        <v>8</v>
      </c>
      <c r="J18" s="1">
        <v>666</v>
      </c>
      <c r="K18" s="2">
        <v>1.35</v>
      </c>
    </row>
    <row r="19" spans="1:12">
      <c r="A19" s="3"/>
      <c r="B19" s="3"/>
      <c r="C19" s="3"/>
      <c r="D19" s="3"/>
      <c r="E19" s="2" t="str">
        <f>HYPERLINK("https://old.ukr-mobil.com/index.php?route=product&amp;product_id=10005864", "Перейти")</f>
        <v>Перейти</v>
      </c>
      <c r="F19" s="2">
        <v>10005864</v>
      </c>
      <c r="G19" s="4" t="s">
        <v>29</v>
      </c>
      <c r="H19" s="1">
        <v>0</v>
      </c>
      <c r="I19" s="1">
        <v>0</v>
      </c>
      <c r="J19" s="1">
        <v>0</v>
      </c>
      <c r="K19" s="2">
        <v>0.0</v>
      </c>
    </row>
    <row r="20" spans="1:12">
      <c r="A20" s="3"/>
      <c r="B20" s="3"/>
      <c r="C20" s="3"/>
      <c r="D20" s="3"/>
      <c r="E20" s="2" t="str">
        <f>HYPERLINK("https://old.ukr-mobil.com/index.php?route=product&amp;product_id=10005544", "Перейти")</f>
        <v>Перейти</v>
      </c>
      <c r="F20" s="2">
        <v>10005544</v>
      </c>
      <c r="G20" s="4" t="s">
        <v>30</v>
      </c>
      <c r="H20" s="1">
        <v>0</v>
      </c>
      <c r="I20" s="1">
        <v>0</v>
      </c>
      <c r="J20" s="1">
        <v>0</v>
      </c>
      <c r="K20" s="2">
        <v>0.0</v>
      </c>
    </row>
    <row r="21" spans="1:12">
      <c r="A21" s="3"/>
      <c r="B21" s="3"/>
      <c r="C21" s="3"/>
      <c r="D21" s="3"/>
      <c r="E21" s="2" t="str">
        <f>HYPERLINK("https://old.ukr-mobil.com/index.php?route=product&amp;product_id=10005518", "Перейти")</f>
        <v>Перейти</v>
      </c>
      <c r="F21" s="2">
        <v>10005518</v>
      </c>
      <c r="G21" s="4" t="s">
        <v>31</v>
      </c>
      <c r="H21" s="1">
        <v>0</v>
      </c>
      <c r="I21" s="1">
        <v>0</v>
      </c>
      <c r="J21" s="1">
        <v>0</v>
      </c>
      <c r="K21" s="2">
        <v>0.0</v>
      </c>
    </row>
    <row r="22" spans="1:12">
      <c r="A22" s="3"/>
      <c r="B22" s="3"/>
      <c r="C22" s="3"/>
      <c r="D22" s="3"/>
      <c r="E22" s="2" t="str">
        <f>HYPERLINK("https://old.ukr-mobil.com/sensor_tachskrin_huawei_mediapad_m5_lite_10_bah2-l09_bah2-w19_s_oca_plenkoj_original_prc_white_10004056", "Перейти")</f>
        <v>Перейти</v>
      </c>
      <c r="F22" s="2">
        <v>10004056</v>
      </c>
      <c r="G22" s="4" t="s">
        <v>32</v>
      </c>
      <c r="H22" s="1">
        <v>3</v>
      </c>
      <c r="I22" s="1">
        <v>2</v>
      </c>
      <c r="J22" s="1">
        <v>3</v>
      </c>
      <c r="K22" s="2">
        <v>6.0</v>
      </c>
    </row>
    <row r="23" spans="1:12">
      <c r="A23" s="3"/>
      <c r="B23" s="3"/>
      <c r="C23" s="3"/>
      <c r="D23" s="3"/>
      <c r="E23" s="2" t="str">
        <f>HYPERLINK("https://old.ukr-mobil.com/steklo_displeya_samsung_t220_galaxy_tab_a7_lite_wi-fi_s_oca_plenkoj_original_white_10004049", "Перейти")</f>
        <v>Перейти</v>
      </c>
      <c r="F23" s="2">
        <v>10004049</v>
      </c>
      <c r="G23" s="4" t="s">
        <v>33</v>
      </c>
      <c r="H23" s="1">
        <v>1</v>
      </c>
      <c r="I23" s="1">
        <v>3</v>
      </c>
      <c r="J23" s="1">
        <v>3</v>
      </c>
      <c r="K23" s="2">
        <v>2.0</v>
      </c>
    </row>
    <row r="24" spans="1:12">
      <c r="A24" s="3"/>
      <c r="B24" s="3"/>
      <c r="C24" s="3"/>
      <c r="D24" s="3"/>
      <c r="E24" s="2" t="str">
        <f>HYPERLINK("https://old.ukr-mobil.com/index.php?route=product&amp;product_id=10005228", "Перейти")</f>
        <v>Перейти</v>
      </c>
      <c r="F24" s="2">
        <v>10005228</v>
      </c>
      <c r="G24" s="4" t="s">
        <v>34</v>
      </c>
      <c r="H24" s="1">
        <v>0</v>
      </c>
      <c r="I24" s="1">
        <v>0</v>
      </c>
      <c r="J24" s="1">
        <v>0</v>
      </c>
      <c r="K24" s="2">
        <v>0.0</v>
      </c>
    </row>
    <row r="25" spans="1:12">
      <c r="A25" s="3"/>
      <c r="B25" s="3"/>
      <c r="C25" s="3"/>
      <c r="D25" s="3"/>
      <c r="E25" s="2" t="str">
        <f>HYPERLINK("https://old.ukr-mobil.com/index.php?route=product&amp;product_id=10005833", "Перейти")</f>
        <v>Перейти</v>
      </c>
      <c r="F25" s="2">
        <v>10005833</v>
      </c>
      <c r="G25" s="4" t="s">
        <v>35</v>
      </c>
      <c r="H25" s="1">
        <v>0</v>
      </c>
      <c r="I25" s="1">
        <v>0</v>
      </c>
      <c r="J25" s="1">
        <v>0</v>
      </c>
      <c r="K25" s="2">
        <v>0.0</v>
      </c>
    </row>
    <row r="26" spans="1:12">
      <c r="A26" s="3" t="s">
        <v>36</v>
      </c>
      <c r="B26" s="3" t="s">
        <v>37</v>
      </c>
      <c r="C26" s="3"/>
      <c r="D26" s="3"/>
      <c r="E26" s="2" t="str">
        <f>HYPERLINK("https://old.ukr-mobil.com/type-c_hab_baseus_acmejoy_7-port_type-c_hub_adapter_wkjz010413_hdmi_60_hz_4k_2husb_3_0_1husb_2_0_1xtype-c_pd_1xsd_1xtf_gray_10003452", "Перейти")</f>
        <v>Перейти</v>
      </c>
      <c r="F26" s="2">
        <v>10003452</v>
      </c>
      <c r="G26" s="4" t="s">
        <v>38</v>
      </c>
      <c r="H26" s="1">
        <v>8</v>
      </c>
      <c r="I26" s="1">
        <v>2</v>
      </c>
      <c r="J26" s="1">
        <v>4</v>
      </c>
      <c r="K26" s="2">
        <v>31.0</v>
      </c>
    </row>
    <row r="27" spans="1:12">
      <c r="A27" s="3" t="s">
        <v>36</v>
      </c>
      <c r="B27" s="3" t="s">
        <v>37</v>
      </c>
      <c r="C27" s="3"/>
      <c r="D27" s="3"/>
      <c r="E27" s="2" t="str">
        <f>HYPERLINK("https://old.ukr-mobil.com/type-c_hab_baseus_airjoy_5-port_type-c_hub_adapter_wkqx040001_hdmi_60_hz_4k_3husb_3_0_1xtype-c_pd_black_10003453", "Перейти")</f>
        <v>Перейти</v>
      </c>
      <c r="F27" s="2">
        <v>10003453</v>
      </c>
      <c r="G27" s="4" t="s">
        <v>39</v>
      </c>
      <c r="H27" s="1">
        <v>0</v>
      </c>
      <c r="I27" s="1">
        <v>0</v>
      </c>
      <c r="J27" s="1">
        <v>0</v>
      </c>
      <c r="K27" s="2">
        <v>16.5</v>
      </c>
    </row>
    <row r="28" spans="1:12">
      <c r="A28" s="3" t="s">
        <v>36</v>
      </c>
      <c r="B28" s="3" t="s">
        <v>37</v>
      </c>
      <c r="C28" s="3"/>
      <c r="D28" s="3"/>
      <c r="E28" s="2" t="str">
        <f>HYPERLINK("https://old.ukr-mobil.com/type-c_hab_baseus_starjoy_4-port_type-c_hub_adapter_wkwg070013_4husb_3_0_1xtype-c_gray_10003450", "Перейти")</f>
        <v>Перейти</v>
      </c>
      <c r="F28" s="2">
        <v>10003450</v>
      </c>
      <c r="G28" s="4" t="s">
        <v>40</v>
      </c>
      <c r="H28" s="1">
        <v>3</v>
      </c>
      <c r="I28" s="1">
        <v>5</v>
      </c>
      <c r="J28" s="1">
        <v>3</v>
      </c>
      <c r="K28" s="2">
        <v>16.5</v>
      </c>
    </row>
    <row r="29" spans="1:12">
      <c r="A29" s="3" t="s">
        <v>36</v>
      </c>
      <c r="B29" s="3" t="s">
        <v>37</v>
      </c>
      <c r="C29" s="3"/>
      <c r="D29" s="3"/>
      <c r="E29" s="2" t="str">
        <f>HYPERLINK("https://old.ukr-mobil.com/type-c_hab_baseus_starjoy_6-port_type-c_hub_adapter_wkwg080013_hdmi_60_hz_4k_3husb_3_0_1xtype-c_pd_rj45_lan_gray_10003451", "Перейти")</f>
        <v>Перейти</v>
      </c>
      <c r="F29" s="2">
        <v>10003451</v>
      </c>
      <c r="G29" s="4" t="s">
        <v>41</v>
      </c>
      <c r="H29" s="1">
        <v>0</v>
      </c>
      <c r="I29" s="1">
        <v>4</v>
      </c>
      <c r="J29" s="1">
        <v>2</v>
      </c>
      <c r="K29" s="2">
        <v>32.0</v>
      </c>
    </row>
    <row r="30" spans="1:12">
      <c r="A30" s="3" t="s">
        <v>36</v>
      </c>
      <c r="B30" s="3" t="s">
        <v>37</v>
      </c>
      <c r="C30" s="3"/>
      <c r="D30" s="3"/>
      <c r="E30" s="2" t="str">
        <f>HYPERLINK("https://old.ukr-mobil.com/type-c_hab_baseus_starjoy_8-port_type-c_hub_adapter_wkwg050013_hdmi_30_hz_4k_1xvga_3husb_3_0_1xtype-c_pd_1xsd_1xtf_gray_10003465", "Перейти")</f>
        <v>Перейти</v>
      </c>
      <c r="F30" s="2">
        <v>10003465</v>
      </c>
      <c r="G30" s="4" t="s">
        <v>42</v>
      </c>
      <c r="H30" s="1">
        <v>1</v>
      </c>
      <c r="I30" s="1">
        <v>2</v>
      </c>
      <c r="J30" s="1">
        <v>0</v>
      </c>
      <c r="K30" s="2">
        <v>32.0</v>
      </c>
    </row>
    <row r="31" spans="1:12">
      <c r="A31" s="3" t="s">
        <v>36</v>
      </c>
      <c r="B31" s="3" t="s">
        <v>37</v>
      </c>
      <c r="C31" s="3"/>
      <c r="D31" s="3"/>
      <c r="E31" s="2" t="str">
        <f>HYPERLINK("https://old.ukr-mobil.com/adapter_type-c_baseus_airjoy_rj45_lan_port_wkqx000201_rj45_lan_black_10003454", "Перейти")</f>
        <v>Перейти</v>
      </c>
      <c r="F31" s="2">
        <v>10003454</v>
      </c>
      <c r="G31" s="4" t="s">
        <v>43</v>
      </c>
      <c r="H31" s="1">
        <v>0</v>
      </c>
      <c r="I31" s="1">
        <v>0</v>
      </c>
      <c r="J31" s="1">
        <v>0</v>
      </c>
      <c r="K31" s="2">
        <v>10.5</v>
      </c>
    </row>
    <row r="32" spans="1:12">
      <c r="A32" s="3" t="s">
        <v>36</v>
      </c>
      <c r="B32" s="3" t="s">
        <v>37</v>
      </c>
      <c r="C32" s="3"/>
      <c r="D32" s="3"/>
      <c r="E32" s="2" t="str">
        <f>HYPERLINK("https://old.ukr-mobil.com/adapter_usb-a_baseus_airjoy_rj45_lan_port_wkqx000001_rj45_lan_black_10003466", "Перейти")</f>
        <v>Перейти</v>
      </c>
      <c r="F32" s="2">
        <v>10003466</v>
      </c>
      <c r="G32" s="4" t="s">
        <v>44</v>
      </c>
      <c r="H32" s="1">
        <v>6</v>
      </c>
      <c r="I32" s="1">
        <v>2</v>
      </c>
      <c r="J32" s="1">
        <v>0</v>
      </c>
      <c r="K32" s="2">
        <v>9.5</v>
      </c>
    </row>
    <row r="33" spans="1:12">
      <c r="A33" s="3" t="s">
        <v>36</v>
      </c>
      <c r="B33" s="3" t="s">
        <v>45</v>
      </c>
      <c r="C33" s="3" t="s">
        <v>46</v>
      </c>
      <c r="D33" s="3"/>
      <c r="E33" s="2" t="str">
        <f>HYPERLINK("https://old.ukr-mobil.com/avtomobilnoe_zaryadnoe_ustrojstvo_moxom_kc-12_2usb_qc_3_0_3_4a_v_komplekte_kabel_lightning_10001636", "Перейти")</f>
        <v>Перейти</v>
      </c>
      <c r="F33" s="2">
        <v>10001636</v>
      </c>
      <c r="G33" s="4" t="s">
        <v>47</v>
      </c>
      <c r="H33" s="1">
        <v>37</v>
      </c>
      <c r="I33" s="1">
        <v>23</v>
      </c>
      <c r="J33" s="1">
        <v>22</v>
      </c>
      <c r="K33" s="2">
        <v>3.0</v>
      </c>
    </row>
    <row r="34" spans="1:12">
      <c r="A34" s="3" t="s">
        <v>36</v>
      </c>
      <c r="B34" s="3" t="s">
        <v>45</v>
      </c>
      <c r="C34" s="3" t="s">
        <v>46</v>
      </c>
      <c r="D34" s="3"/>
      <c r="E34" s="2" t="str">
        <f>HYPERLINK("https://old.ukr-mobil.com/avtomobilnoe_zaryadnoe_ustrojstvo_moxom_kc-12_2usb_qc_3_0_3_4a_v_komplekte_kabel_micro_usb_10001635", "Перейти")</f>
        <v>Перейти</v>
      </c>
      <c r="F34" s="2">
        <v>10001635</v>
      </c>
      <c r="G34" s="4" t="s">
        <v>48</v>
      </c>
      <c r="H34" s="1">
        <v>40</v>
      </c>
      <c r="I34" s="1">
        <v>24</v>
      </c>
      <c r="J34" s="1">
        <v>23</v>
      </c>
      <c r="K34" s="2">
        <v>2.9</v>
      </c>
    </row>
    <row r="35" spans="1:12">
      <c r="A35" s="3" t="s">
        <v>36</v>
      </c>
      <c r="B35" s="3" t="s">
        <v>45</v>
      </c>
      <c r="C35" s="3" t="s">
        <v>46</v>
      </c>
      <c r="D35" s="3"/>
      <c r="E35" s="2" t="str">
        <f>HYPERLINK("https://old.ukr-mobil.com/avtomobilnoe_zaryadnoe_ustrojstvo_moxom_kc-12_2usb_qc_3_0_3_4a_v_komplekte_kabel_type-c_10001637", "Перейти")</f>
        <v>Перейти</v>
      </c>
      <c r="F35" s="2">
        <v>10001637</v>
      </c>
      <c r="G35" s="4" t="s">
        <v>49</v>
      </c>
      <c r="H35" s="1">
        <v>30</v>
      </c>
      <c r="I35" s="1">
        <v>24</v>
      </c>
      <c r="J35" s="1">
        <v>20</v>
      </c>
      <c r="K35" s="2">
        <v>3.0</v>
      </c>
    </row>
    <row r="36" spans="1:12">
      <c r="A36" s="3" t="s">
        <v>36</v>
      </c>
      <c r="B36" s="3" t="s">
        <v>45</v>
      </c>
      <c r="C36" s="3" t="s">
        <v>46</v>
      </c>
      <c r="D36" s="3"/>
      <c r="E36" s="2" t="str">
        <f>HYPERLINK("https://old.ukr-mobil.com/avtomobilnoe_zaryadnoe_ustrojstvo_moxom_kc-13_2usb_qc_3_0_3_0a_v_komplekte_kabel_lightning_10001638", "Перейти")</f>
        <v>Перейти</v>
      </c>
      <c r="F36" s="2">
        <v>10001638</v>
      </c>
      <c r="G36" s="4" t="s">
        <v>50</v>
      </c>
      <c r="H36" s="1">
        <v>38</v>
      </c>
      <c r="I36" s="1">
        <v>21</v>
      </c>
      <c r="J36" s="1">
        <v>18</v>
      </c>
      <c r="K36" s="2">
        <v>5.0</v>
      </c>
    </row>
    <row r="37" spans="1:12">
      <c r="A37" s="3" t="s">
        <v>36</v>
      </c>
      <c r="B37" s="3" t="s">
        <v>45</v>
      </c>
      <c r="C37" s="3" t="s">
        <v>46</v>
      </c>
      <c r="D37" s="3"/>
      <c r="E37" s="2" t="str">
        <f>HYPERLINK("https://old.ukr-mobil.com/avtomobilnoe_zaryadnoe_ustrojstvo_moxom_kc-13_2usb_qc_3_0_3_0a_v_komplekte_kabel_micro_usb_10001639", "Перейти")</f>
        <v>Перейти</v>
      </c>
      <c r="F37" s="2">
        <v>10001639</v>
      </c>
      <c r="G37" s="4" t="s">
        <v>51</v>
      </c>
      <c r="H37" s="1">
        <v>40</v>
      </c>
      <c r="I37" s="1">
        <v>21</v>
      </c>
      <c r="J37" s="1">
        <v>20</v>
      </c>
      <c r="K37" s="2">
        <v>5.0</v>
      </c>
    </row>
    <row r="38" spans="1:12">
      <c r="A38" s="3" t="s">
        <v>36</v>
      </c>
      <c r="B38" s="3" t="s">
        <v>45</v>
      </c>
      <c r="C38" s="3" t="s">
        <v>46</v>
      </c>
      <c r="D38" s="3"/>
      <c r="E38" s="2" t="str">
        <f>HYPERLINK("https://old.ukr-mobil.com/avtomobilnoe_zaryadnoe_ustrojstvo_moxom_kc-13_2usb_qc_3_0_3_0a_v_komplekte_kabel_type-c_10001640", "Перейти")</f>
        <v>Перейти</v>
      </c>
      <c r="F38" s="2">
        <v>10001640</v>
      </c>
      <c r="G38" s="4" t="s">
        <v>52</v>
      </c>
      <c r="H38" s="1">
        <v>33</v>
      </c>
      <c r="I38" s="1">
        <v>14</v>
      </c>
      <c r="J38" s="1">
        <v>16</v>
      </c>
      <c r="K38" s="2">
        <v>5.0</v>
      </c>
    </row>
    <row r="39" spans="1:12">
      <c r="A39" s="3" t="s">
        <v>36</v>
      </c>
      <c r="B39" s="3" t="s">
        <v>53</v>
      </c>
      <c r="C39" s="3" t="s">
        <v>54</v>
      </c>
      <c r="D39" s="3"/>
      <c r="E39" s="2" t="str">
        <f>HYPERLINK("https://old.ukr-mobil.com/besprovodnoe_zaryadnoe_ustrojstvo_apple_magsafe_charger_a2140_white_original_prc_10001405", "Перейти")</f>
        <v>Перейти</v>
      </c>
      <c r="F39" s="2">
        <v>10001405</v>
      </c>
      <c r="G39" s="4" t="s">
        <v>55</v>
      </c>
      <c r="H39" s="1">
        <v>42</v>
      </c>
      <c r="I39" s="1">
        <v>4</v>
      </c>
      <c r="J39" s="1">
        <v>0</v>
      </c>
      <c r="K39" s="2">
        <v>5.5</v>
      </c>
    </row>
    <row r="40" spans="1:12">
      <c r="A40" s="3" t="s">
        <v>36</v>
      </c>
      <c r="B40" s="3" t="s">
        <v>53</v>
      </c>
      <c r="C40" s="3" t="s">
        <v>46</v>
      </c>
      <c r="D40" s="3"/>
      <c r="E40" s="2" t="str">
        <f>HYPERLINK("https://old.ukr-mobil.com/besprovodnoe_zaryadnoe_ustrojstvo_moxom_kh-62y_4usb_1_usb-c_qc_3_0_power_delivery_3_0_10001632", "Перейти")</f>
        <v>Перейти</v>
      </c>
      <c r="F40" s="2">
        <v>10001632</v>
      </c>
      <c r="G40" s="4" t="s">
        <v>56</v>
      </c>
      <c r="H40" s="1">
        <v>0</v>
      </c>
      <c r="I40" s="1">
        <v>0</v>
      </c>
      <c r="J40" s="1">
        <v>0</v>
      </c>
      <c r="K40" s="2">
        <v>30.0</v>
      </c>
    </row>
    <row r="41" spans="1:12">
      <c r="A41" s="3" t="s">
        <v>36</v>
      </c>
      <c r="B41" s="3" t="s">
        <v>53</v>
      </c>
      <c r="C41" s="3" t="s">
        <v>46</v>
      </c>
      <c r="D41" s="3"/>
      <c r="E41" s="2" t="str">
        <f>HYPERLINK("https://old.ukr-mobil.com/besprovodnoe_zaryadnoe_ustrojstvo_moxom_mx-hc58_wl_10001631", "Перейти")</f>
        <v>Перейти</v>
      </c>
      <c r="F41" s="2">
        <v>10001631</v>
      </c>
      <c r="G41" s="4" t="s">
        <v>57</v>
      </c>
      <c r="H41" s="1">
        <v>27</v>
      </c>
      <c r="I41" s="1">
        <v>10</v>
      </c>
      <c r="J41" s="1">
        <v>10</v>
      </c>
      <c r="K41" s="2">
        <v>10.0</v>
      </c>
    </row>
    <row r="42" spans="1:12">
      <c r="A42" s="3" t="s">
        <v>36</v>
      </c>
      <c r="B42" s="3" t="s">
        <v>58</v>
      </c>
      <c r="C42" s="3" t="s">
        <v>59</v>
      </c>
      <c r="D42" s="3"/>
      <c r="E42" s="2" t="str">
        <f>HYPERLINK("https://old.ukr-mobil.com/zashchitnoe_steklo_5s_esd_glass_9h_full_glue_dlya_iphone_12_pro_max_v_upakovke_s_salfetkami_10004412", "Перейти")</f>
        <v>Перейти</v>
      </c>
      <c r="F42" s="2">
        <v>10004412</v>
      </c>
      <c r="G42" s="4" t="s">
        <v>60</v>
      </c>
      <c r="H42" s="1">
        <v>9</v>
      </c>
      <c r="I42" s="1">
        <v>3</v>
      </c>
      <c r="J42" s="1">
        <v>0</v>
      </c>
      <c r="K42" s="2">
        <v>3.2</v>
      </c>
    </row>
    <row r="43" spans="1:12">
      <c r="A43" s="3" t="s">
        <v>36</v>
      </c>
      <c r="B43" s="3" t="s">
        <v>58</v>
      </c>
      <c r="C43" s="3" t="s">
        <v>59</v>
      </c>
      <c r="D43" s="3"/>
      <c r="E43" s="2" t="str">
        <f>HYPERLINK("https://old.ukr-mobil.com/zashchitnoe_steklo_5s_esd_glass_9h_full_glue_dlya_iphone_12_iphone_12_pro_v_upakovke_s_salfetkami_10004418", "Перейти")</f>
        <v>Перейти</v>
      </c>
      <c r="F43" s="2">
        <v>10004418</v>
      </c>
      <c r="G43" s="4" t="s">
        <v>61</v>
      </c>
      <c r="H43" s="1">
        <v>20</v>
      </c>
      <c r="I43" s="1">
        <v>7</v>
      </c>
      <c r="J43" s="1">
        <v>5</v>
      </c>
      <c r="K43" s="2">
        <v>3.2</v>
      </c>
    </row>
    <row r="44" spans="1:12">
      <c r="A44" s="3" t="s">
        <v>36</v>
      </c>
      <c r="B44" s="3" t="s">
        <v>58</v>
      </c>
      <c r="C44" s="3" t="s">
        <v>59</v>
      </c>
      <c r="D44" s="3"/>
      <c r="E44" s="2" t="str">
        <f>HYPERLINK("https://old.ukr-mobil.com/zashchitnoe_steklo_5s_esd_glass_9h_full_glue_dlya_iphone_13_pro_max_iphone_14_plus_v_upakovke_s_salfetkami_10004413", "Перейти")</f>
        <v>Перейти</v>
      </c>
      <c r="F44" s="2">
        <v>10004413</v>
      </c>
      <c r="G44" s="4" t="s">
        <v>62</v>
      </c>
      <c r="H44" s="1">
        <v>0</v>
      </c>
      <c r="I44" s="1">
        <v>0</v>
      </c>
      <c r="J44" s="1">
        <v>1</v>
      </c>
      <c r="K44" s="2">
        <v>3.2</v>
      </c>
    </row>
    <row r="45" spans="1:12">
      <c r="A45" s="3" t="s">
        <v>36</v>
      </c>
      <c r="B45" s="3" t="s">
        <v>58</v>
      </c>
      <c r="C45" s="3" t="s">
        <v>59</v>
      </c>
      <c r="D45" s="3"/>
      <c r="E45" s="2" t="str">
        <f>HYPERLINK("https://old.ukr-mobil.com/zashchitnoe_steklo_5s_esd_glass_9h_full_glue_dlya_iphone_13_iphone_13_pro_iphone_14_v_upakovke_s_salfetkami_10004419", "Перейти")</f>
        <v>Перейти</v>
      </c>
      <c r="F45" s="2">
        <v>10004419</v>
      </c>
      <c r="G45" s="4" t="s">
        <v>63</v>
      </c>
      <c r="H45" s="1">
        <v>0</v>
      </c>
      <c r="I45" s="1">
        <v>0</v>
      </c>
      <c r="J45" s="1">
        <v>0</v>
      </c>
      <c r="K45" s="2">
        <v>3.2</v>
      </c>
    </row>
    <row r="46" spans="1:12">
      <c r="A46" s="3" t="s">
        <v>36</v>
      </c>
      <c r="B46" s="3" t="s">
        <v>58</v>
      </c>
      <c r="C46" s="3" t="s">
        <v>59</v>
      </c>
      <c r="D46" s="3"/>
      <c r="E46" s="2" t="str">
        <f>HYPERLINK("https://old.ukr-mobil.com/zashchitnoe_steklo_5s_esd_glass_9h_full_glue_dlya_iphone_14_pro_max_v_upakovke_s_salfetkami_10004414", "Перейти")</f>
        <v>Перейти</v>
      </c>
      <c r="F46" s="2">
        <v>10004414</v>
      </c>
      <c r="G46" s="4" t="s">
        <v>64</v>
      </c>
      <c r="H46" s="1">
        <v>4</v>
      </c>
      <c r="I46" s="1">
        <v>2</v>
      </c>
      <c r="J46" s="1">
        <v>2</v>
      </c>
      <c r="K46" s="2">
        <v>3.2</v>
      </c>
    </row>
    <row r="47" spans="1:12">
      <c r="A47" s="3" t="s">
        <v>36</v>
      </c>
      <c r="B47" s="3" t="s">
        <v>58</v>
      </c>
      <c r="C47" s="3" t="s">
        <v>59</v>
      </c>
      <c r="D47" s="3"/>
      <c r="E47" s="2" t="str">
        <f>HYPERLINK("https://old.ukr-mobil.com/zashchitnoe_steklo_5s_esd_glass_9h_full_glue_dlya_iphone_14_pro_v_upakovke_s_salfetkami_10004420", "Перейти")</f>
        <v>Перейти</v>
      </c>
      <c r="F47" s="2">
        <v>10004420</v>
      </c>
      <c r="G47" s="4" t="s">
        <v>65</v>
      </c>
      <c r="H47" s="1">
        <v>9</v>
      </c>
      <c r="I47" s="1">
        <v>4</v>
      </c>
      <c r="J47" s="1">
        <v>0</v>
      </c>
      <c r="K47" s="2">
        <v>3.2</v>
      </c>
    </row>
    <row r="48" spans="1:12">
      <c r="A48" s="3" t="s">
        <v>36</v>
      </c>
      <c r="B48" s="3" t="s">
        <v>58</v>
      </c>
      <c r="C48" s="3" t="s">
        <v>59</v>
      </c>
      <c r="D48" s="3"/>
      <c r="E48" s="2" t="str">
        <f>HYPERLINK("https://old.ukr-mobil.com/zashchitnoe_steklo_5s_esd_glass_9h_full_glue_dlya_iphone_x_iphone_xs_iphone_11_pro_v_upakovke_s_salfetkami_10004415", "Перейти")</f>
        <v>Перейти</v>
      </c>
      <c r="F48" s="2">
        <v>10004415</v>
      </c>
      <c r="G48" s="4" t="s">
        <v>66</v>
      </c>
      <c r="H48" s="1">
        <v>127</v>
      </c>
      <c r="I48" s="1">
        <v>33</v>
      </c>
      <c r="J48" s="1">
        <v>4</v>
      </c>
      <c r="K48" s="2">
        <v>3.2</v>
      </c>
    </row>
    <row r="49" spans="1:12">
      <c r="A49" s="3" t="s">
        <v>36</v>
      </c>
      <c r="B49" s="3" t="s">
        <v>58</v>
      </c>
      <c r="C49" s="3" t="s">
        <v>59</v>
      </c>
      <c r="D49" s="3"/>
      <c r="E49" s="2" t="str">
        <f>HYPERLINK("https://old.ukr-mobil.com/zashchitnoe_steklo_5s_esd_glass_9h_full_glue_dlya_iphone_xr_iphone_11_v_upakovke_s_salfetkami_10004416", "Перейти")</f>
        <v>Перейти</v>
      </c>
      <c r="F49" s="2">
        <v>10004416</v>
      </c>
      <c r="G49" s="4" t="s">
        <v>67</v>
      </c>
      <c r="H49" s="1">
        <v>137</v>
      </c>
      <c r="I49" s="1">
        <v>20</v>
      </c>
      <c r="J49" s="1">
        <v>0</v>
      </c>
      <c r="K49" s="2">
        <v>3.2</v>
      </c>
    </row>
    <row r="50" spans="1:12">
      <c r="A50" s="3" t="s">
        <v>36</v>
      </c>
      <c r="B50" s="3" t="s">
        <v>58</v>
      </c>
      <c r="C50" s="3" t="s">
        <v>59</v>
      </c>
      <c r="D50" s="3"/>
      <c r="E50" s="2" t="str">
        <f>HYPERLINK("https://old.ukr-mobil.com/zashchitnoe_steklo_5s_esd_glass_9h_full_glue_dlya_iphone_xs_max_iphone_11_pro_max_v_upakovke_s_salfetkami_10004417", "Перейти")</f>
        <v>Перейти</v>
      </c>
      <c r="F50" s="2">
        <v>10004417</v>
      </c>
      <c r="G50" s="4" t="s">
        <v>68</v>
      </c>
      <c r="H50" s="1">
        <v>65</v>
      </c>
      <c r="I50" s="1">
        <v>20</v>
      </c>
      <c r="J50" s="1">
        <v>0</v>
      </c>
      <c r="K50" s="2">
        <v>3.2</v>
      </c>
    </row>
    <row r="51" spans="1:12">
      <c r="A51" s="3" t="s">
        <v>36</v>
      </c>
      <c r="B51" s="3" t="s">
        <v>58</v>
      </c>
      <c r="C51" s="3" t="s">
        <v>69</v>
      </c>
      <c r="D51" s="3"/>
      <c r="E51" s="2" t="str">
        <f>HYPERLINK("https://old.ukr-mobil.com/index.php?route=product&amp;product_id=10005962", "Перейти")</f>
        <v>Перейти</v>
      </c>
      <c r="F51" s="2">
        <v>10005962</v>
      </c>
      <c r="G51" s="4" t="s">
        <v>70</v>
      </c>
      <c r="H51" s="1">
        <v>70</v>
      </c>
      <c r="I51" s="1">
        <v>15</v>
      </c>
      <c r="J51" s="1">
        <v>15</v>
      </c>
      <c r="K51" s="2">
        <v>2.5</v>
      </c>
    </row>
    <row r="52" spans="1:12">
      <c r="A52" s="3" t="s">
        <v>36</v>
      </c>
      <c r="B52" s="3" t="s">
        <v>58</v>
      </c>
      <c r="C52" s="3" t="s">
        <v>69</v>
      </c>
      <c r="D52" s="3"/>
      <c r="E52" s="2" t="str">
        <f>HYPERLINK("https://old.ukr-mobil.com/index.php?route=product&amp;product_id=10005963", "Перейти")</f>
        <v>Перейти</v>
      </c>
      <c r="F52" s="2">
        <v>10005963</v>
      </c>
      <c r="G52" s="4" t="s">
        <v>71</v>
      </c>
      <c r="H52" s="1">
        <v>67</v>
      </c>
      <c r="I52" s="1">
        <v>13</v>
      </c>
      <c r="J52" s="1">
        <v>15</v>
      </c>
      <c r="K52" s="2">
        <v>2.5</v>
      </c>
    </row>
    <row r="53" spans="1:12">
      <c r="A53" s="3" t="s">
        <v>36</v>
      </c>
      <c r="B53" s="3" t="s">
        <v>58</v>
      </c>
      <c r="C53" s="3" t="s">
        <v>69</v>
      </c>
      <c r="D53" s="3"/>
      <c r="E53" s="2" t="str">
        <f>HYPERLINK("https://old.ukr-mobil.com/index.php?route=product&amp;product_id=10005967", "Перейти")</f>
        <v>Перейти</v>
      </c>
      <c r="F53" s="2">
        <v>10005967</v>
      </c>
      <c r="G53" s="4" t="s">
        <v>72</v>
      </c>
      <c r="H53" s="1">
        <v>50</v>
      </c>
      <c r="I53" s="1">
        <v>25</v>
      </c>
      <c r="J53" s="1">
        <v>25</v>
      </c>
      <c r="K53" s="2">
        <v>2.5</v>
      </c>
    </row>
    <row r="54" spans="1:12">
      <c r="A54" s="3" t="s">
        <v>36</v>
      </c>
      <c r="B54" s="3" t="s">
        <v>58</v>
      </c>
      <c r="C54" s="3" t="s">
        <v>69</v>
      </c>
      <c r="D54" s="3"/>
      <c r="E54" s="2" t="str">
        <f>HYPERLINK("https://old.ukr-mobil.com/index.php?route=product&amp;product_id=10005966", "Перейти")</f>
        <v>Перейти</v>
      </c>
      <c r="F54" s="2">
        <v>10005966</v>
      </c>
      <c r="G54" s="4" t="s">
        <v>73</v>
      </c>
      <c r="H54" s="1">
        <v>54</v>
      </c>
      <c r="I54" s="1">
        <v>24</v>
      </c>
      <c r="J54" s="1">
        <v>17</v>
      </c>
      <c r="K54" s="2">
        <v>2.5</v>
      </c>
    </row>
    <row r="55" spans="1:12">
      <c r="A55" s="3" t="s">
        <v>36</v>
      </c>
      <c r="B55" s="3" t="s">
        <v>58</v>
      </c>
      <c r="C55" s="3" t="s">
        <v>69</v>
      </c>
      <c r="D55" s="3"/>
      <c r="E55" s="2" t="str">
        <f>HYPERLINK("https://old.ukr-mobil.com/index.php?route=product&amp;product_id=10005965", "Перейти")</f>
        <v>Перейти</v>
      </c>
      <c r="F55" s="2">
        <v>10005965</v>
      </c>
      <c r="G55" s="4" t="s">
        <v>74</v>
      </c>
      <c r="H55" s="1">
        <v>60</v>
      </c>
      <c r="I55" s="1">
        <v>12</v>
      </c>
      <c r="J55" s="1">
        <v>25</v>
      </c>
      <c r="K55" s="2">
        <v>2.5</v>
      </c>
    </row>
    <row r="56" spans="1:12">
      <c r="A56" s="3" t="s">
        <v>36</v>
      </c>
      <c r="B56" s="3" t="s">
        <v>58</v>
      </c>
      <c r="C56" s="3" t="s">
        <v>69</v>
      </c>
      <c r="D56" s="3"/>
      <c r="E56" s="2" t="str">
        <f>HYPERLINK("https://old.ukr-mobil.com/index.php?route=product&amp;product_id=10005964", "Перейти")</f>
        <v>Перейти</v>
      </c>
      <c r="F56" s="2">
        <v>10005964</v>
      </c>
      <c r="G56" s="4" t="s">
        <v>75</v>
      </c>
      <c r="H56" s="1">
        <v>60</v>
      </c>
      <c r="I56" s="1">
        <v>13</v>
      </c>
      <c r="J56" s="1">
        <v>25</v>
      </c>
      <c r="K56" s="2">
        <v>2.5</v>
      </c>
    </row>
    <row r="57" spans="1:12">
      <c r="A57" s="3" t="s">
        <v>36</v>
      </c>
      <c r="B57" s="3" t="s">
        <v>58</v>
      </c>
      <c r="C57" s="3" t="s">
        <v>69</v>
      </c>
      <c r="D57" s="3"/>
      <c r="E57" s="2" t="str">
        <f>HYPERLINK("https://old.ukr-mobil.com/index.php?route=product&amp;product_id=10006003", "Перейти")</f>
        <v>Перейти</v>
      </c>
      <c r="F57" s="2">
        <v>10006003</v>
      </c>
      <c r="G57" s="4" t="s">
        <v>76</v>
      </c>
      <c r="H57" s="1">
        <v>25</v>
      </c>
      <c r="I57" s="1">
        <v>0</v>
      </c>
      <c r="J57" s="1">
        <v>0</v>
      </c>
      <c r="K57" s="2">
        <v>2.3</v>
      </c>
    </row>
    <row r="58" spans="1:12">
      <c r="A58" s="3" t="s">
        <v>36</v>
      </c>
      <c r="B58" s="3" t="s">
        <v>58</v>
      </c>
      <c r="C58" s="3" t="s">
        <v>69</v>
      </c>
      <c r="D58" s="3"/>
      <c r="E58" s="2" t="str">
        <f>HYPERLINK("https://old.ukr-mobil.com/index.php?route=product&amp;product_id=10006006", "Перейти")</f>
        <v>Перейти</v>
      </c>
      <c r="F58" s="2">
        <v>10006006</v>
      </c>
      <c r="G58" s="4" t="s">
        <v>77</v>
      </c>
      <c r="H58" s="1">
        <v>12</v>
      </c>
      <c r="I58" s="1">
        <v>5</v>
      </c>
      <c r="J58" s="1">
        <v>5</v>
      </c>
      <c r="K58" s="2">
        <v>2.3</v>
      </c>
    </row>
    <row r="59" spans="1:12">
      <c r="A59" s="3" t="s">
        <v>36</v>
      </c>
      <c r="B59" s="3" t="s">
        <v>58</v>
      </c>
      <c r="C59" s="3" t="s">
        <v>69</v>
      </c>
      <c r="D59" s="3"/>
      <c r="E59" s="2" t="str">
        <f>HYPERLINK("https://old.ukr-mobil.com/index.php?route=product&amp;product_id=10006007", "Перейти")</f>
        <v>Перейти</v>
      </c>
      <c r="F59" s="2">
        <v>10006007</v>
      </c>
      <c r="G59" s="4" t="s">
        <v>78</v>
      </c>
      <c r="H59" s="1">
        <v>13</v>
      </c>
      <c r="I59" s="1">
        <v>5</v>
      </c>
      <c r="J59" s="1">
        <v>5</v>
      </c>
      <c r="K59" s="2">
        <v>2.3</v>
      </c>
    </row>
    <row r="60" spans="1:12">
      <c r="A60" s="3" t="s">
        <v>36</v>
      </c>
      <c r="B60" s="3" t="s">
        <v>58</v>
      </c>
      <c r="C60" s="3" t="s">
        <v>69</v>
      </c>
      <c r="D60" s="3"/>
      <c r="E60" s="2" t="str">
        <f>HYPERLINK("https://old.ukr-mobil.com/index.php?route=product&amp;product_id=10006004", "Перейти")</f>
        <v>Перейти</v>
      </c>
      <c r="F60" s="2">
        <v>10006004</v>
      </c>
      <c r="G60" s="4" t="s">
        <v>79</v>
      </c>
      <c r="H60" s="1">
        <v>15</v>
      </c>
      <c r="I60" s="1">
        <v>5</v>
      </c>
      <c r="J60" s="1">
        <v>5</v>
      </c>
      <c r="K60" s="2">
        <v>2.3</v>
      </c>
    </row>
    <row r="61" spans="1:12">
      <c r="A61" s="3" t="s">
        <v>36</v>
      </c>
      <c r="B61" s="3" t="s">
        <v>58</v>
      </c>
      <c r="C61" s="3" t="s">
        <v>69</v>
      </c>
      <c r="D61" s="3"/>
      <c r="E61" s="2" t="str">
        <f>HYPERLINK("https://old.ukr-mobil.com/index.php?route=product&amp;product_id=10006005", "Перейти")</f>
        <v>Перейти</v>
      </c>
      <c r="F61" s="2">
        <v>10006005</v>
      </c>
      <c r="G61" s="4" t="s">
        <v>80</v>
      </c>
      <c r="H61" s="1">
        <v>14</v>
      </c>
      <c r="I61" s="1">
        <v>5</v>
      </c>
      <c r="J61" s="1">
        <v>5</v>
      </c>
      <c r="K61" s="2">
        <v>2.3</v>
      </c>
    </row>
    <row r="62" spans="1:12">
      <c r="A62" s="3" t="s">
        <v>36</v>
      </c>
      <c r="B62" s="3" t="s">
        <v>58</v>
      </c>
      <c r="C62" s="3" t="s">
        <v>69</v>
      </c>
      <c r="D62" s="3"/>
      <c r="E62" s="2" t="str">
        <f>HYPERLINK("https://old.ukr-mobil.com/zashchitnoe_steklo_6d_premium_glass_9h_full_glue_dlya_huawei_p_smart_z_y9_prime_2019_honor_9x_y9s_y9_2020_v_upakovke_s_salfetkami_10004458", "Перейти")</f>
        <v>Перейти</v>
      </c>
      <c r="F62" s="2">
        <v>10004458</v>
      </c>
      <c r="G62" s="4" t="s">
        <v>81</v>
      </c>
      <c r="H62" s="1">
        <v>0</v>
      </c>
      <c r="I62" s="1">
        <v>0</v>
      </c>
      <c r="J62" s="1">
        <v>0</v>
      </c>
      <c r="K62" s="2">
        <v>2.25</v>
      </c>
    </row>
    <row r="63" spans="1:12">
      <c r="A63" s="3" t="s">
        <v>36</v>
      </c>
      <c r="B63" s="3" t="s">
        <v>58</v>
      </c>
      <c r="C63" s="3" t="s">
        <v>69</v>
      </c>
      <c r="D63" s="3"/>
      <c r="E63" s="2" t="str">
        <f>HYPERLINK("https://old.ukr-mobil.com/zashchitnoe_steklo_6d_premium_glass_9h_full_glue_dlya_iphone_11_iphone_xr_v_upakovke_s_salfetkami_10004388", "Перейти")</f>
        <v>Перейти</v>
      </c>
      <c r="F63" s="2">
        <v>10004388</v>
      </c>
      <c r="G63" s="4" t="s">
        <v>82</v>
      </c>
      <c r="H63" s="1">
        <v>0</v>
      </c>
      <c r="I63" s="1">
        <v>4</v>
      </c>
      <c r="J63" s="1">
        <v>1</v>
      </c>
      <c r="K63" s="2">
        <v>2.25</v>
      </c>
    </row>
    <row r="64" spans="1:12">
      <c r="A64" s="3" t="s">
        <v>36</v>
      </c>
      <c r="B64" s="3" t="s">
        <v>58</v>
      </c>
      <c r="C64" s="3" t="s">
        <v>69</v>
      </c>
      <c r="D64" s="3"/>
      <c r="E64" s="2" t="str">
        <f>HYPERLINK("https://old.ukr-mobil.com/zashchitnoe_steklo_6d_premium_glass_9h_full_glue_dlya_iphone_12_pro_max_v_upakovke_s_salfetkami_10004390", "Перейти")</f>
        <v>Перейти</v>
      </c>
      <c r="F64" s="2">
        <v>10004390</v>
      </c>
      <c r="G64" s="4" t="s">
        <v>83</v>
      </c>
      <c r="H64" s="1">
        <v>29</v>
      </c>
      <c r="I64" s="1">
        <v>3</v>
      </c>
      <c r="J64" s="1">
        <v>0</v>
      </c>
      <c r="K64" s="2">
        <v>2.25</v>
      </c>
    </row>
    <row r="65" spans="1:12">
      <c r="A65" s="3" t="s">
        <v>36</v>
      </c>
      <c r="B65" s="3" t="s">
        <v>58</v>
      </c>
      <c r="C65" s="3" t="s">
        <v>69</v>
      </c>
      <c r="D65" s="3"/>
      <c r="E65" s="2" t="str">
        <f>HYPERLINK("https://old.ukr-mobil.com/zashchitnoe_steklo_6d_premium_glass_9h_full_glue_dlya_iphone_12_iphone_12_pro_v_upakovke_s_salfetkami_10004389", "Перейти")</f>
        <v>Перейти</v>
      </c>
      <c r="F65" s="2">
        <v>10004389</v>
      </c>
      <c r="G65" s="4" t="s">
        <v>84</v>
      </c>
      <c r="H65" s="1">
        <v>0</v>
      </c>
      <c r="I65" s="1">
        <v>0</v>
      </c>
      <c r="J65" s="1">
        <v>1</v>
      </c>
      <c r="K65" s="2">
        <v>2.25</v>
      </c>
    </row>
    <row r="66" spans="1:12">
      <c r="A66" s="3" t="s">
        <v>36</v>
      </c>
      <c r="B66" s="3" t="s">
        <v>58</v>
      </c>
      <c r="C66" s="3" t="s">
        <v>69</v>
      </c>
      <c r="D66" s="3"/>
      <c r="E66" s="2" t="str">
        <f>HYPERLINK("https://old.ukr-mobil.com/zashchitnoe_steklo_6d_premium_glass_9h_full_glue_dlya_iphone_13_pro_max_iphone_14_plus_v_upakovke_s_salfetkami_10004391", "Перейти")</f>
        <v>Перейти</v>
      </c>
      <c r="F66" s="2">
        <v>10004391</v>
      </c>
      <c r="G66" s="4" t="s">
        <v>85</v>
      </c>
      <c r="H66" s="1">
        <v>0</v>
      </c>
      <c r="I66" s="1">
        <v>1</v>
      </c>
      <c r="J66" s="1">
        <v>0</v>
      </c>
      <c r="K66" s="2">
        <v>2.5</v>
      </c>
    </row>
    <row r="67" spans="1:12">
      <c r="A67" s="3" t="s">
        <v>36</v>
      </c>
      <c r="B67" s="3" t="s">
        <v>58</v>
      </c>
      <c r="C67" s="3" t="s">
        <v>69</v>
      </c>
      <c r="D67" s="3"/>
      <c r="E67" s="2" t="str">
        <f>HYPERLINK("https://old.ukr-mobil.com/zashchitnoe_steklo_6d_premium_glass_9h_full_glue_dlya_iphone_13_iphone_13_pro_iphone_14_v_upakovke_s_salfetkami_10004377", "Перейти")</f>
        <v>Перейти</v>
      </c>
      <c r="F67" s="2">
        <v>10004377</v>
      </c>
      <c r="G67" s="4" t="s">
        <v>86</v>
      </c>
      <c r="H67" s="1">
        <v>47</v>
      </c>
      <c r="I67" s="1">
        <v>17</v>
      </c>
      <c r="J67" s="1">
        <v>25</v>
      </c>
      <c r="K67" s="2">
        <v>2.35</v>
      </c>
    </row>
    <row r="68" spans="1:12">
      <c r="A68" s="3" t="s">
        <v>36</v>
      </c>
      <c r="B68" s="3" t="s">
        <v>58</v>
      </c>
      <c r="C68" s="3" t="s">
        <v>69</v>
      </c>
      <c r="D68" s="3"/>
      <c r="E68" s="2" t="str">
        <f>HYPERLINK("https://old.ukr-mobil.com/zashchitnoe_steklo_6d_premium_glass_9h_full_glue_dlya_iphone_14_pro_max_v_upakovke_s_salfetkami_10004392", "Перейти")</f>
        <v>Перейти</v>
      </c>
      <c r="F68" s="2">
        <v>10004392</v>
      </c>
      <c r="G68" s="4" t="s">
        <v>87</v>
      </c>
      <c r="H68" s="1">
        <v>50</v>
      </c>
      <c r="I68" s="1">
        <v>26</v>
      </c>
      <c r="J68" s="1">
        <v>25</v>
      </c>
      <c r="K68" s="2">
        <v>2.3</v>
      </c>
    </row>
    <row r="69" spans="1:12">
      <c r="A69" s="3" t="s">
        <v>36</v>
      </c>
      <c r="B69" s="3" t="s">
        <v>58</v>
      </c>
      <c r="C69" s="3" t="s">
        <v>69</v>
      </c>
      <c r="D69" s="3"/>
      <c r="E69" s="2" t="str">
        <f>HYPERLINK("https://old.ukr-mobil.com/zashchitnoe_steklo_6d_premium_glass_9h_full_glue_dlya_iphone_14_pro_v_upakovke_s_salfetkami_10004378", "Перейти")</f>
        <v>Перейти</v>
      </c>
      <c r="F69" s="2">
        <v>10004378</v>
      </c>
      <c r="G69" s="4" t="s">
        <v>88</v>
      </c>
      <c r="H69" s="1">
        <v>0</v>
      </c>
      <c r="I69" s="1">
        <v>1</v>
      </c>
      <c r="J69" s="1">
        <v>0</v>
      </c>
      <c r="K69" s="2">
        <v>2.25</v>
      </c>
    </row>
    <row r="70" spans="1:12">
      <c r="A70" s="3" t="s">
        <v>36</v>
      </c>
      <c r="B70" s="3" t="s">
        <v>58</v>
      </c>
      <c r="C70" s="3" t="s">
        <v>69</v>
      </c>
      <c r="D70" s="3"/>
      <c r="E70" s="2" t="str">
        <f>HYPERLINK("https://old.ukr-mobil.com/index.php?route=product&amp;product_id=10005961", "Перейти")</f>
        <v>Перейти</v>
      </c>
      <c r="F70" s="2">
        <v>10005961</v>
      </c>
      <c r="G70" s="4" t="s">
        <v>89</v>
      </c>
      <c r="H70" s="1">
        <v>140</v>
      </c>
      <c r="I70" s="1">
        <v>30</v>
      </c>
      <c r="J70" s="1">
        <v>28</v>
      </c>
      <c r="K70" s="2">
        <v>2.5</v>
      </c>
    </row>
    <row r="71" spans="1:12">
      <c r="A71" s="3" t="s">
        <v>36</v>
      </c>
      <c r="B71" s="3" t="s">
        <v>58</v>
      </c>
      <c r="C71" s="3" t="s">
        <v>69</v>
      </c>
      <c r="D71" s="3"/>
      <c r="E71" s="2" t="str">
        <f>HYPERLINK("https://old.ukr-mobil.com/zashchitnoe_steklo_6d_premium_glass_9h_full_glue_dlya_iphone_6_plus_iphone_6s_plus_v_upakovke_s_salfetkami_10004386", "Перейти")</f>
        <v>Перейти</v>
      </c>
      <c r="F71" s="2">
        <v>10004386</v>
      </c>
      <c r="G71" s="4" t="s">
        <v>90</v>
      </c>
      <c r="H71" s="1">
        <v>8</v>
      </c>
      <c r="I71" s="1">
        <v>3</v>
      </c>
      <c r="J71" s="1">
        <v>0</v>
      </c>
      <c r="K71" s="2">
        <v>2.25</v>
      </c>
    </row>
    <row r="72" spans="1:12">
      <c r="A72" s="3" t="s">
        <v>36</v>
      </c>
      <c r="B72" s="3" t="s">
        <v>58</v>
      </c>
      <c r="C72" s="3" t="s">
        <v>69</v>
      </c>
      <c r="D72" s="3"/>
      <c r="E72" s="2" t="str">
        <f>HYPERLINK("https://old.ukr-mobil.com/zashchitnoe_steklo_6d_premium_glass_9h_full_glue_dlya_iphone_6_iphone_6s_v_upakovke_s_salfetkami_10004383", "Перейти")</f>
        <v>Перейти</v>
      </c>
      <c r="F72" s="2">
        <v>10004383</v>
      </c>
      <c r="G72" s="4" t="s">
        <v>91</v>
      </c>
      <c r="H72" s="1">
        <v>8</v>
      </c>
      <c r="I72" s="1">
        <v>6</v>
      </c>
      <c r="J72" s="1">
        <v>2</v>
      </c>
      <c r="K72" s="2">
        <v>2.25</v>
      </c>
    </row>
    <row r="73" spans="1:12">
      <c r="A73" s="3" t="s">
        <v>36</v>
      </c>
      <c r="B73" s="3" t="s">
        <v>58</v>
      </c>
      <c r="C73" s="3" t="s">
        <v>69</v>
      </c>
      <c r="D73" s="3"/>
      <c r="E73" s="2" t="str">
        <f>HYPERLINK("https://old.ukr-mobil.com/zashchitnoe_steklo_6d_premium_glass_9h_full_glue_dlya_iphone_7_plus_iphone_8_plus_v_upakovke_s_salfetkami_10004385", "Перейти")</f>
        <v>Перейти</v>
      </c>
      <c r="F73" s="2">
        <v>10004385</v>
      </c>
      <c r="G73" s="4" t="s">
        <v>92</v>
      </c>
      <c r="H73" s="1">
        <v>42</v>
      </c>
      <c r="I73" s="1">
        <v>9</v>
      </c>
      <c r="J73" s="1">
        <v>14</v>
      </c>
      <c r="K73" s="2">
        <v>2.25</v>
      </c>
    </row>
    <row r="74" spans="1:12">
      <c r="A74" s="3" t="s">
        <v>36</v>
      </c>
      <c r="B74" s="3" t="s">
        <v>58</v>
      </c>
      <c r="C74" s="3" t="s">
        <v>69</v>
      </c>
      <c r="D74" s="3"/>
      <c r="E74" s="2" t="str">
        <f>HYPERLINK("https://old.ukr-mobil.com/zashchitnoe_steklo_6d_premium_glass_9h_full_glue_dlya_iphone_7_iphone_8_v_upakovke_s_salfetkami_10004384", "Перейти")</f>
        <v>Перейти</v>
      </c>
      <c r="F74" s="2">
        <v>10004384</v>
      </c>
      <c r="G74" s="4" t="s">
        <v>93</v>
      </c>
      <c r="H74" s="1">
        <v>1</v>
      </c>
      <c r="I74" s="1">
        <v>0</v>
      </c>
      <c r="J74" s="1">
        <v>0</v>
      </c>
      <c r="K74" s="2">
        <v>2.25</v>
      </c>
    </row>
    <row r="75" spans="1:12">
      <c r="A75" s="3" t="s">
        <v>36</v>
      </c>
      <c r="B75" s="3" t="s">
        <v>58</v>
      </c>
      <c r="C75" s="3" t="s">
        <v>69</v>
      </c>
      <c r="D75" s="3"/>
      <c r="E75" s="2" t="str">
        <f>HYPERLINK("https://old.ukr-mobil.com/zashchitnoe_steklo_6d_premium_glass_9h_full_glue_dlya_iphone_x_iphone_xs_iphone_11_pro_v_upakovke_s_salfetkami_10004387", "Перейти")</f>
        <v>Перейти</v>
      </c>
      <c r="F75" s="2">
        <v>10004387</v>
      </c>
      <c r="G75" s="4" t="s">
        <v>94</v>
      </c>
      <c r="H75" s="1">
        <v>47</v>
      </c>
      <c r="I75" s="1">
        <v>7</v>
      </c>
      <c r="J75" s="1">
        <v>1</v>
      </c>
      <c r="K75" s="2">
        <v>2.25</v>
      </c>
    </row>
    <row r="76" spans="1:12">
      <c r="A76" s="3" t="s">
        <v>36</v>
      </c>
      <c r="B76" s="3" t="s">
        <v>58</v>
      </c>
      <c r="C76" s="3" t="s">
        <v>69</v>
      </c>
      <c r="D76" s="3"/>
      <c r="E76" s="2" t="str">
        <f>HYPERLINK("https://old.ukr-mobil.com/zashchitnoe_steklo_6d_premium_glass_9h_full_glue_dlya_iphone_xs_max_iphone_11_pro_max_v_upakovke_s_salfetkami_10004376", "Перейти")</f>
        <v>Перейти</v>
      </c>
      <c r="F76" s="2">
        <v>10004376</v>
      </c>
      <c r="G76" s="4" t="s">
        <v>95</v>
      </c>
      <c r="H76" s="1">
        <v>17</v>
      </c>
      <c r="I76" s="1">
        <v>18</v>
      </c>
      <c r="J76" s="1">
        <v>0</v>
      </c>
      <c r="K76" s="2">
        <v>2.25</v>
      </c>
    </row>
    <row r="77" spans="1:12">
      <c r="A77" s="3" t="s">
        <v>36</v>
      </c>
      <c r="B77" s="3" t="s">
        <v>58</v>
      </c>
      <c r="C77" s="3" t="s">
        <v>69</v>
      </c>
      <c r="D77" s="3"/>
      <c r="E77" s="2" t="str">
        <f>HYPERLINK("https://old.ukr-mobil.com/index.php?route=product&amp;product_id=10005999", "Перейти")</f>
        <v>Перейти</v>
      </c>
      <c r="F77" s="2">
        <v>10005999</v>
      </c>
      <c r="G77" s="4" t="s">
        <v>96</v>
      </c>
      <c r="H77" s="1">
        <v>12</v>
      </c>
      <c r="I77" s="1">
        <v>5</v>
      </c>
      <c r="J77" s="1">
        <v>5</v>
      </c>
      <c r="K77" s="2">
        <v>2.3</v>
      </c>
    </row>
    <row r="78" spans="1:12">
      <c r="A78" s="3" t="s">
        <v>36</v>
      </c>
      <c r="B78" s="3" t="s">
        <v>58</v>
      </c>
      <c r="C78" s="3" t="s">
        <v>69</v>
      </c>
      <c r="D78" s="3"/>
      <c r="E78" s="2" t="str">
        <f>HYPERLINK("https://old.ukr-mobil.com/index.php?route=product&amp;product_id=10006000", "Перейти")</f>
        <v>Перейти</v>
      </c>
      <c r="F78" s="2">
        <v>10006000</v>
      </c>
      <c r="G78" s="4" t="s">
        <v>97</v>
      </c>
      <c r="H78" s="1">
        <v>15</v>
      </c>
      <c r="I78" s="1">
        <v>5</v>
      </c>
      <c r="J78" s="1">
        <v>5</v>
      </c>
      <c r="K78" s="2">
        <v>2.3</v>
      </c>
    </row>
    <row r="79" spans="1:12">
      <c r="A79" s="3" t="s">
        <v>36</v>
      </c>
      <c r="B79" s="3" t="s">
        <v>58</v>
      </c>
      <c r="C79" s="3" t="s">
        <v>69</v>
      </c>
      <c r="D79" s="3"/>
      <c r="E79" s="2" t="str">
        <f>HYPERLINK("https://old.ukr-mobil.com/index.php?route=product&amp;product_id=10006001", "Перейти")</f>
        <v>Перейти</v>
      </c>
      <c r="F79" s="2">
        <v>10006001</v>
      </c>
      <c r="G79" s="4" t="s">
        <v>98</v>
      </c>
      <c r="H79" s="1">
        <v>0</v>
      </c>
      <c r="I79" s="1">
        <v>0</v>
      </c>
      <c r="J79" s="1">
        <v>0</v>
      </c>
      <c r="K79" s="2">
        <v>2.3</v>
      </c>
    </row>
    <row r="80" spans="1:12">
      <c r="A80" s="3" t="s">
        <v>36</v>
      </c>
      <c r="B80" s="3" t="s">
        <v>58</v>
      </c>
      <c r="C80" s="3" t="s">
        <v>69</v>
      </c>
      <c r="D80" s="3"/>
      <c r="E80" s="2" t="str">
        <f>HYPERLINK("https://old.ukr-mobil.com/zashchitnoe_steklo_6d_premium_glass_9h_full_glue_dlya_oneplus_8t_v_upakovke_s_salfetkami_10004456", "Перейти")</f>
        <v>Перейти</v>
      </c>
      <c r="F80" s="2">
        <v>10004456</v>
      </c>
      <c r="G80" s="4" t="s">
        <v>99</v>
      </c>
      <c r="H80" s="1">
        <v>18</v>
      </c>
      <c r="I80" s="1">
        <v>0</v>
      </c>
      <c r="J80" s="1">
        <v>0</v>
      </c>
      <c r="K80" s="2">
        <v>2.25</v>
      </c>
    </row>
    <row r="81" spans="1:12">
      <c r="A81" s="3" t="s">
        <v>36</v>
      </c>
      <c r="B81" s="3" t="s">
        <v>58</v>
      </c>
      <c r="C81" s="3" t="s">
        <v>69</v>
      </c>
      <c r="D81" s="3"/>
      <c r="E81" s="2" t="str">
        <f>HYPERLINK("https://old.ukr-mobil.com/zashchitnoe_steklo_6d_premium_glass_9h_full_glue_dlya_oneplus_9_9r_9rt_5g_v_upakovke_s_salfetkami_10004454", "Перейти")</f>
        <v>Перейти</v>
      </c>
      <c r="F81" s="2">
        <v>10004454</v>
      </c>
      <c r="G81" s="4" t="s">
        <v>100</v>
      </c>
      <c r="H81" s="1">
        <v>11</v>
      </c>
      <c r="I81" s="1">
        <v>1</v>
      </c>
      <c r="J81" s="1">
        <v>0</v>
      </c>
      <c r="K81" s="2">
        <v>2.25</v>
      </c>
    </row>
    <row r="82" spans="1:12">
      <c r="A82" s="3" t="s">
        <v>36</v>
      </c>
      <c r="B82" s="3" t="s">
        <v>58</v>
      </c>
      <c r="C82" s="3" t="s">
        <v>69</v>
      </c>
      <c r="D82" s="3"/>
      <c r="E82" s="2" t="str">
        <f>HYPERLINK("https://old.ukr-mobil.com/zashchitnoe_steklo_6d_premium_glass_9h_full_glue_dlya_oneplus_nord_n100_v_upakovke_s_salfetkami_10004455", "Перейти")</f>
        <v>Перейти</v>
      </c>
      <c r="F82" s="2">
        <v>10004455</v>
      </c>
      <c r="G82" s="4" t="s">
        <v>101</v>
      </c>
      <c r="H82" s="1">
        <v>16</v>
      </c>
      <c r="I82" s="1">
        <v>3</v>
      </c>
      <c r="J82" s="1">
        <v>0</v>
      </c>
      <c r="K82" s="2">
        <v>2.25</v>
      </c>
    </row>
    <row r="83" spans="1:12">
      <c r="A83" s="3" t="s">
        <v>36</v>
      </c>
      <c r="B83" s="3" t="s">
        <v>58</v>
      </c>
      <c r="C83" s="3" t="s">
        <v>69</v>
      </c>
      <c r="D83" s="3"/>
      <c r="E83" s="2" t="str">
        <f>HYPERLINK("https://old.ukr-mobil.com/zashchitnoe_steklo_6d_premium_glass_9h_full_glue_dlya_oppo_a15_2020_a15s_realme_c11_c11_2021_c12_c15_c20_c20a_c21_v_upakovke_s_salfetkami_10004372", "Перейти")</f>
        <v>Перейти</v>
      </c>
      <c r="F83" s="2">
        <v>10004372</v>
      </c>
      <c r="G83" s="4" t="s">
        <v>102</v>
      </c>
      <c r="H83" s="1">
        <v>0</v>
      </c>
      <c r="I83" s="1">
        <v>4</v>
      </c>
      <c r="J83" s="1">
        <v>3</v>
      </c>
      <c r="K83" s="2">
        <v>2.25</v>
      </c>
    </row>
    <row r="84" spans="1:12">
      <c r="A84" s="3" t="s">
        <v>36</v>
      </c>
      <c r="B84" s="3" t="s">
        <v>58</v>
      </c>
      <c r="C84" s="3" t="s">
        <v>69</v>
      </c>
      <c r="D84" s="3"/>
      <c r="E84" s="2" t="str">
        <f>HYPERLINK("https://old.ukr-mobil.com/zashchitnoe_steklo_6d_premium_glass_9h_full_glue_dlya_oppo_a52_a72_a92_a93_5g_v_upakovke_s_salfetkami_10004444", "Перейти")</f>
        <v>Перейти</v>
      </c>
      <c r="F84" s="2">
        <v>10004444</v>
      </c>
      <c r="G84" s="4" t="s">
        <v>103</v>
      </c>
      <c r="H84" s="1">
        <v>6</v>
      </c>
      <c r="I84" s="1">
        <v>0</v>
      </c>
      <c r="J84" s="1">
        <v>2</v>
      </c>
      <c r="K84" s="2">
        <v>2.25</v>
      </c>
    </row>
    <row r="85" spans="1:12">
      <c r="A85" s="3" t="s">
        <v>36</v>
      </c>
      <c r="B85" s="3" t="s">
        <v>58</v>
      </c>
      <c r="C85" s="3" t="s">
        <v>69</v>
      </c>
      <c r="D85" s="3"/>
      <c r="E85" s="2" t="str">
        <f>HYPERLINK("https://old.ukr-mobil.com/zashchitnoe_steklo_6d_premium_glass_9h_full_glue_dlya_oppo_a53_a53s_a54_4g_a32_2020_a33_2020_realme_7i_realme_8i_realme_9i_v_upakovke_s_salfetkami_10004443", "Перейти")</f>
        <v>Перейти</v>
      </c>
      <c r="F85" s="2">
        <v>10004443</v>
      </c>
      <c r="G85" s="4" t="s">
        <v>104</v>
      </c>
      <c r="H85" s="1">
        <v>24</v>
      </c>
      <c r="I85" s="1">
        <v>6</v>
      </c>
      <c r="J85" s="1">
        <v>0</v>
      </c>
      <c r="K85" s="2">
        <v>2.25</v>
      </c>
    </row>
    <row r="86" spans="1:12">
      <c r="A86" s="3" t="s">
        <v>36</v>
      </c>
      <c r="B86" s="3" t="s">
        <v>58</v>
      </c>
      <c r="C86" s="3" t="s">
        <v>69</v>
      </c>
      <c r="D86" s="3"/>
      <c r="E86" s="2" t="str">
        <f>HYPERLINK("https://old.ukr-mobil.com/zashchitnoe_steklo_6d_premium_glass_9h_full_glue_dlya_oppo_a74_4g_v_upakovke_s_salfetkami_10004446", "Перейти")</f>
        <v>Перейти</v>
      </c>
      <c r="F86" s="2">
        <v>10004446</v>
      </c>
      <c r="G86" s="4" t="s">
        <v>105</v>
      </c>
      <c r="H86" s="1">
        <v>0</v>
      </c>
      <c r="I86" s="1">
        <v>1</v>
      </c>
      <c r="J86" s="1">
        <v>0</v>
      </c>
      <c r="K86" s="2">
        <v>2.25</v>
      </c>
    </row>
    <row r="87" spans="1:12">
      <c r="A87" s="3" t="s">
        <v>36</v>
      </c>
      <c r="B87" s="3" t="s">
        <v>58</v>
      </c>
      <c r="C87" s="3" t="s">
        <v>69</v>
      </c>
      <c r="D87" s="3"/>
      <c r="E87" s="2" t="str">
        <f>HYPERLINK("https://old.ukr-mobil.com/zashchitnoe_steklo_6d_premium_glass_9h_full_glue_dlya_oppo_a74_5g_a54_5g_a53_5g_v_upakovke_s_salfetkami_10004445", "Перейти")</f>
        <v>Перейти</v>
      </c>
      <c r="F87" s="2">
        <v>10004445</v>
      </c>
      <c r="G87" s="4" t="s">
        <v>106</v>
      </c>
      <c r="H87" s="1">
        <v>9</v>
      </c>
      <c r="I87" s="1">
        <v>2</v>
      </c>
      <c r="J87" s="1">
        <v>1</v>
      </c>
      <c r="K87" s="2">
        <v>2.25</v>
      </c>
    </row>
    <row r="88" spans="1:12">
      <c r="A88" s="3" t="s">
        <v>36</v>
      </c>
      <c r="B88" s="3" t="s">
        <v>58</v>
      </c>
      <c r="C88" s="3" t="s">
        <v>69</v>
      </c>
      <c r="D88" s="3"/>
      <c r="E88" s="2" t="str">
        <f>HYPERLINK("https://old.ukr-mobil.com/zashchitnoe_steklo_6d_premium_glass_9h_full_glue_dlya_oppo_a9_2020_a5_2020_a35_v_upakovke_s_salfetkami_10004447", "Перейти")</f>
        <v>Перейти</v>
      </c>
      <c r="F88" s="2">
        <v>10004447</v>
      </c>
      <c r="G88" s="4" t="s">
        <v>107</v>
      </c>
      <c r="H88" s="1">
        <v>15</v>
      </c>
      <c r="I88" s="1">
        <v>4</v>
      </c>
      <c r="J88" s="1">
        <v>0</v>
      </c>
      <c r="K88" s="2">
        <v>2.25</v>
      </c>
    </row>
    <row r="89" spans="1:12">
      <c r="A89" s="3" t="s">
        <v>36</v>
      </c>
      <c r="B89" s="3" t="s">
        <v>58</v>
      </c>
      <c r="C89" s="3" t="s">
        <v>69</v>
      </c>
      <c r="D89" s="3"/>
      <c r="E89" s="2" t="str">
        <f>HYPERLINK("https://old.ukr-mobil.com/index.php?route=product&amp;product_id=10005979", "Перейти")</f>
        <v>Перейти</v>
      </c>
      <c r="F89" s="2">
        <v>10005979</v>
      </c>
      <c r="G89" s="4" t="s">
        <v>108</v>
      </c>
      <c r="H89" s="1">
        <v>15</v>
      </c>
      <c r="I89" s="1">
        <v>5</v>
      </c>
      <c r="J89" s="1">
        <v>5</v>
      </c>
      <c r="K89" s="2">
        <v>2.3</v>
      </c>
    </row>
    <row r="90" spans="1:12">
      <c r="A90" s="3" t="s">
        <v>36</v>
      </c>
      <c r="B90" s="3" t="s">
        <v>58</v>
      </c>
      <c r="C90" s="3" t="s">
        <v>69</v>
      </c>
      <c r="D90" s="3"/>
      <c r="E90" s="2" t="str">
        <f>HYPERLINK("https://old.ukr-mobil.com/index.php?route=product&amp;product_id=10005977", "Перейти")</f>
        <v>Перейти</v>
      </c>
      <c r="F90" s="2">
        <v>10005977</v>
      </c>
      <c r="G90" s="4" t="s">
        <v>109</v>
      </c>
      <c r="H90" s="1">
        <v>14</v>
      </c>
      <c r="I90" s="1">
        <v>5</v>
      </c>
      <c r="J90" s="1">
        <v>5</v>
      </c>
      <c r="K90" s="2">
        <v>2.3</v>
      </c>
    </row>
    <row r="91" spans="1:12">
      <c r="A91" s="3" t="s">
        <v>36</v>
      </c>
      <c r="B91" s="3" t="s">
        <v>58</v>
      </c>
      <c r="C91" s="3" t="s">
        <v>69</v>
      </c>
      <c r="D91" s="3"/>
      <c r="E91" s="2" t="str">
        <f>HYPERLINK("https://old.ukr-mobil.com/index.php?route=product&amp;product_id=10005978", "Перейти")</f>
        <v>Перейти</v>
      </c>
      <c r="F91" s="2">
        <v>10005978</v>
      </c>
      <c r="G91" s="4" t="s">
        <v>110</v>
      </c>
      <c r="H91" s="1">
        <v>15</v>
      </c>
      <c r="I91" s="1">
        <v>5</v>
      </c>
      <c r="J91" s="1">
        <v>5</v>
      </c>
      <c r="K91" s="2">
        <v>2.3</v>
      </c>
    </row>
    <row r="92" spans="1:12">
      <c r="A92" s="3" t="s">
        <v>36</v>
      </c>
      <c r="B92" s="3" t="s">
        <v>58</v>
      </c>
      <c r="C92" s="3" t="s">
        <v>69</v>
      </c>
      <c r="D92" s="3"/>
      <c r="E92" s="2" t="str">
        <f>HYPERLINK("https://old.ukr-mobil.com/index.php?route=product&amp;product_id=10005980", "Перейти")</f>
        <v>Перейти</v>
      </c>
      <c r="F92" s="2">
        <v>10005980</v>
      </c>
      <c r="G92" s="4" t="s">
        <v>111</v>
      </c>
      <c r="H92" s="1">
        <v>14</v>
      </c>
      <c r="I92" s="1">
        <v>5</v>
      </c>
      <c r="J92" s="1">
        <v>5</v>
      </c>
      <c r="K92" s="2">
        <v>2.3</v>
      </c>
    </row>
    <row r="93" spans="1:12">
      <c r="A93" s="3" t="s">
        <v>36</v>
      </c>
      <c r="B93" s="3" t="s">
        <v>58</v>
      </c>
      <c r="C93" s="3" t="s">
        <v>69</v>
      </c>
      <c r="D93" s="3"/>
      <c r="E93" s="2" t="str">
        <f>HYPERLINK("https://old.ukr-mobil.com/index.php?route=product&amp;product_id=10005981", "Перейти")</f>
        <v>Перейти</v>
      </c>
      <c r="F93" s="2">
        <v>10005981</v>
      </c>
      <c r="G93" s="4" t="s">
        <v>112</v>
      </c>
      <c r="H93" s="1">
        <v>15</v>
      </c>
      <c r="I93" s="1">
        <v>3</v>
      </c>
      <c r="J93" s="1">
        <v>5</v>
      </c>
      <c r="K93" s="2">
        <v>2.3</v>
      </c>
    </row>
    <row r="94" spans="1:12">
      <c r="A94" s="3" t="s">
        <v>36</v>
      </c>
      <c r="B94" s="3" t="s">
        <v>58</v>
      </c>
      <c r="C94" s="3" t="s">
        <v>69</v>
      </c>
      <c r="D94" s="3"/>
      <c r="E94" s="2" t="str">
        <f>HYPERLINK("https://old.ukr-mobil.com/zashchitnoe_steklo_6d_premium_glass_9h_full_glue_dlya_realme_c30_realme_35_v_upakovke_s_salfetkami_10004442", "Перейти")</f>
        <v>Перейти</v>
      </c>
      <c r="F94" s="2">
        <v>10004442</v>
      </c>
      <c r="G94" s="4" t="s">
        <v>113</v>
      </c>
      <c r="H94" s="1">
        <v>11</v>
      </c>
      <c r="I94" s="1">
        <v>6</v>
      </c>
      <c r="J94" s="1">
        <v>0</v>
      </c>
      <c r="K94" s="2">
        <v>2.25</v>
      </c>
    </row>
    <row r="95" spans="1:12">
      <c r="A95" s="3" t="s">
        <v>36</v>
      </c>
      <c r="B95" s="3" t="s">
        <v>58</v>
      </c>
      <c r="C95" s="3" t="s">
        <v>69</v>
      </c>
      <c r="D95" s="3"/>
      <c r="E95" s="2" t="str">
        <f>HYPERLINK("https://old.ukr-mobil.com/zashchitnoe_steklo_6d_premium_glass_9h_full_glue_dlya_samsung_a022_galaxy_a02_a025_galaxy_a02s_a125_galaxy_a12_m127_galaxy_m12_v_upakovke_s_salfetkami_10004349", "Перейти")</f>
        <v>Перейти</v>
      </c>
      <c r="F95" s="2">
        <v>10004349</v>
      </c>
      <c r="G95" s="4" t="s">
        <v>114</v>
      </c>
      <c r="H95" s="1">
        <v>20</v>
      </c>
      <c r="I95" s="1">
        <v>4</v>
      </c>
      <c r="J95" s="1">
        <v>3</v>
      </c>
      <c r="K95" s="2">
        <v>2.3</v>
      </c>
    </row>
    <row r="96" spans="1:12">
      <c r="A96" s="3" t="s">
        <v>36</v>
      </c>
      <c r="B96" s="3" t="s">
        <v>58</v>
      </c>
      <c r="C96" s="3" t="s">
        <v>69</v>
      </c>
      <c r="D96" s="3"/>
      <c r="E96" s="2" t="str">
        <f>HYPERLINK("https://old.ukr-mobil.com/zashchitnoe_steklo_6d_premium_glass_9h_full_glue_dlya_samsung_a032_galaxy_a03_core_a135_galaxy_a13_m135_galaxy_m13_v_upakovke_s_salfetkami_10004367", "Перейти")</f>
        <v>Перейти</v>
      </c>
      <c r="F96" s="2">
        <v>10004367</v>
      </c>
      <c r="G96" s="4" t="s">
        <v>115</v>
      </c>
      <c r="H96" s="1">
        <v>54</v>
      </c>
      <c r="I96" s="1">
        <v>22</v>
      </c>
      <c r="J96" s="1">
        <v>20</v>
      </c>
      <c r="K96" s="2">
        <v>2.3</v>
      </c>
    </row>
    <row r="97" spans="1:12">
      <c r="A97" s="3" t="s">
        <v>36</v>
      </c>
      <c r="B97" s="3" t="s">
        <v>58</v>
      </c>
      <c r="C97" s="3" t="s">
        <v>69</v>
      </c>
      <c r="D97" s="3"/>
      <c r="E97" s="2" t="str">
        <f>HYPERLINK("https://old.ukr-mobil.com/zashchitnoe_steklo_6d_premium_glass_9h_full_glue_dlya_samsung_a045_galaxy_a04_v_upakovke_s_salfetkami_10004364", "Перейти")</f>
        <v>Перейти</v>
      </c>
      <c r="F97" s="2">
        <v>10004364</v>
      </c>
      <c r="G97" s="4" t="s">
        <v>116</v>
      </c>
      <c r="H97" s="1">
        <v>25</v>
      </c>
      <c r="I97" s="1">
        <v>7</v>
      </c>
      <c r="J97" s="1">
        <v>9</v>
      </c>
      <c r="K97" s="2">
        <v>2.3</v>
      </c>
    </row>
    <row r="98" spans="1:12">
      <c r="A98" s="3" t="s">
        <v>36</v>
      </c>
      <c r="B98" s="3" t="s">
        <v>58</v>
      </c>
      <c r="C98" s="3" t="s">
        <v>69</v>
      </c>
      <c r="D98" s="3"/>
      <c r="E98" s="2" t="str">
        <f>HYPERLINK("https://old.ukr-mobil.com/zashchitnoe_steklo_6d_premium_glass_9h_full_glue_dlya_samsung_a047_galaxy_a04s_v_upakovke_s_salfetkami_10004365", "Перейти")</f>
        <v>Перейти</v>
      </c>
      <c r="F98" s="2">
        <v>10004365</v>
      </c>
      <c r="G98" s="4" t="s">
        <v>117</v>
      </c>
      <c r="H98" s="1">
        <v>0</v>
      </c>
      <c r="I98" s="1">
        <v>0</v>
      </c>
      <c r="J98" s="1">
        <v>0</v>
      </c>
      <c r="K98" s="2">
        <v>2.25</v>
      </c>
    </row>
    <row r="99" spans="1:12">
      <c r="A99" s="3" t="s">
        <v>36</v>
      </c>
      <c r="B99" s="3" t="s">
        <v>58</v>
      </c>
      <c r="C99" s="3" t="s">
        <v>69</v>
      </c>
      <c r="D99" s="3"/>
      <c r="E99" s="2" t="str">
        <f>HYPERLINK("https://old.ukr-mobil.com/index.php?route=product&amp;product_id=10005993", "Перейти")</f>
        <v>Перейти</v>
      </c>
      <c r="F99" s="2">
        <v>10005993</v>
      </c>
      <c r="G99" s="4" t="s">
        <v>118</v>
      </c>
      <c r="H99" s="1">
        <v>15</v>
      </c>
      <c r="I99" s="1">
        <v>5</v>
      </c>
      <c r="J99" s="1">
        <v>5</v>
      </c>
      <c r="K99" s="2">
        <v>2.3</v>
      </c>
    </row>
    <row r="100" spans="1:12">
      <c r="A100" s="3" t="s">
        <v>36</v>
      </c>
      <c r="B100" s="3" t="s">
        <v>58</v>
      </c>
      <c r="C100" s="3" t="s">
        <v>69</v>
      </c>
      <c r="D100" s="3"/>
      <c r="E100" s="2" t="str">
        <f>HYPERLINK("https://old.ukr-mobil.com/zashchitnoe_steklo_6d_premium_glass_9h_full_glue_dlya_samsung_a105_galaxy_a10_a107_galaxy_a10s_m105_galaxy_m10_v_upakovke_s_salfetkami_10004368", "Перейти")</f>
        <v>Перейти</v>
      </c>
      <c r="F100" s="2">
        <v>10004368</v>
      </c>
      <c r="G100" s="4" t="s">
        <v>119</v>
      </c>
      <c r="H100" s="1">
        <v>12</v>
      </c>
      <c r="I100" s="1">
        <v>7</v>
      </c>
      <c r="J100" s="1">
        <v>9</v>
      </c>
      <c r="K100" s="2">
        <v>2.3</v>
      </c>
    </row>
    <row r="101" spans="1:12">
      <c r="A101" s="3" t="s">
        <v>36</v>
      </c>
      <c r="B101" s="3" t="s">
        <v>58</v>
      </c>
      <c r="C101" s="3" t="s">
        <v>69</v>
      </c>
      <c r="D101" s="3"/>
      <c r="E101" s="2" t="str">
        <f>HYPERLINK("https://old.ukr-mobil.com/index.php?route=product&amp;product_id=10005989", "Перейти")</f>
        <v>Перейти</v>
      </c>
      <c r="F101" s="2">
        <v>10005989</v>
      </c>
      <c r="G101" s="4" t="s">
        <v>120</v>
      </c>
      <c r="H101" s="1">
        <v>24</v>
      </c>
      <c r="I101" s="1">
        <v>10</v>
      </c>
      <c r="J101" s="1">
        <v>9</v>
      </c>
      <c r="K101" s="2">
        <v>2.3</v>
      </c>
    </row>
    <row r="102" spans="1:12">
      <c r="A102" s="3" t="s">
        <v>36</v>
      </c>
      <c r="B102" s="3" t="s">
        <v>58</v>
      </c>
      <c r="C102" s="3" t="s">
        <v>69</v>
      </c>
      <c r="D102" s="3"/>
      <c r="E102" s="2" t="str">
        <f>HYPERLINK("https://old.ukr-mobil.com/zashchitnoe_steklo_6d_premium_glass_9h_full_glue_dlya_samsung_a145_galaxy_a14_v_upakovke_s_salfetkami_10004366", "Перейти")</f>
        <v>Перейти</v>
      </c>
      <c r="F102" s="2">
        <v>10004366</v>
      </c>
      <c r="G102" s="4" t="s">
        <v>121</v>
      </c>
      <c r="H102" s="1">
        <v>0</v>
      </c>
      <c r="I102" s="1">
        <v>0</v>
      </c>
      <c r="J102" s="1">
        <v>1</v>
      </c>
      <c r="K102" s="2">
        <v>2.25</v>
      </c>
    </row>
    <row r="103" spans="1:12">
      <c r="A103" s="3" t="s">
        <v>36</v>
      </c>
      <c r="B103" s="3" t="s">
        <v>58</v>
      </c>
      <c r="C103" s="3" t="s">
        <v>69</v>
      </c>
      <c r="D103" s="3"/>
      <c r="E103" s="2" t="str">
        <f>HYPERLINK("https://old.ukr-mobil.com/index.php?route=product&amp;product_id=10005994", "Перейти")</f>
        <v>Перейти</v>
      </c>
      <c r="F103" s="2">
        <v>10005994</v>
      </c>
      <c r="G103" s="4" t="s">
        <v>122</v>
      </c>
      <c r="H103" s="1">
        <v>13</v>
      </c>
      <c r="I103" s="1">
        <v>3</v>
      </c>
      <c r="J103" s="1">
        <v>5</v>
      </c>
      <c r="K103" s="2">
        <v>2.3</v>
      </c>
    </row>
    <row r="104" spans="1:12">
      <c r="A104" s="3" t="s">
        <v>36</v>
      </c>
      <c r="B104" s="3" t="s">
        <v>58</v>
      </c>
      <c r="C104" s="3" t="s">
        <v>69</v>
      </c>
      <c r="D104" s="3"/>
      <c r="E104" s="2" t="str">
        <f>HYPERLINK("https://old.ukr-mobil.com/index.php?route=product&amp;product_id=10005991", "Перейти")</f>
        <v>Перейти</v>
      </c>
      <c r="F104" s="2">
        <v>10005991</v>
      </c>
      <c r="G104" s="4" t="s">
        <v>123</v>
      </c>
      <c r="H104" s="1">
        <v>0</v>
      </c>
      <c r="I104" s="1">
        <v>0</v>
      </c>
      <c r="J104" s="1">
        <v>0</v>
      </c>
      <c r="K104" s="2">
        <v>2.3</v>
      </c>
    </row>
    <row r="105" spans="1:12">
      <c r="A105" s="3" t="s">
        <v>36</v>
      </c>
      <c r="B105" s="3" t="s">
        <v>58</v>
      </c>
      <c r="C105" s="3" t="s">
        <v>69</v>
      </c>
      <c r="D105" s="3"/>
      <c r="E105" s="2" t="str">
        <f>HYPERLINK("https://old.ukr-mobil.com/zashchitnoe_steklo_6d_premium_glass_9h_full_glue_dlya_samsung_a205_a225_a305_a307_a315_a325_a336_a505_m215_m305_m315_v_upakovke_s_salfetkami_10004373", "Перейти")</f>
        <v>Перейти</v>
      </c>
      <c r="F105" s="2">
        <v>10004373</v>
      </c>
      <c r="G105" s="4" t="s">
        <v>124</v>
      </c>
      <c r="H105" s="1">
        <v>33</v>
      </c>
      <c r="I105" s="1">
        <v>13</v>
      </c>
      <c r="J105" s="1">
        <v>7</v>
      </c>
      <c r="K105" s="2">
        <v>2.3</v>
      </c>
    </row>
    <row r="106" spans="1:12">
      <c r="A106" s="3" t="s">
        <v>36</v>
      </c>
      <c r="B106" s="3" t="s">
        <v>58</v>
      </c>
      <c r="C106" s="3" t="s">
        <v>69</v>
      </c>
      <c r="D106" s="3"/>
      <c r="E106" s="2" t="str">
        <f>HYPERLINK("https://old.ukr-mobil.com/zashchitnoe_steklo_6d_premium_glass_9h_full_glue_dlya_samsung_a215_galaxy_a21_a217_galaxy_a21s_v_upakovke_s_salfetkami_10004398", "Перейти")</f>
        <v>Перейти</v>
      </c>
      <c r="F106" s="2">
        <v>10004398</v>
      </c>
      <c r="G106" s="4" t="s">
        <v>125</v>
      </c>
      <c r="H106" s="1">
        <v>8</v>
      </c>
      <c r="I106" s="1">
        <v>1</v>
      </c>
      <c r="J106" s="1">
        <v>4</v>
      </c>
      <c r="K106" s="2">
        <v>2.25</v>
      </c>
    </row>
    <row r="107" spans="1:12">
      <c r="A107" s="3" t="s">
        <v>36</v>
      </c>
      <c r="B107" s="3" t="s">
        <v>58</v>
      </c>
      <c r="C107" s="3" t="s">
        <v>69</v>
      </c>
      <c r="D107" s="3"/>
      <c r="E107" s="2" t="str">
        <f>HYPERLINK("https://old.ukr-mobil.com/zashchitnoe_steklo_6d_premium_glass_9h_full_glue_dlya_samsung_a226_galaxy_a22_5g_v_upakovke_s_salfetkami_10004393", "Перейти")</f>
        <v>Перейти</v>
      </c>
      <c r="F107" s="2">
        <v>10004393</v>
      </c>
      <c r="G107" s="4" t="s">
        <v>126</v>
      </c>
      <c r="H107" s="1">
        <v>7</v>
      </c>
      <c r="I107" s="1">
        <v>2</v>
      </c>
      <c r="J107" s="1">
        <v>0</v>
      </c>
      <c r="K107" s="2">
        <v>2.25</v>
      </c>
    </row>
    <row r="108" spans="1:12">
      <c r="A108" s="3" t="s">
        <v>36</v>
      </c>
      <c r="B108" s="3" t="s">
        <v>58</v>
      </c>
      <c r="C108" s="3" t="s">
        <v>69</v>
      </c>
      <c r="D108" s="3"/>
      <c r="E108" s="2" t="str">
        <f>HYPERLINK("https://old.ukr-mobil.com/index.php?route=product&amp;product_id=10005990", "Перейти")</f>
        <v>Перейти</v>
      </c>
      <c r="F108" s="2">
        <v>10005990</v>
      </c>
      <c r="G108" s="4" t="s">
        <v>127</v>
      </c>
      <c r="H108" s="1">
        <v>13</v>
      </c>
      <c r="I108" s="1">
        <v>3</v>
      </c>
      <c r="J108" s="1">
        <v>0</v>
      </c>
      <c r="K108" s="2">
        <v>2.3</v>
      </c>
    </row>
    <row r="109" spans="1:12">
      <c r="A109" s="3" t="s">
        <v>36</v>
      </c>
      <c r="B109" s="3" t="s">
        <v>58</v>
      </c>
      <c r="C109" s="3" t="s">
        <v>69</v>
      </c>
      <c r="D109" s="3"/>
      <c r="E109" s="2" t="str">
        <f>HYPERLINK("https://old.ukr-mobil.com/index.php?route=product&amp;product_id=10005995", "Перейти")</f>
        <v>Перейти</v>
      </c>
      <c r="F109" s="2">
        <v>10005995</v>
      </c>
      <c r="G109" s="4" t="s">
        <v>128</v>
      </c>
      <c r="H109" s="1">
        <v>10</v>
      </c>
      <c r="I109" s="1">
        <v>4</v>
      </c>
      <c r="J109" s="1">
        <v>5</v>
      </c>
      <c r="K109" s="2">
        <v>2.3</v>
      </c>
    </row>
    <row r="110" spans="1:12">
      <c r="A110" s="3" t="s">
        <v>36</v>
      </c>
      <c r="B110" s="3" t="s">
        <v>58</v>
      </c>
      <c r="C110" s="3" t="s">
        <v>69</v>
      </c>
      <c r="D110" s="3"/>
      <c r="E110" s="2" t="str">
        <f>HYPERLINK("https://old.ukr-mobil.com/zashchitnoe_steklo_6d_premium_glass_9h_full_glue_dlya_samsung_a346_galaxy_a34_5g_v_upakovke_s_salfetkami_10004394", "Перейти")</f>
        <v>Перейти</v>
      </c>
      <c r="F110" s="2">
        <v>10004394</v>
      </c>
      <c r="G110" s="4" t="s">
        <v>129</v>
      </c>
      <c r="H110" s="1">
        <v>6</v>
      </c>
      <c r="I110" s="1">
        <v>3</v>
      </c>
      <c r="J110" s="1">
        <v>2</v>
      </c>
      <c r="K110" s="2">
        <v>2.5</v>
      </c>
    </row>
    <row r="111" spans="1:12">
      <c r="A111" s="3" t="s">
        <v>36</v>
      </c>
      <c r="B111" s="3" t="s">
        <v>58</v>
      </c>
      <c r="C111" s="3" t="s">
        <v>69</v>
      </c>
      <c r="D111" s="3"/>
      <c r="E111" s="2" t="str">
        <f>HYPERLINK("https://old.ukr-mobil.com/index.php?route=product&amp;product_id=10005996", "Перейти")</f>
        <v>Перейти</v>
      </c>
      <c r="F111" s="2">
        <v>10005996</v>
      </c>
      <c r="G111" s="4" t="s">
        <v>130</v>
      </c>
      <c r="H111" s="1">
        <v>15</v>
      </c>
      <c r="I111" s="1">
        <v>5</v>
      </c>
      <c r="J111" s="1">
        <v>5</v>
      </c>
      <c r="K111" s="2">
        <v>2.3</v>
      </c>
    </row>
    <row r="112" spans="1:12">
      <c r="A112" s="3" t="s">
        <v>36</v>
      </c>
      <c r="B112" s="3" t="s">
        <v>58</v>
      </c>
      <c r="C112" s="3" t="s">
        <v>69</v>
      </c>
      <c r="D112" s="3"/>
      <c r="E112" s="2" t="str">
        <f>HYPERLINK("https://old.ukr-mobil.com/zashchitnoe_steklo_6d_premium_glass_9h_full_glue_dlya_samsung_a515_galaxy_a51_g780_galaxy_s20_fe_m317_galaxy_m31s_v_upakovke_s_salfetkami_10004361", "Перейти")</f>
        <v>Перейти</v>
      </c>
      <c r="F112" s="2">
        <v>10004361</v>
      </c>
      <c r="G112" s="4" t="s">
        <v>131</v>
      </c>
      <c r="H112" s="1">
        <v>2</v>
      </c>
      <c r="I112" s="1">
        <v>0</v>
      </c>
      <c r="J112" s="1">
        <v>2</v>
      </c>
      <c r="K112" s="2">
        <v>2.3</v>
      </c>
    </row>
    <row r="113" spans="1:12">
      <c r="A113" s="3" t="s">
        <v>36</v>
      </c>
      <c r="B113" s="3" t="s">
        <v>58</v>
      </c>
      <c r="C113" s="3" t="s">
        <v>69</v>
      </c>
      <c r="D113" s="3"/>
      <c r="E113" s="2" t="str">
        <f>HYPERLINK("https://old.ukr-mobil.com/zashchitnoe_steklo_6d_premium_glass_9h_full_glue_dlya_samsung_a525_galaxy_a52_a526_galaxy_a52_5g_v_upakovke_s_salfetkami_10004362", "Перейти")</f>
        <v>Перейти</v>
      </c>
      <c r="F113" s="2">
        <v>10004362</v>
      </c>
      <c r="G113" s="4" t="s">
        <v>132</v>
      </c>
      <c r="H113" s="1">
        <v>5</v>
      </c>
      <c r="I113" s="1">
        <v>6</v>
      </c>
      <c r="J113" s="1">
        <v>6</v>
      </c>
      <c r="K113" s="2">
        <v>2.25</v>
      </c>
    </row>
    <row r="114" spans="1:12">
      <c r="A114" s="3" t="s">
        <v>36</v>
      </c>
      <c r="B114" s="3" t="s">
        <v>58</v>
      </c>
      <c r="C114" s="3" t="s">
        <v>69</v>
      </c>
      <c r="D114" s="3"/>
      <c r="E114" s="2" t="str">
        <f>HYPERLINK("https://old.ukr-mobil.com/zashchitnoe_steklo_6d_premium_glass_9h_full_glue_dlya_samsung_a536_galaxy_a53_5g_v_upakovke_s_salfetkami_10004363", "Перейти")</f>
        <v>Перейти</v>
      </c>
      <c r="F114" s="2">
        <v>10004363</v>
      </c>
      <c r="G114" s="4" t="s">
        <v>133</v>
      </c>
      <c r="H114" s="1">
        <v>5</v>
      </c>
      <c r="I114" s="1">
        <v>3</v>
      </c>
      <c r="J114" s="1">
        <v>4</v>
      </c>
      <c r="K114" s="2">
        <v>2.25</v>
      </c>
    </row>
    <row r="115" spans="1:12">
      <c r="A115" s="3" t="s">
        <v>36</v>
      </c>
      <c r="B115" s="3" t="s">
        <v>58</v>
      </c>
      <c r="C115" s="3" t="s">
        <v>69</v>
      </c>
      <c r="D115" s="3"/>
      <c r="E115" s="2" t="str">
        <f>HYPERLINK("https://old.ukr-mobil.com/zashchitnoe_steklo_6d_premium_glass_9h_full_glue_dlya_samsung_a546_galaxy_a54_5g_v_upakovke_s_salfetkami_10004490", "Перейти")</f>
        <v>Перейти</v>
      </c>
      <c r="F115" s="2">
        <v>10004490</v>
      </c>
      <c r="G115" s="4" t="s">
        <v>134</v>
      </c>
      <c r="H115" s="1">
        <v>13</v>
      </c>
      <c r="I115" s="1">
        <v>4</v>
      </c>
      <c r="J115" s="1">
        <v>0</v>
      </c>
      <c r="K115" s="2">
        <v>2.25</v>
      </c>
    </row>
    <row r="116" spans="1:12">
      <c r="A116" s="3" t="s">
        <v>36</v>
      </c>
      <c r="B116" s="3" t="s">
        <v>58</v>
      </c>
      <c r="C116" s="3" t="s">
        <v>69</v>
      </c>
      <c r="D116" s="3"/>
      <c r="E116" s="2" t="str">
        <f>HYPERLINK("https://old.ukr-mobil.com/zashchitnoe_steklo_6d_premium_glass_9h_full_glue_dlya_samsung_a705_galaxy_a70_a707_galaxy_a70s_a426_galaxy_a42_5g_v_upakovke_s_salfetkami_10004489", "Перейти")</f>
        <v>Перейти</v>
      </c>
      <c r="F116" s="2">
        <v>10004489</v>
      </c>
      <c r="G116" s="4" t="s">
        <v>135</v>
      </c>
      <c r="H116" s="1">
        <v>11</v>
      </c>
      <c r="I116" s="1">
        <v>6</v>
      </c>
      <c r="J116" s="1">
        <v>4</v>
      </c>
      <c r="K116" s="2">
        <v>2.25</v>
      </c>
    </row>
    <row r="117" spans="1:12">
      <c r="A117" s="3" t="s">
        <v>36</v>
      </c>
      <c r="B117" s="3" t="s">
        <v>58</v>
      </c>
      <c r="C117" s="3" t="s">
        <v>69</v>
      </c>
      <c r="D117" s="3"/>
      <c r="E117" s="2" t="str">
        <f>HYPERLINK("https://old.ukr-mobil.com/zashchitnoe_steklo_6d_premium_glass_9h_full_glue_dlya_samsung_a715_galaxy_a71_a725_galaxy_a72_a736_galaxy_a73_m515_galaxy_m51_v_upakovke_s_salfetkami_10004370", "Перейти")</f>
        <v>Перейти</v>
      </c>
      <c r="F117" s="2">
        <v>10004370</v>
      </c>
      <c r="G117" s="4" t="s">
        <v>136</v>
      </c>
      <c r="H117" s="1">
        <v>63</v>
      </c>
      <c r="I117" s="1">
        <v>5</v>
      </c>
      <c r="J117" s="1">
        <v>9</v>
      </c>
      <c r="K117" s="2">
        <v>2.25</v>
      </c>
    </row>
    <row r="118" spans="1:12">
      <c r="A118" s="3" t="s">
        <v>36</v>
      </c>
      <c r="B118" s="3" t="s">
        <v>58</v>
      </c>
      <c r="C118" s="3" t="s">
        <v>69</v>
      </c>
      <c r="D118" s="3"/>
      <c r="E118" s="2" t="str">
        <f>HYPERLINK("https://old.ukr-mobil.com/index.php?route=product&amp;product_id=10006008", "Перейти")</f>
        <v>Перейти</v>
      </c>
      <c r="F118" s="2">
        <v>10006008</v>
      </c>
      <c r="G118" s="4" t="s">
        <v>137</v>
      </c>
      <c r="H118" s="1">
        <v>15</v>
      </c>
      <c r="I118" s="1">
        <v>3</v>
      </c>
      <c r="J118" s="1">
        <v>5</v>
      </c>
      <c r="K118" s="2">
        <v>2.3</v>
      </c>
    </row>
    <row r="119" spans="1:12">
      <c r="A119" s="3" t="s">
        <v>36</v>
      </c>
      <c r="B119" s="3" t="s">
        <v>58</v>
      </c>
      <c r="C119" s="3" t="s">
        <v>69</v>
      </c>
      <c r="D119" s="3"/>
      <c r="E119" s="2" t="str">
        <f>HYPERLINK("https://old.ukr-mobil.com/zashchitnoe_steklo_6d_premium_glass_9h_full_glue_dlya_samsung_g990_galaxy_s21_fe_v_upakovke_s_salfetkami_10004374", "Перейти")</f>
        <v>Перейти</v>
      </c>
      <c r="F119" s="2">
        <v>10004374</v>
      </c>
      <c r="G119" s="4" t="s">
        <v>138</v>
      </c>
      <c r="H119" s="1">
        <v>15</v>
      </c>
      <c r="I119" s="1">
        <v>4</v>
      </c>
      <c r="J119" s="1">
        <v>5</v>
      </c>
      <c r="K119" s="2">
        <v>2.3</v>
      </c>
    </row>
    <row r="120" spans="1:12">
      <c r="A120" s="3" t="s">
        <v>36</v>
      </c>
      <c r="B120" s="3" t="s">
        <v>58</v>
      </c>
      <c r="C120" s="3" t="s">
        <v>69</v>
      </c>
      <c r="D120" s="3"/>
      <c r="E120" s="2" t="str">
        <f>HYPERLINK("https://old.ukr-mobil.com/zashchitnoe_steklo_6d_premium_glass_9h_full_glue_dlya_samsung_g991_galaxy_s21_v_upakovke_s_salfetkami_10004399", "Перейти")</f>
        <v>Перейти</v>
      </c>
      <c r="F120" s="2">
        <v>10004399</v>
      </c>
      <c r="G120" s="4" t="s">
        <v>139</v>
      </c>
      <c r="H120" s="1">
        <v>14</v>
      </c>
      <c r="I120" s="1">
        <v>5</v>
      </c>
      <c r="J120" s="1">
        <v>5</v>
      </c>
      <c r="K120" s="2">
        <v>2.5</v>
      </c>
    </row>
    <row r="121" spans="1:12">
      <c r="A121" s="3" t="s">
        <v>36</v>
      </c>
      <c r="B121" s="3" t="s">
        <v>58</v>
      </c>
      <c r="C121" s="3" t="s">
        <v>69</v>
      </c>
      <c r="D121" s="3"/>
      <c r="E121" s="2" t="str">
        <f>HYPERLINK("https://old.ukr-mobil.com/zashchitnoe_steklo_6d_premium_glass_9h_full_glue_dlya_samsung_g996_galaxy_s21_plus_v_upakovke_s_salfetkami_10004400", "Перейти")</f>
        <v>Перейти</v>
      </c>
      <c r="F121" s="2">
        <v>10004400</v>
      </c>
      <c r="G121" s="4" t="s">
        <v>140</v>
      </c>
      <c r="H121" s="1">
        <v>0</v>
      </c>
      <c r="I121" s="1">
        <v>0</v>
      </c>
      <c r="J121" s="1">
        <v>4</v>
      </c>
      <c r="K121" s="2">
        <v>2.5</v>
      </c>
    </row>
    <row r="122" spans="1:12">
      <c r="A122" s="3" t="s">
        <v>36</v>
      </c>
      <c r="B122" s="3" t="s">
        <v>58</v>
      </c>
      <c r="C122" s="3" t="s">
        <v>69</v>
      </c>
      <c r="D122" s="3"/>
      <c r="E122" s="2" t="str">
        <f>HYPERLINK("https://old.ukr-mobil.com/index.php?route=product&amp;product_id=10005997", "Перейти")</f>
        <v>Перейти</v>
      </c>
      <c r="F122" s="2">
        <v>10005997</v>
      </c>
      <c r="G122" s="4" t="s">
        <v>141</v>
      </c>
      <c r="H122" s="1">
        <v>7</v>
      </c>
      <c r="I122" s="1">
        <v>4</v>
      </c>
      <c r="J122" s="1">
        <v>4</v>
      </c>
      <c r="K122" s="2">
        <v>2.3</v>
      </c>
    </row>
    <row r="123" spans="1:12">
      <c r="A123" s="3" t="s">
        <v>36</v>
      </c>
      <c r="B123" s="3" t="s">
        <v>58</v>
      </c>
      <c r="C123" s="3" t="s">
        <v>69</v>
      </c>
      <c r="D123" s="3"/>
      <c r="E123" s="2" t="str">
        <f>HYPERLINK("https://old.ukr-mobil.com/index.php?route=product&amp;product_id=10005992", "Перейти")</f>
        <v>Перейти</v>
      </c>
      <c r="F123" s="2">
        <v>10005992</v>
      </c>
      <c r="G123" s="4" t="s">
        <v>142</v>
      </c>
      <c r="H123" s="1">
        <v>19</v>
      </c>
      <c r="I123" s="1">
        <v>0</v>
      </c>
      <c r="J123" s="1">
        <v>5</v>
      </c>
      <c r="K123" s="2">
        <v>2.3</v>
      </c>
    </row>
    <row r="124" spans="1:12">
      <c r="A124" s="3" t="s">
        <v>36</v>
      </c>
      <c r="B124" s="3" t="s">
        <v>58</v>
      </c>
      <c r="C124" s="3" t="s">
        <v>69</v>
      </c>
      <c r="D124" s="3"/>
      <c r="E124" s="2" t="str">
        <f>HYPERLINK("https://old.ukr-mobil.com/index.php?route=product&amp;product_id=10005985", "Перейти")</f>
        <v>Перейти</v>
      </c>
      <c r="F124" s="2">
        <v>10005985</v>
      </c>
      <c r="G124" s="4" t="s">
        <v>143</v>
      </c>
      <c r="H124" s="1">
        <v>15</v>
      </c>
      <c r="I124" s="1">
        <v>5</v>
      </c>
      <c r="J124" s="1">
        <v>5</v>
      </c>
      <c r="K124" s="2">
        <v>2.5</v>
      </c>
    </row>
    <row r="125" spans="1:12">
      <c r="A125" s="3" t="s">
        <v>36</v>
      </c>
      <c r="B125" s="3" t="s">
        <v>58</v>
      </c>
      <c r="C125" s="3" t="s">
        <v>69</v>
      </c>
      <c r="D125" s="3"/>
      <c r="E125" s="2" t="str">
        <f>HYPERLINK("https://old.ukr-mobil.com/zashchitnoe_steklo_6d_premium_glass_9h_full_glue_dlya_samsung_s901_galaxy_s22_s911_galaxy_s23_v_upakovke_s_salfetkami_10004401", "Перейти")</f>
        <v>Перейти</v>
      </c>
      <c r="F125" s="2">
        <v>10004401</v>
      </c>
      <c r="G125" s="4" t="s">
        <v>144</v>
      </c>
      <c r="H125" s="1">
        <v>50</v>
      </c>
      <c r="I125" s="1">
        <v>10</v>
      </c>
      <c r="J125" s="1">
        <v>10</v>
      </c>
      <c r="K125" s="2">
        <v>2.6</v>
      </c>
    </row>
    <row r="126" spans="1:12">
      <c r="A126" s="3" t="s">
        <v>36</v>
      </c>
      <c r="B126" s="3" t="s">
        <v>58</v>
      </c>
      <c r="C126" s="3" t="s">
        <v>69</v>
      </c>
      <c r="D126" s="3"/>
      <c r="E126" s="2" t="str">
        <f>HYPERLINK("https://old.ukr-mobil.com/zashchitnoe_steklo_6d_premium_glass_9h_full_glue_dlya_samsung_s906_galaxy_s22_plus_s916_galaxy_s23_plus_v_upakovke_s_salfetkami_10004402", "Перейти")</f>
        <v>Перейти</v>
      </c>
      <c r="F126" s="2">
        <v>10004402</v>
      </c>
      <c r="G126" s="4" t="s">
        <v>145</v>
      </c>
      <c r="H126" s="1">
        <v>72</v>
      </c>
      <c r="I126" s="1">
        <v>7</v>
      </c>
      <c r="J126" s="1">
        <v>11</v>
      </c>
      <c r="K126" s="2">
        <v>3.85</v>
      </c>
    </row>
    <row r="127" spans="1:12">
      <c r="A127" s="3" t="s">
        <v>36</v>
      </c>
      <c r="B127" s="3" t="s">
        <v>58</v>
      </c>
      <c r="C127" s="3" t="s">
        <v>69</v>
      </c>
      <c r="D127" s="3"/>
      <c r="E127" s="2" t="str">
        <f>HYPERLINK("https://old.ukr-mobil.com/index.php?route=product&amp;product_id=10005986", "Перейти")</f>
        <v>Перейти</v>
      </c>
      <c r="F127" s="2">
        <v>10005986</v>
      </c>
      <c r="G127" s="4" t="s">
        <v>146</v>
      </c>
      <c r="H127" s="1">
        <v>15</v>
      </c>
      <c r="I127" s="1">
        <v>5</v>
      </c>
      <c r="J127" s="1">
        <v>5</v>
      </c>
      <c r="K127" s="2">
        <v>3.0</v>
      </c>
    </row>
    <row r="128" spans="1:12">
      <c r="A128" s="3" t="s">
        <v>36</v>
      </c>
      <c r="B128" s="3" t="s">
        <v>58</v>
      </c>
      <c r="C128" s="3" t="s">
        <v>69</v>
      </c>
      <c r="D128" s="3"/>
      <c r="E128" s="2" t="str">
        <f>HYPERLINK("https://old.ukr-mobil.com/index.php?route=product&amp;product_id=10005987", "Перейти")</f>
        <v>Перейти</v>
      </c>
      <c r="F128" s="2">
        <v>10005987</v>
      </c>
      <c r="G128" s="4" t="s">
        <v>147</v>
      </c>
      <c r="H128" s="1">
        <v>14</v>
      </c>
      <c r="I128" s="1">
        <v>5</v>
      </c>
      <c r="J128" s="1">
        <v>5</v>
      </c>
      <c r="K128" s="2">
        <v>3.0</v>
      </c>
    </row>
    <row r="129" spans="1:12">
      <c r="A129" s="3" t="s">
        <v>36</v>
      </c>
      <c r="B129" s="3" t="s">
        <v>58</v>
      </c>
      <c r="C129" s="3" t="s">
        <v>69</v>
      </c>
      <c r="D129" s="3"/>
      <c r="E129" s="2" t="str">
        <f>HYPERLINK("https://old.ukr-mobil.com/index.php?route=product&amp;product_id=10005988", "Перейти")</f>
        <v>Перейти</v>
      </c>
      <c r="F129" s="2">
        <v>10005988</v>
      </c>
      <c r="G129" s="4" t="s">
        <v>148</v>
      </c>
      <c r="H129" s="1">
        <v>20</v>
      </c>
      <c r="I129" s="1">
        <v>0</v>
      </c>
      <c r="J129" s="1">
        <v>5</v>
      </c>
      <c r="K129" s="2">
        <v>3.0</v>
      </c>
    </row>
    <row r="130" spans="1:12">
      <c r="A130" s="3" t="s">
        <v>36</v>
      </c>
      <c r="B130" s="3" t="s">
        <v>58</v>
      </c>
      <c r="C130" s="3" t="s">
        <v>69</v>
      </c>
      <c r="D130" s="3"/>
      <c r="E130" s="2" t="str">
        <f>HYPERLINK("https://old.ukr-mobil.com/index.php?route=product&amp;product_id=10005984", "Перейти")</f>
        <v>Перейти</v>
      </c>
      <c r="F130" s="2">
        <v>10005984</v>
      </c>
      <c r="G130" s="4" t="s">
        <v>149</v>
      </c>
      <c r="H130" s="1">
        <v>20</v>
      </c>
      <c r="I130" s="1">
        <v>5</v>
      </c>
      <c r="J130" s="1">
        <v>0</v>
      </c>
      <c r="K130" s="2">
        <v>2.35</v>
      </c>
    </row>
    <row r="131" spans="1:12">
      <c r="A131" s="3" t="s">
        <v>36</v>
      </c>
      <c r="B131" s="3" t="s">
        <v>58</v>
      </c>
      <c r="C131" s="3" t="s">
        <v>69</v>
      </c>
      <c r="D131" s="3"/>
      <c r="E131" s="2" t="str">
        <f>HYPERLINK("https://old.ukr-mobil.com/zashchitnoe_steklo_6d_premium_glass_9h_full_glue_dlya_tecno_spark_8c_v_upakovke_s_salfetkami_10004460", "Перейти")</f>
        <v>Перейти</v>
      </c>
      <c r="F131" s="2">
        <v>10004460</v>
      </c>
      <c r="G131" s="4" t="s">
        <v>150</v>
      </c>
      <c r="H131" s="1">
        <v>17</v>
      </c>
      <c r="I131" s="1">
        <v>15</v>
      </c>
      <c r="J131" s="1">
        <v>10</v>
      </c>
      <c r="K131" s="2">
        <v>2.3</v>
      </c>
    </row>
    <row r="132" spans="1:12">
      <c r="A132" s="3" t="s">
        <v>36</v>
      </c>
      <c r="B132" s="3" t="s">
        <v>58</v>
      </c>
      <c r="C132" s="3" t="s">
        <v>69</v>
      </c>
      <c r="D132" s="3"/>
      <c r="E132" s="2" t="str">
        <f>HYPERLINK("https://old.ukr-mobil.com/index.php?route=product&amp;product_id=10005982", "Перейти")</f>
        <v>Перейти</v>
      </c>
      <c r="F132" s="2">
        <v>10005982</v>
      </c>
      <c r="G132" s="4" t="s">
        <v>151</v>
      </c>
      <c r="H132" s="1">
        <v>14</v>
      </c>
      <c r="I132" s="1">
        <v>5</v>
      </c>
      <c r="J132" s="1">
        <v>4</v>
      </c>
      <c r="K132" s="2">
        <v>2.3</v>
      </c>
    </row>
    <row r="133" spans="1:12">
      <c r="A133" s="3" t="s">
        <v>36</v>
      </c>
      <c r="B133" s="3" t="s">
        <v>58</v>
      </c>
      <c r="C133" s="3" t="s">
        <v>69</v>
      </c>
      <c r="D133" s="3"/>
      <c r="E133" s="2" t="str">
        <f>HYPERLINK("https://old.ukr-mobil.com/index.php?route=product&amp;product_id=10005983", "Перейти")</f>
        <v>Перейти</v>
      </c>
      <c r="F133" s="2">
        <v>10005983</v>
      </c>
      <c r="G133" s="4" t="s">
        <v>152</v>
      </c>
      <c r="H133" s="1">
        <v>13</v>
      </c>
      <c r="I133" s="1">
        <v>3</v>
      </c>
      <c r="J133" s="1">
        <v>5</v>
      </c>
      <c r="K133" s="2">
        <v>2.3</v>
      </c>
    </row>
    <row r="134" spans="1:12">
      <c r="A134" s="3" t="s">
        <v>36</v>
      </c>
      <c r="B134" s="3" t="s">
        <v>58</v>
      </c>
      <c r="C134" s="3" t="s">
        <v>69</v>
      </c>
      <c r="D134" s="3"/>
      <c r="E134" s="2" t="str">
        <f>HYPERLINK("https://old.ukr-mobil.com/zashchitnoe_steklo_6d_premium_glass_9h_full_glue_dlya_vivo_y17_y7s_y15_y3_y51_y9s_y11_2019_y3_v_upakovke_s_salfetkami_10004428", "Перейти")</f>
        <v>Перейти</v>
      </c>
      <c r="F134" s="2">
        <v>10004428</v>
      </c>
      <c r="G134" s="4" t="s">
        <v>153</v>
      </c>
      <c r="H134" s="1">
        <v>14</v>
      </c>
      <c r="I134" s="1">
        <v>4</v>
      </c>
      <c r="J134" s="1">
        <v>0</v>
      </c>
      <c r="K134" s="2">
        <v>2.25</v>
      </c>
    </row>
    <row r="135" spans="1:12">
      <c r="A135" s="3" t="s">
        <v>36</v>
      </c>
      <c r="B135" s="3" t="s">
        <v>58</v>
      </c>
      <c r="C135" s="3" t="s">
        <v>69</v>
      </c>
      <c r="D135" s="3"/>
      <c r="E135" s="2" t="str">
        <f>HYPERLINK("https://old.ukr-mobil.com/zashchitnoe_steklo_6d_premium_glass_9h_full_glue_dlya_vivo_y21s_y21_y20s_y20_y20i_y20a_y12s_y20g_y12a_y11s_2021_v_upakovke_s_salfetkami_10004430", "Перейти")</f>
        <v>Перейти</v>
      </c>
      <c r="F135" s="2">
        <v>10004430</v>
      </c>
      <c r="G135" s="4" t="s">
        <v>154</v>
      </c>
      <c r="H135" s="1">
        <v>0</v>
      </c>
      <c r="I135" s="1">
        <v>0</v>
      </c>
      <c r="J135" s="1">
        <v>0</v>
      </c>
      <c r="K135" s="2">
        <v>2.25</v>
      </c>
    </row>
    <row r="136" spans="1:12">
      <c r="A136" s="3" t="s">
        <v>36</v>
      </c>
      <c r="B136" s="3" t="s">
        <v>58</v>
      </c>
      <c r="C136" s="3" t="s">
        <v>69</v>
      </c>
      <c r="D136" s="3"/>
      <c r="E136" s="2" t="str">
        <f>HYPERLINK("https://old.ukr-mobil.com/zashchitnoe_steklo_6d_premium_glass_9h_full_glue_dlya_vivo_y53s_y72_5g_y72t_5g_y51_2020_y51a_2021_v_upakovke_s_salfetkami_10004431", "Перейти")</f>
        <v>Перейти</v>
      </c>
      <c r="F136" s="2">
        <v>10004431</v>
      </c>
      <c r="G136" s="4" t="s">
        <v>155</v>
      </c>
      <c r="H136" s="1">
        <v>10</v>
      </c>
      <c r="I136" s="1">
        <v>4</v>
      </c>
      <c r="J136" s="1">
        <v>0</v>
      </c>
      <c r="K136" s="2">
        <v>2.25</v>
      </c>
    </row>
    <row r="137" spans="1:12">
      <c r="A137" s="3" t="s">
        <v>36</v>
      </c>
      <c r="B137" s="3" t="s">
        <v>58</v>
      </c>
      <c r="C137" s="3" t="s">
        <v>69</v>
      </c>
      <c r="D137" s="3"/>
      <c r="E137" s="2" t="str">
        <f>HYPERLINK("https://old.ukr-mobil.com/zashchitnoe_steklo_6d_premium_glass_9h_full_glue_dlya_vivo_y93_y95_y91_y90i_y90_y91c_y1s_v_upakovke_s_salfetkami_10004429", "Перейти")</f>
        <v>Перейти</v>
      </c>
      <c r="F137" s="2">
        <v>10004429</v>
      </c>
      <c r="G137" s="4" t="s">
        <v>156</v>
      </c>
      <c r="H137" s="1">
        <v>17</v>
      </c>
      <c r="I137" s="1">
        <v>3</v>
      </c>
      <c r="J137" s="1">
        <v>0</v>
      </c>
      <c r="K137" s="2">
        <v>2.25</v>
      </c>
    </row>
    <row r="138" spans="1:12">
      <c r="A138" s="3" t="s">
        <v>36</v>
      </c>
      <c r="B138" s="3" t="s">
        <v>58</v>
      </c>
      <c r="C138" s="3" t="s">
        <v>69</v>
      </c>
      <c r="D138" s="3"/>
      <c r="E138" s="2" t="str">
        <f>HYPERLINK("https://old.ukr-mobil.com/index.php?route=product&amp;product_id=10005970", "Перейти")</f>
        <v>Перейти</v>
      </c>
      <c r="F138" s="2">
        <v>10005970</v>
      </c>
      <c r="G138" s="4" t="s">
        <v>157</v>
      </c>
      <c r="H138" s="1">
        <v>15</v>
      </c>
      <c r="I138" s="1">
        <v>5</v>
      </c>
      <c r="J138" s="1">
        <v>5</v>
      </c>
      <c r="K138" s="2">
        <v>2.3</v>
      </c>
    </row>
    <row r="139" spans="1:12">
      <c r="A139" s="3" t="s">
        <v>36</v>
      </c>
      <c r="B139" s="3" t="s">
        <v>58</v>
      </c>
      <c r="C139" s="3" t="s">
        <v>69</v>
      </c>
      <c r="D139" s="3"/>
      <c r="E139" s="2" t="str">
        <f>HYPERLINK("https://old.ukr-mobil.com/zashchitnoe_steklo_6d_premium_glass_9h_full_glue_dlya_xiaomi_mi_10t_mi_10_lite_mi_10t_pro_mi_10i_v_upakovke_s_salfetkami_10004433", "Перейти")</f>
        <v>Перейти</v>
      </c>
      <c r="F139" s="2">
        <v>10004433</v>
      </c>
      <c r="G139" s="4" t="s">
        <v>158</v>
      </c>
      <c r="H139" s="1">
        <v>12</v>
      </c>
      <c r="I139" s="1">
        <v>1</v>
      </c>
      <c r="J139" s="1">
        <v>0</v>
      </c>
      <c r="K139" s="2">
        <v>2.25</v>
      </c>
    </row>
    <row r="140" spans="1:12">
      <c r="A140" s="3" t="s">
        <v>36</v>
      </c>
      <c r="B140" s="3" t="s">
        <v>58</v>
      </c>
      <c r="C140" s="3" t="s">
        <v>69</v>
      </c>
      <c r="D140" s="3"/>
      <c r="E140" s="2" t="str">
        <f>HYPERLINK("https://old.ukr-mobil.com/zashchitnoe_steklo_6d_premium_glass_9h_full_glue_dlya_xiaomi_mi_11_lite_mi_11_lite_5g_v_upakovke_s_salfetkami_10004438", "Перейти")</f>
        <v>Перейти</v>
      </c>
      <c r="F140" s="2">
        <v>10004438</v>
      </c>
      <c r="G140" s="4" t="s">
        <v>159</v>
      </c>
      <c r="H140" s="1">
        <v>7</v>
      </c>
      <c r="I140" s="1">
        <v>2</v>
      </c>
      <c r="J140" s="1">
        <v>0</v>
      </c>
      <c r="K140" s="2">
        <v>2.25</v>
      </c>
    </row>
    <row r="141" spans="1:12">
      <c r="A141" s="3" t="s">
        <v>36</v>
      </c>
      <c r="B141" s="3" t="s">
        <v>58</v>
      </c>
      <c r="C141" s="3" t="s">
        <v>69</v>
      </c>
      <c r="D141" s="3"/>
      <c r="E141" s="2" t="str">
        <f>HYPERLINK("https://old.ukr-mobil.com/zashchitnoe_steklo_6d_premium_glass_9h_full_glue_dlya_xiaomi_note_9_pro_note_9s_note_10_pro_mi_11t_mi_11t_pro_v_upakovke_s_salfetkami_10004432", "Перейти")</f>
        <v>Перейти</v>
      </c>
      <c r="F141" s="2">
        <v>10004432</v>
      </c>
      <c r="G141" s="4" t="s">
        <v>160</v>
      </c>
      <c r="H141" s="1">
        <v>56</v>
      </c>
      <c r="I141" s="1">
        <v>16</v>
      </c>
      <c r="J141" s="1">
        <v>15</v>
      </c>
      <c r="K141" s="2">
        <v>2.3</v>
      </c>
    </row>
    <row r="142" spans="1:12">
      <c r="A142" s="3" t="s">
        <v>36</v>
      </c>
      <c r="B142" s="3" t="s">
        <v>58</v>
      </c>
      <c r="C142" s="3" t="s">
        <v>69</v>
      </c>
      <c r="D142" s="3"/>
      <c r="E142" s="2" t="str">
        <f>HYPERLINK("https://old.ukr-mobil.com/zashchitnoe_steklo_6d_premium_glass_9h_full_glue_dlya_xiaomi_redmi_10_redmi_note_10_5g_poco_m3_pro_v_upakovke_s_salfetkami_10004395", "Перейти")</f>
        <v>Перейти</v>
      </c>
      <c r="F142" s="2">
        <v>10004395</v>
      </c>
      <c r="G142" s="4" t="s">
        <v>161</v>
      </c>
      <c r="H142" s="1">
        <v>0</v>
      </c>
      <c r="I142" s="1">
        <v>0</v>
      </c>
      <c r="J142" s="1">
        <v>0</v>
      </c>
      <c r="K142" s="2">
        <v>2.25</v>
      </c>
    </row>
    <row r="143" spans="1:12">
      <c r="A143" s="3" t="s">
        <v>36</v>
      </c>
      <c r="B143" s="3" t="s">
        <v>58</v>
      </c>
      <c r="C143" s="3" t="s">
        <v>69</v>
      </c>
      <c r="D143" s="3"/>
      <c r="E143" s="2" t="str">
        <f>HYPERLINK("https://old.ukr-mobil.com/zashchitnoe_steklo_6d_premium_glass_9h_full_glue_dlya_xiaomi_redmi_10c_redmi_12c_redmi_10_power_v_upakovke_s_salfetkami_10004360", "Перейти")</f>
        <v>Перейти</v>
      </c>
      <c r="F143" s="2">
        <v>10004360</v>
      </c>
      <c r="G143" s="4" t="s">
        <v>162</v>
      </c>
      <c r="H143" s="1">
        <v>83</v>
      </c>
      <c r="I143" s="1">
        <v>26</v>
      </c>
      <c r="J143" s="1">
        <v>14</v>
      </c>
      <c r="K143" s="2">
        <v>2.3</v>
      </c>
    </row>
    <row r="144" spans="1:12">
      <c r="A144" s="3" t="s">
        <v>36</v>
      </c>
      <c r="B144" s="3" t="s">
        <v>58</v>
      </c>
      <c r="C144" s="3" t="s">
        <v>69</v>
      </c>
      <c r="D144" s="3"/>
      <c r="E144" s="2" t="str">
        <f>HYPERLINK("https://old.ukr-mobil.com/index.php?route=product&amp;product_id=10005972", "Перейти")</f>
        <v>Перейти</v>
      </c>
      <c r="F144" s="2">
        <v>10005972</v>
      </c>
      <c r="G144" s="4" t="s">
        <v>163</v>
      </c>
      <c r="H144" s="1">
        <v>14</v>
      </c>
      <c r="I144" s="1">
        <v>5</v>
      </c>
      <c r="J144" s="1">
        <v>5</v>
      </c>
      <c r="K144" s="2">
        <v>2.3</v>
      </c>
    </row>
    <row r="145" spans="1:12">
      <c r="A145" s="3" t="s">
        <v>36</v>
      </c>
      <c r="B145" s="3" t="s">
        <v>58</v>
      </c>
      <c r="C145" s="3" t="s">
        <v>69</v>
      </c>
      <c r="D145" s="3"/>
      <c r="E145" s="2" t="str">
        <f>HYPERLINK("https://old.ukr-mobil.com/index.php?route=product&amp;product_id=10005968", "Перейти")</f>
        <v>Перейти</v>
      </c>
      <c r="F145" s="2">
        <v>10005968</v>
      </c>
      <c r="G145" s="4" t="s">
        <v>164</v>
      </c>
      <c r="H145" s="1">
        <v>48</v>
      </c>
      <c r="I145" s="1">
        <v>24</v>
      </c>
      <c r="J145" s="1">
        <v>23</v>
      </c>
      <c r="K145" s="2">
        <v>2.3</v>
      </c>
    </row>
    <row r="146" spans="1:12">
      <c r="A146" s="3" t="s">
        <v>36</v>
      </c>
      <c r="B146" s="3" t="s">
        <v>58</v>
      </c>
      <c r="C146" s="3" t="s">
        <v>69</v>
      </c>
      <c r="D146" s="3"/>
      <c r="E146" s="2" t="str">
        <f>HYPERLINK("https://old.ukr-mobil.com/index.php?route=product&amp;product_id=10005969", "Перейти")</f>
        <v>Перейти</v>
      </c>
      <c r="F146" s="2">
        <v>10005969</v>
      </c>
      <c r="G146" s="4" t="s">
        <v>165</v>
      </c>
      <c r="H146" s="1">
        <v>29</v>
      </c>
      <c r="I146" s="1">
        <v>10</v>
      </c>
      <c r="J146" s="1">
        <v>10</v>
      </c>
      <c r="K146" s="2">
        <v>2.3</v>
      </c>
    </row>
    <row r="147" spans="1:12">
      <c r="A147" s="3" t="s">
        <v>36</v>
      </c>
      <c r="B147" s="3" t="s">
        <v>58</v>
      </c>
      <c r="C147" s="3" t="s">
        <v>69</v>
      </c>
      <c r="D147" s="3"/>
      <c r="E147" s="2" t="str">
        <f>HYPERLINK("https://old.ukr-mobil.com/index.php?route=product&amp;product_id=10005971", "Перейти")</f>
        <v>Перейти</v>
      </c>
      <c r="F147" s="2">
        <v>10005971</v>
      </c>
      <c r="G147" s="4" t="s">
        <v>166</v>
      </c>
      <c r="H147" s="1">
        <v>14</v>
      </c>
      <c r="I147" s="1">
        <v>5</v>
      </c>
      <c r="J147" s="1">
        <v>5</v>
      </c>
      <c r="K147" s="2">
        <v>2.3</v>
      </c>
    </row>
    <row r="148" spans="1:12">
      <c r="A148" s="3" t="s">
        <v>36</v>
      </c>
      <c r="B148" s="3" t="s">
        <v>58</v>
      </c>
      <c r="C148" s="3" t="s">
        <v>69</v>
      </c>
      <c r="D148" s="3"/>
      <c r="E148" s="2" t="str">
        <f>HYPERLINK("https://old.ukr-mobil.com/zashchitnoe_steklo_6d_premium_glass_9h_full_glue_dlya_xiaomi_redmi_7_note_7_note_7_pro_note_7s_note_8_mi_9_mi_9_lite_v_upakovke_s_salfetkami_10004434", "Перейти")</f>
        <v>Перейти</v>
      </c>
      <c r="F148" s="2">
        <v>10004434</v>
      </c>
      <c r="G148" s="4" t="s">
        <v>167</v>
      </c>
      <c r="H148" s="1">
        <v>2</v>
      </c>
      <c r="I148" s="1">
        <v>0</v>
      </c>
      <c r="J148" s="1">
        <v>0</v>
      </c>
      <c r="K148" s="2">
        <v>2.25</v>
      </c>
    </row>
    <row r="149" spans="1:12">
      <c r="A149" s="3" t="s">
        <v>36</v>
      </c>
      <c r="B149" s="3" t="s">
        <v>58</v>
      </c>
      <c r="C149" s="3" t="s">
        <v>69</v>
      </c>
      <c r="D149" s="3"/>
      <c r="E149" s="2" t="str">
        <f>HYPERLINK("https://old.ukr-mobil.com/zashchitnoe_steklo_6d_premium_glass_9h_full_glue_dlya_xiaomi_redmi_8_redmi_8a_v_upakovke_s_salfetkami_10004435", "Перейти")</f>
        <v>Перейти</v>
      </c>
      <c r="F149" s="2">
        <v>10004435</v>
      </c>
      <c r="G149" s="4" t="s">
        <v>168</v>
      </c>
      <c r="H149" s="1">
        <v>0</v>
      </c>
      <c r="I149" s="1">
        <v>0</v>
      </c>
      <c r="J149" s="1">
        <v>0</v>
      </c>
      <c r="K149" s="2">
        <v>2.25</v>
      </c>
    </row>
    <row r="150" spans="1:12">
      <c r="A150" s="3" t="s">
        <v>36</v>
      </c>
      <c r="B150" s="3" t="s">
        <v>58</v>
      </c>
      <c r="C150" s="3" t="s">
        <v>69</v>
      </c>
      <c r="D150" s="3"/>
      <c r="E150" s="2" t="str">
        <f>HYPERLINK("https://old.ukr-mobil.com/zashchitnoe_steklo_6d_premium_glass_9h_full_glue_dlya_xiaomi_redmi_9_redmi_9t_poco_m3_v_upakovke_s_salfetkami_10004436", "Перейти")</f>
        <v>Перейти</v>
      </c>
      <c r="F150" s="2">
        <v>10004436</v>
      </c>
      <c r="G150" s="4" t="s">
        <v>169</v>
      </c>
      <c r="H150" s="1">
        <v>20</v>
      </c>
      <c r="I150" s="1">
        <v>44</v>
      </c>
      <c r="J150" s="1">
        <v>23</v>
      </c>
      <c r="K150" s="2">
        <v>2.3</v>
      </c>
    </row>
    <row r="151" spans="1:12">
      <c r="A151" s="3" t="s">
        <v>36</v>
      </c>
      <c r="B151" s="3" t="s">
        <v>58</v>
      </c>
      <c r="C151" s="3" t="s">
        <v>69</v>
      </c>
      <c r="D151" s="3"/>
      <c r="E151" s="2" t="str">
        <f>HYPERLINK("https://old.ukr-mobil.com/zashchitnoe_steklo_6d_premium_glass_9h_full_glue_dlya_xiaomi_redmi_9a_redmi_9c_redmi_10a_redmi_a1_poco_c3_poco_m5_v_upakovke_s_salfetkami_10004359", "Перейти")</f>
        <v>Перейти</v>
      </c>
      <c r="F151" s="2">
        <v>10004359</v>
      </c>
      <c r="G151" s="4" t="s">
        <v>170</v>
      </c>
      <c r="H151" s="1">
        <v>84</v>
      </c>
      <c r="I151" s="1">
        <v>18</v>
      </c>
      <c r="J151" s="1">
        <v>22</v>
      </c>
      <c r="K151" s="2">
        <v>2.3</v>
      </c>
    </row>
    <row r="152" spans="1:12">
      <c r="A152" s="3" t="s">
        <v>36</v>
      </c>
      <c r="B152" s="3" t="s">
        <v>58</v>
      </c>
      <c r="C152" s="3" t="s">
        <v>69</v>
      </c>
      <c r="D152" s="3"/>
      <c r="E152" s="2" t="str">
        <f>HYPERLINK("https://old.ukr-mobil.com/index.php?route=product&amp;product_id=10005976", "Перейти")</f>
        <v>Перейти</v>
      </c>
      <c r="F152" s="2">
        <v>10005976</v>
      </c>
      <c r="G152" s="4" t="s">
        <v>171</v>
      </c>
      <c r="H152" s="1">
        <v>100</v>
      </c>
      <c r="I152" s="1">
        <v>23</v>
      </c>
      <c r="J152" s="1">
        <v>25</v>
      </c>
      <c r="K152" s="2">
        <v>2.3</v>
      </c>
    </row>
    <row r="153" spans="1:12">
      <c r="A153" s="3" t="s">
        <v>36</v>
      </c>
      <c r="B153" s="3" t="s">
        <v>58</v>
      </c>
      <c r="C153" s="3" t="s">
        <v>69</v>
      </c>
      <c r="D153" s="3"/>
      <c r="E153" s="2" t="str">
        <f>HYPERLINK("https://old.ukr-mobil.com/zashchitnoe_steklo_6d_premium_glass_9h_full_glue_dlya_xiaomi_redmi_note_10_note_10s_redmi_note_11_note_11s_poco_m4_pro_v_upakovke_s_salfetkami_10004396", "Перейти")</f>
        <v>Перейти</v>
      </c>
      <c r="F153" s="2">
        <v>10004396</v>
      </c>
      <c r="G153" s="4" t="s">
        <v>172</v>
      </c>
      <c r="H153" s="1">
        <v>48</v>
      </c>
      <c r="I153" s="1">
        <v>21</v>
      </c>
      <c r="J153" s="1">
        <v>25</v>
      </c>
      <c r="K153" s="2">
        <v>2.3</v>
      </c>
    </row>
    <row r="154" spans="1:12">
      <c r="A154" s="3" t="s">
        <v>36</v>
      </c>
      <c r="B154" s="3" t="s">
        <v>58</v>
      </c>
      <c r="C154" s="3" t="s">
        <v>69</v>
      </c>
      <c r="D154" s="3"/>
      <c r="E154" s="2" t="str">
        <f>HYPERLINK("https://old.ukr-mobil.com/zashchitnoe_steklo_6d_premium_glass_9h_full_glue_dlya_xiaomi_redmi_note_11_pro_redmi_note_12_pro_poco_f4_5g_poco_x4_pro_5g_v_upakovke_s_salfetkami_10004397", "Перейти")</f>
        <v>Перейти</v>
      </c>
      <c r="F154" s="2">
        <v>10004397</v>
      </c>
      <c r="G154" s="4" t="s">
        <v>173</v>
      </c>
      <c r="H154" s="1">
        <v>29</v>
      </c>
      <c r="I154" s="1">
        <v>6</v>
      </c>
      <c r="J154" s="1">
        <v>0</v>
      </c>
      <c r="K154" s="2">
        <v>2.25</v>
      </c>
    </row>
    <row r="155" spans="1:12">
      <c r="A155" s="3" t="s">
        <v>36</v>
      </c>
      <c r="B155" s="3" t="s">
        <v>58</v>
      </c>
      <c r="C155" s="3" t="s">
        <v>69</v>
      </c>
      <c r="D155" s="3"/>
      <c r="E155" s="2" t="str">
        <f>HYPERLINK("https://old.ukr-mobil.com/index.php?route=product&amp;product_id=10005975", "Перейти")</f>
        <v>Перейти</v>
      </c>
      <c r="F155" s="2">
        <v>10005975</v>
      </c>
      <c r="G155" s="4" t="s">
        <v>174</v>
      </c>
      <c r="H155" s="1">
        <v>43</v>
      </c>
      <c r="I155" s="1">
        <v>25</v>
      </c>
      <c r="J155" s="1">
        <v>25</v>
      </c>
      <c r="K155" s="2">
        <v>2.3</v>
      </c>
    </row>
    <row r="156" spans="1:12">
      <c r="A156" s="3" t="s">
        <v>36</v>
      </c>
      <c r="B156" s="3" t="s">
        <v>58</v>
      </c>
      <c r="C156" s="3" t="s">
        <v>69</v>
      </c>
      <c r="D156" s="3"/>
      <c r="E156" s="2" t="str">
        <f>HYPERLINK("https://old.ukr-mobil.com/zashchitnoe_steklo_6d_premium_glass_9h_full_glue_dlya_xiaomi_redmi_note_11t_pro_5g_v_upakovke_s_salfetkami_10004439", "Перейти")</f>
        <v>Перейти</v>
      </c>
      <c r="F156" s="2">
        <v>10004439</v>
      </c>
      <c r="G156" s="4" t="s">
        <v>175</v>
      </c>
      <c r="H156" s="1">
        <v>13</v>
      </c>
      <c r="I156" s="1">
        <v>4</v>
      </c>
      <c r="J156" s="1">
        <v>0</v>
      </c>
      <c r="K156" s="2">
        <v>2.25</v>
      </c>
    </row>
    <row r="157" spans="1:12">
      <c r="A157" s="3" t="s">
        <v>36</v>
      </c>
      <c r="B157" s="3" t="s">
        <v>58</v>
      </c>
      <c r="C157" s="3" t="s">
        <v>69</v>
      </c>
      <c r="D157" s="3"/>
      <c r="E157" s="2" t="str">
        <f>HYPERLINK("https://old.ukr-mobil.com/zashchitnoe_steklo_6d_premium_glass_9h_full_glue_dlya_xiaomi_redmi_note_12_poco_x5_v_upakovke_s_salfetkami_10004440", "Перейти")</f>
        <v>Перейти</v>
      </c>
      <c r="F157" s="2">
        <v>10004440</v>
      </c>
      <c r="G157" s="4" t="s">
        <v>176</v>
      </c>
      <c r="H157" s="1">
        <v>13</v>
      </c>
      <c r="I157" s="1">
        <v>1</v>
      </c>
      <c r="J157" s="1">
        <v>5</v>
      </c>
      <c r="K157" s="2">
        <v>2.3</v>
      </c>
    </row>
    <row r="158" spans="1:12">
      <c r="A158" s="3" t="s">
        <v>36</v>
      </c>
      <c r="B158" s="3" t="s">
        <v>58</v>
      </c>
      <c r="C158" s="3" t="s">
        <v>69</v>
      </c>
      <c r="D158" s="3"/>
      <c r="E158" s="2" t="str">
        <f>HYPERLINK("https://old.ukr-mobil.com/index.php?route=product&amp;product_id=10005973", "Перейти")</f>
        <v>Перейти</v>
      </c>
      <c r="F158" s="2">
        <v>10005973</v>
      </c>
      <c r="G158" s="4" t="s">
        <v>177</v>
      </c>
      <c r="H158" s="1">
        <v>3</v>
      </c>
      <c r="I158" s="1">
        <v>1</v>
      </c>
      <c r="J158" s="1">
        <v>5</v>
      </c>
      <c r="K158" s="2">
        <v>2.5</v>
      </c>
    </row>
    <row r="159" spans="1:12">
      <c r="A159" s="3" t="s">
        <v>36</v>
      </c>
      <c r="B159" s="3" t="s">
        <v>58</v>
      </c>
      <c r="C159" s="3" t="s">
        <v>69</v>
      </c>
      <c r="D159" s="3"/>
      <c r="E159" s="2" t="str">
        <f>HYPERLINK("https://old.ukr-mobil.com/index.php?route=product&amp;product_id=10005974", "Перейти")</f>
        <v>Перейти</v>
      </c>
      <c r="F159" s="2">
        <v>10005974</v>
      </c>
      <c r="G159" s="4" t="s">
        <v>178</v>
      </c>
      <c r="H159" s="1">
        <v>10</v>
      </c>
      <c r="I159" s="1">
        <v>4</v>
      </c>
      <c r="J159" s="1">
        <v>5</v>
      </c>
      <c r="K159" s="2">
        <v>2.3</v>
      </c>
    </row>
    <row r="160" spans="1:12">
      <c r="A160" s="3" t="s">
        <v>36</v>
      </c>
      <c r="B160" s="3" t="s">
        <v>58</v>
      </c>
      <c r="C160" s="3" t="s">
        <v>69</v>
      </c>
      <c r="D160" s="3"/>
      <c r="E160" s="2" t="str">
        <f>HYPERLINK("https://old.ukr-mobil.com/zashchitnoe_steklo_6d_premium_glass_9h_full_glue_dlya_xiaomi_redmi_note_9_redmi_note_9t_v_upakovke_s_salfetkami_10004437", "Перейти")</f>
        <v>Перейти</v>
      </c>
      <c r="F160" s="2">
        <v>10004437</v>
      </c>
      <c r="G160" s="4" t="s">
        <v>179</v>
      </c>
      <c r="H160" s="1">
        <v>0</v>
      </c>
      <c r="I160" s="1">
        <v>0</v>
      </c>
      <c r="J160" s="1">
        <v>0</v>
      </c>
      <c r="K160" s="2">
        <v>2.25</v>
      </c>
    </row>
    <row r="161" spans="1:12">
      <c r="A161" s="3" t="s">
        <v>36</v>
      </c>
      <c r="B161" s="3" t="s">
        <v>58</v>
      </c>
      <c r="C161" s="3" t="s">
        <v>180</v>
      </c>
      <c r="D161" s="3"/>
      <c r="E161" s="2" t="str">
        <f>HYPERLINK("https://old.ukr-mobil.com/zashchitnoe_steklo_iphone_12_mini_full_glue_2_5d_black_10001139", "Перейти")</f>
        <v>Перейти</v>
      </c>
      <c r="F161" s="2">
        <v>10001139</v>
      </c>
      <c r="G161" s="4" t="s">
        <v>181</v>
      </c>
      <c r="H161" s="1">
        <v>28</v>
      </c>
      <c r="I161" s="1">
        <v>1</v>
      </c>
      <c r="J161" s="1">
        <v>5</v>
      </c>
      <c r="K161" s="2">
        <v>0.85</v>
      </c>
    </row>
    <row r="162" spans="1:12">
      <c r="A162" s="3" t="s">
        <v>36</v>
      </c>
      <c r="B162" s="3" t="s">
        <v>58</v>
      </c>
      <c r="C162" s="3" t="s">
        <v>180</v>
      </c>
      <c r="D162" s="3"/>
      <c r="E162" s="2" t="str">
        <f>HYPERLINK("https://old.ukr-mobil.com/zashchitnoe_steklo_asus_zenfone_5_lite_zc600kl_full_glue_2_5d_black_12022", "Перейти")</f>
        <v>Перейти</v>
      </c>
      <c r="F162" s="2">
        <v>12022</v>
      </c>
      <c r="G162" s="4" t="s">
        <v>182</v>
      </c>
      <c r="H162" s="1">
        <v>3</v>
      </c>
      <c r="I162" s="1">
        <v>3</v>
      </c>
      <c r="J162" s="1">
        <v>2</v>
      </c>
      <c r="K162" s="2">
        <v>0.5</v>
      </c>
    </row>
    <row r="163" spans="1:12">
      <c r="A163" s="3" t="s">
        <v>36</v>
      </c>
      <c r="B163" s="3" t="s">
        <v>58</v>
      </c>
      <c r="C163" s="3" t="s">
        <v>180</v>
      </c>
      <c r="D163" s="3"/>
      <c r="E163" s="2" t="str">
        <f>HYPERLINK("https://old.ukr-mobil.com/zashchitnoe_steklo_asus_zenfone_live_l1_za550kl_g552kl_full_glue_2_5d_black_12024", "Перейти")</f>
        <v>Перейти</v>
      </c>
      <c r="F163" s="2">
        <v>12024</v>
      </c>
      <c r="G163" s="4" t="s">
        <v>183</v>
      </c>
      <c r="H163" s="1">
        <v>40</v>
      </c>
      <c r="I163" s="1">
        <v>4</v>
      </c>
      <c r="J163" s="1">
        <v>1</v>
      </c>
      <c r="K163" s="2">
        <v>0.5</v>
      </c>
    </row>
    <row r="164" spans="1:12">
      <c r="A164" s="3" t="s">
        <v>36</v>
      </c>
      <c r="B164" s="3" t="s">
        <v>58</v>
      </c>
      <c r="C164" s="3" t="s">
        <v>180</v>
      </c>
      <c r="D164" s="3"/>
      <c r="E164" s="2" t="str">
        <f>HYPERLINK("https://old.ukr-mobil.com/zashchitnoe_steklo_huawei_gr3_2017_honor_8_lite_nova_lite_2016_p8_lite_2017_full_glue_2_5d_black_12027", "Перейти")</f>
        <v>Перейти</v>
      </c>
      <c r="F164" s="2">
        <v>12027</v>
      </c>
      <c r="G164" s="4" t="s">
        <v>184</v>
      </c>
      <c r="H164" s="1">
        <v>0</v>
      </c>
      <c r="I164" s="1">
        <v>0</v>
      </c>
      <c r="J164" s="1">
        <v>0</v>
      </c>
      <c r="K164" s="2">
        <v>1.0</v>
      </c>
    </row>
    <row r="165" spans="1:12">
      <c r="A165" s="3" t="s">
        <v>36</v>
      </c>
      <c r="B165" s="3" t="s">
        <v>58</v>
      </c>
      <c r="C165" s="3" t="s">
        <v>180</v>
      </c>
      <c r="D165" s="3"/>
      <c r="E165" s="2" t="str">
        <f>HYPERLINK("https://old.ukr-mobil.com/zashchitnoe_steklo_huawei_p_smart_z_y9_prime_2019_y9s_honor_9x_full_glue_2_5d_black_10000616", "Перейти")</f>
        <v>Перейти</v>
      </c>
      <c r="F165" s="2">
        <v>10000616</v>
      </c>
      <c r="G165" s="4" t="s">
        <v>185</v>
      </c>
      <c r="H165" s="1">
        <v>0</v>
      </c>
      <c r="I165" s="1">
        <v>0</v>
      </c>
      <c r="J165" s="1">
        <v>1</v>
      </c>
      <c r="K165" s="2">
        <v>1.0</v>
      </c>
    </row>
    <row r="166" spans="1:12">
      <c r="A166" s="3" t="s">
        <v>36</v>
      </c>
      <c r="B166" s="3" t="s">
        <v>58</v>
      </c>
      <c r="C166" s="3" t="s">
        <v>180</v>
      </c>
      <c r="D166" s="3"/>
      <c r="E166" s="2" t="str">
        <f>HYPERLINK("https://old.ukr-mobil.com/zashchitnoe_steklo_huawei_p10_lite_was-l21_full_glue_2_5d_black_12032", "Перейти")</f>
        <v>Перейти</v>
      </c>
      <c r="F166" s="2">
        <v>12032</v>
      </c>
      <c r="G166" s="4" t="s">
        <v>186</v>
      </c>
      <c r="H166" s="1">
        <v>0</v>
      </c>
      <c r="I166" s="1">
        <v>0</v>
      </c>
      <c r="J166" s="1">
        <v>2</v>
      </c>
      <c r="K166" s="2">
        <v>0.75</v>
      </c>
    </row>
    <row r="167" spans="1:12">
      <c r="A167" s="3" t="s">
        <v>36</v>
      </c>
      <c r="B167" s="3" t="s">
        <v>58</v>
      </c>
      <c r="C167" s="3" t="s">
        <v>180</v>
      </c>
      <c r="D167" s="3"/>
      <c r="E167" s="2" t="str">
        <f>HYPERLINK("https://old.ukr-mobil.com/zashchitnoe_steklo_huawei_p30_full_glue_2_5d_black_10000617", "Перейти")</f>
        <v>Перейти</v>
      </c>
      <c r="F167" s="2">
        <v>10000617</v>
      </c>
      <c r="G167" s="4" t="s">
        <v>187</v>
      </c>
      <c r="H167" s="1">
        <v>1</v>
      </c>
      <c r="I167" s="1">
        <v>0</v>
      </c>
      <c r="J167" s="1">
        <v>0</v>
      </c>
      <c r="K167" s="2">
        <v>0.75</v>
      </c>
    </row>
    <row r="168" spans="1:12">
      <c r="A168" s="3" t="s">
        <v>36</v>
      </c>
      <c r="B168" s="3" t="s">
        <v>58</v>
      </c>
      <c r="C168" s="3" t="s">
        <v>180</v>
      </c>
      <c r="D168" s="3"/>
      <c r="E168" s="2" t="str">
        <f>HYPERLINK("https://old.ukr-mobil.com/zashchitnoe_steklo_huawei_nova_4_full_glue_2_5d_black_10000420", "Перейти")</f>
        <v>Перейти</v>
      </c>
      <c r="F168" s="2">
        <v>10000420</v>
      </c>
      <c r="G168" s="4" t="s">
        <v>188</v>
      </c>
      <c r="H168" s="1">
        <v>4</v>
      </c>
      <c r="I168" s="1">
        <v>0</v>
      </c>
      <c r="J168" s="1">
        <v>2</v>
      </c>
      <c r="K168" s="2">
        <v>1.51</v>
      </c>
    </row>
    <row r="169" spans="1:12">
      <c r="A169" s="3" t="s">
        <v>36</v>
      </c>
      <c r="B169" s="3" t="s">
        <v>58</v>
      </c>
      <c r="C169" s="3" t="s">
        <v>180</v>
      </c>
      <c r="D169" s="3"/>
      <c r="E169" s="2" t="str">
        <f>HYPERLINK("https://old.ukr-mobil.com/zashchitnoe_steklo_huawei_y9_2018_full_glue_2_5d_black_12036", "Перейти")</f>
        <v>Перейти</v>
      </c>
      <c r="F169" s="2">
        <v>12036</v>
      </c>
      <c r="G169" s="4" t="s">
        <v>189</v>
      </c>
      <c r="H169" s="1">
        <v>15</v>
      </c>
      <c r="I169" s="1">
        <v>5</v>
      </c>
      <c r="J169" s="1">
        <v>3</v>
      </c>
      <c r="K169" s="2">
        <v>0.5</v>
      </c>
    </row>
    <row r="170" spans="1:12">
      <c r="A170" s="3" t="s">
        <v>36</v>
      </c>
      <c r="B170" s="3" t="s">
        <v>58</v>
      </c>
      <c r="C170" s="3" t="s">
        <v>180</v>
      </c>
      <c r="D170" s="3"/>
      <c r="E170" s="2" t="str">
        <f>HYPERLINK("https://old.ukr-mobil.com/zashchitnoe_steklo_huawei_y9_2019_full_glue_2_5d_black_12037", "Перейти")</f>
        <v>Перейти</v>
      </c>
      <c r="F170" s="2">
        <v>12037</v>
      </c>
      <c r="G170" s="4" t="s">
        <v>190</v>
      </c>
      <c r="H170" s="1">
        <v>3</v>
      </c>
      <c r="I170" s="1">
        <v>5</v>
      </c>
      <c r="J170" s="1">
        <v>2</v>
      </c>
      <c r="K170" s="2">
        <v>0.5</v>
      </c>
    </row>
    <row r="171" spans="1:12">
      <c r="A171" s="3" t="s">
        <v>36</v>
      </c>
      <c r="B171" s="3" t="s">
        <v>58</v>
      </c>
      <c r="C171" s="3" t="s">
        <v>180</v>
      </c>
      <c r="D171" s="3"/>
      <c r="E171" s="2" t="str">
        <f>HYPERLINK("https://old.ukr-mobil.com/zashchitnoe_steklo_motorola_xt1926_moto_g6_plus_full_glue_2_5d_black_12059", "Перейти")</f>
        <v>Перейти</v>
      </c>
      <c r="F171" s="2">
        <v>12059</v>
      </c>
      <c r="G171" s="4" t="s">
        <v>191</v>
      </c>
      <c r="H171" s="1">
        <v>10</v>
      </c>
      <c r="I171" s="1">
        <v>5</v>
      </c>
      <c r="J171" s="1">
        <v>2</v>
      </c>
      <c r="K171" s="2">
        <v>0.5</v>
      </c>
    </row>
    <row r="172" spans="1:12">
      <c r="A172" s="3" t="s">
        <v>36</v>
      </c>
      <c r="B172" s="3" t="s">
        <v>58</v>
      </c>
      <c r="C172" s="3" t="s">
        <v>180</v>
      </c>
      <c r="D172" s="3"/>
      <c r="E172" s="2" t="str">
        <f>HYPERLINK("https://old.ukr-mobil.com/zashchitnoe_steklo_nokia_3_1_full_glue_2_5d_black_10000623", "Перейти")</f>
        <v>Перейти</v>
      </c>
      <c r="F172" s="2">
        <v>10000623</v>
      </c>
      <c r="G172" s="4" t="s">
        <v>192</v>
      </c>
      <c r="H172" s="1">
        <v>15</v>
      </c>
      <c r="I172" s="1">
        <v>1</v>
      </c>
      <c r="J172" s="1">
        <v>3</v>
      </c>
      <c r="K172" s="2">
        <v>1.2</v>
      </c>
    </row>
    <row r="173" spans="1:12">
      <c r="A173" s="3" t="s">
        <v>36</v>
      </c>
      <c r="B173" s="3" t="s">
        <v>58</v>
      </c>
      <c r="C173" s="3" t="s">
        <v>180</v>
      </c>
      <c r="D173" s="3"/>
      <c r="E173" s="2" t="str">
        <f>HYPERLINK("https://old.ukr-mobil.com/zashchitnoe_steklo_nokia_4_2_full_glue_2_5d_black_10000626", "Перейти")</f>
        <v>Перейти</v>
      </c>
      <c r="F173" s="2">
        <v>10000626</v>
      </c>
      <c r="G173" s="4" t="s">
        <v>193</v>
      </c>
      <c r="H173" s="1">
        <v>5</v>
      </c>
      <c r="I173" s="1">
        <v>4</v>
      </c>
      <c r="J173" s="1">
        <v>2</v>
      </c>
      <c r="K173" s="2">
        <v>1.2</v>
      </c>
    </row>
    <row r="174" spans="1:12">
      <c r="A174" s="3" t="s">
        <v>36</v>
      </c>
      <c r="B174" s="3" t="s">
        <v>58</v>
      </c>
      <c r="C174" s="3" t="s">
        <v>180</v>
      </c>
      <c r="D174" s="3"/>
      <c r="E174" s="2" t="str">
        <f>HYPERLINK("https://old.ukr-mobil.com/zashchitnoe_steklo_nokia_5_1_full_glue_2_5d_black_10000628", "Перейти")</f>
        <v>Перейти</v>
      </c>
      <c r="F174" s="2">
        <v>10000628</v>
      </c>
      <c r="G174" s="4" t="s">
        <v>194</v>
      </c>
      <c r="H174" s="1">
        <v>18</v>
      </c>
      <c r="I174" s="1">
        <v>4</v>
      </c>
      <c r="J174" s="1">
        <v>2</v>
      </c>
      <c r="K174" s="2">
        <v>1.0</v>
      </c>
    </row>
    <row r="175" spans="1:12">
      <c r="A175" s="3" t="s">
        <v>36</v>
      </c>
      <c r="B175" s="3" t="s">
        <v>58</v>
      </c>
      <c r="C175" s="3" t="s">
        <v>180</v>
      </c>
      <c r="D175" s="3"/>
      <c r="E175" s="2" t="str">
        <f>HYPERLINK("https://old.ukr-mobil.com/zashchitnoe_steklo_nokia_6_full_glue_2_5d_black_10000630", "Перейти")</f>
        <v>Перейти</v>
      </c>
      <c r="F175" s="2">
        <v>10000630</v>
      </c>
      <c r="G175" s="4" t="s">
        <v>195</v>
      </c>
      <c r="H175" s="1">
        <v>8</v>
      </c>
      <c r="I175" s="1">
        <v>1</v>
      </c>
      <c r="J175" s="1">
        <v>2</v>
      </c>
      <c r="K175" s="2">
        <v>1.2</v>
      </c>
    </row>
    <row r="176" spans="1:12">
      <c r="A176" s="3" t="s">
        <v>36</v>
      </c>
      <c r="B176" s="3" t="s">
        <v>58</v>
      </c>
      <c r="C176" s="3" t="s">
        <v>180</v>
      </c>
      <c r="D176" s="3"/>
      <c r="E176" s="2" t="str">
        <f>HYPERLINK("https://old.ukr-mobil.com/zashchitnoe_steklo_nokia_6_1_full_glue_2_5d_black_10000631", "Перейти")</f>
        <v>Перейти</v>
      </c>
      <c r="F176" s="2">
        <v>10000631</v>
      </c>
      <c r="G176" s="4" t="s">
        <v>196</v>
      </c>
      <c r="H176" s="1">
        <v>0</v>
      </c>
      <c r="I176" s="1">
        <v>0</v>
      </c>
      <c r="J176" s="1">
        <v>2</v>
      </c>
      <c r="K176" s="2">
        <v>1.2</v>
      </c>
    </row>
    <row r="177" spans="1:12">
      <c r="A177" s="3" t="s">
        <v>36</v>
      </c>
      <c r="B177" s="3" t="s">
        <v>58</v>
      </c>
      <c r="C177" s="3" t="s">
        <v>180</v>
      </c>
      <c r="D177" s="3"/>
      <c r="E177" s="2" t="str">
        <f>HYPERLINK("https://old.ukr-mobil.com/zashchitnoe_steklo_samsung_a015_galaxy_a01_full_glue_2_5d_black_10000633", "Перейти")</f>
        <v>Перейти</v>
      </c>
      <c r="F177" s="2">
        <v>10000633</v>
      </c>
      <c r="G177" s="4" t="s">
        <v>197</v>
      </c>
      <c r="H177" s="1">
        <v>0</v>
      </c>
      <c r="I177" s="1">
        <v>0</v>
      </c>
      <c r="J177" s="1">
        <v>0</v>
      </c>
      <c r="K177" s="2">
        <v>1.2</v>
      </c>
    </row>
    <row r="178" spans="1:12">
      <c r="A178" s="3" t="s">
        <v>36</v>
      </c>
      <c r="B178" s="3" t="s">
        <v>58</v>
      </c>
      <c r="C178" s="3" t="s">
        <v>180</v>
      </c>
      <c r="D178" s="3"/>
      <c r="E178" s="2" t="str">
        <f>HYPERLINK("https://old.ukr-mobil.com/zashchitnoe_steklo_samsung_a105_galaxy_a10_2019_m105_galaxy_m10_full_glue_2_5d_black_12004", "Перейти")</f>
        <v>Перейти</v>
      </c>
      <c r="F178" s="2">
        <v>12004</v>
      </c>
      <c r="G178" s="4" t="s">
        <v>198</v>
      </c>
      <c r="H178" s="1">
        <v>0</v>
      </c>
      <c r="I178" s="1">
        <v>0</v>
      </c>
      <c r="J178" s="1">
        <v>0</v>
      </c>
      <c r="K178" s="2">
        <v>1.35</v>
      </c>
    </row>
    <row r="179" spans="1:12">
      <c r="A179" s="3" t="s">
        <v>36</v>
      </c>
      <c r="B179" s="3" t="s">
        <v>58</v>
      </c>
      <c r="C179" s="3" t="s">
        <v>180</v>
      </c>
      <c r="D179" s="3"/>
      <c r="E179" s="2" t="str">
        <f>HYPERLINK("https://old.ukr-mobil.com/zashchitnoe_steklo_samsung_a205_galaxy_a20_2019_full_glue_2_5d_black_10000634", "Перейти")</f>
        <v>Перейти</v>
      </c>
      <c r="F179" s="2">
        <v>10000634</v>
      </c>
      <c r="G179" s="4" t="s">
        <v>199</v>
      </c>
      <c r="H179" s="1">
        <v>0</v>
      </c>
      <c r="I179" s="1">
        <v>0</v>
      </c>
      <c r="J179" s="1">
        <v>0</v>
      </c>
      <c r="K179" s="2">
        <v>1.2</v>
      </c>
    </row>
    <row r="180" spans="1:12">
      <c r="A180" s="3" t="s">
        <v>36</v>
      </c>
      <c r="B180" s="3" t="s">
        <v>58</v>
      </c>
      <c r="C180" s="3" t="s">
        <v>180</v>
      </c>
      <c r="D180" s="3"/>
      <c r="E180" s="2" t="str">
        <f>HYPERLINK("https://old.ukr-mobil.com/zashchitnoe_steklo_samsung_a217_galaxy_a21s_full_glue_2_5d_black_10001070", "Перейти")</f>
        <v>Перейти</v>
      </c>
      <c r="F180" s="2">
        <v>10001070</v>
      </c>
      <c r="G180" s="4" t="s">
        <v>200</v>
      </c>
      <c r="H180" s="1">
        <v>0</v>
      </c>
      <c r="I180" s="1">
        <v>0</v>
      </c>
      <c r="J180" s="1">
        <v>2</v>
      </c>
      <c r="K180" s="2">
        <v>1.5</v>
      </c>
    </row>
    <row r="181" spans="1:12">
      <c r="A181" s="3" t="s">
        <v>36</v>
      </c>
      <c r="B181" s="3" t="s">
        <v>58</v>
      </c>
      <c r="C181" s="3" t="s">
        <v>180</v>
      </c>
      <c r="D181" s="3"/>
      <c r="E181" s="2" t="str">
        <f>HYPERLINK("https://old.ukr-mobil.com/zashchitnoe_steklo_samsung_a405_galaxy_a40_2019_full_glue_2_5d_black_12006", "Перейти")</f>
        <v>Перейти</v>
      </c>
      <c r="F181" s="2">
        <v>12006</v>
      </c>
      <c r="G181" s="4" t="s">
        <v>201</v>
      </c>
      <c r="H181" s="1">
        <v>0</v>
      </c>
      <c r="I181" s="1">
        <v>0</v>
      </c>
      <c r="J181" s="1">
        <v>0</v>
      </c>
      <c r="K181" s="2">
        <v>1.01</v>
      </c>
    </row>
    <row r="182" spans="1:12">
      <c r="A182" s="3" t="s">
        <v>36</v>
      </c>
      <c r="B182" s="3" t="s">
        <v>58</v>
      </c>
      <c r="C182" s="3" t="s">
        <v>180</v>
      </c>
      <c r="D182" s="3"/>
      <c r="E182" s="2" t="str">
        <f>HYPERLINK("https://old.ukr-mobil.com/zashchitnoe_steklo_samsung_a510_galaxy_a5_2016_full_glue_2_5d_white_12001", "Перейти")</f>
        <v>Перейти</v>
      </c>
      <c r="F182" s="2">
        <v>12001</v>
      </c>
      <c r="G182" s="4" t="s">
        <v>202</v>
      </c>
      <c r="H182" s="1">
        <v>11</v>
      </c>
      <c r="I182" s="1">
        <v>6</v>
      </c>
      <c r="J182" s="1">
        <v>2</v>
      </c>
      <c r="K182" s="2">
        <v>0.76</v>
      </c>
    </row>
    <row r="183" spans="1:12">
      <c r="A183" s="3" t="s">
        <v>36</v>
      </c>
      <c r="B183" s="3" t="s">
        <v>58</v>
      </c>
      <c r="C183" s="3" t="s">
        <v>180</v>
      </c>
      <c r="D183" s="3"/>
      <c r="E183" s="2" t="str">
        <f>HYPERLINK("https://old.ukr-mobil.com/zashchitnoe_steklo_samsung_a515_galaxy_a51_full_glue_2_5d_black_10000636", "Перейти")</f>
        <v>Перейти</v>
      </c>
      <c r="F183" s="2">
        <v>10000636</v>
      </c>
      <c r="G183" s="4" t="s">
        <v>203</v>
      </c>
      <c r="H183" s="1">
        <v>0</v>
      </c>
      <c r="I183" s="1">
        <v>0</v>
      </c>
      <c r="J183" s="1">
        <v>0</v>
      </c>
      <c r="K183" s="2">
        <v>1.25</v>
      </c>
    </row>
    <row r="184" spans="1:12">
      <c r="A184" s="3" t="s">
        <v>36</v>
      </c>
      <c r="B184" s="3" t="s">
        <v>58</v>
      </c>
      <c r="C184" s="3" t="s">
        <v>180</v>
      </c>
      <c r="D184" s="3"/>
      <c r="E184" s="2" t="str">
        <f>HYPERLINK("https://old.ukr-mobil.com/zashchitnoe_steklo_samsung_a6060_galaxy_a60_2019_full_glue_2_5d_black_12311", "Перейти")</f>
        <v>Перейти</v>
      </c>
      <c r="F184" s="2">
        <v>12311</v>
      </c>
      <c r="G184" s="4" t="s">
        <v>204</v>
      </c>
      <c r="H184" s="1">
        <v>3</v>
      </c>
      <c r="I184" s="1">
        <v>3</v>
      </c>
      <c r="J184" s="1">
        <v>2</v>
      </c>
      <c r="K184" s="2">
        <v>1.01</v>
      </c>
    </row>
    <row r="185" spans="1:12">
      <c r="A185" s="3" t="s">
        <v>36</v>
      </c>
      <c r="B185" s="3" t="s">
        <v>58</v>
      </c>
      <c r="C185" s="3" t="s">
        <v>180</v>
      </c>
      <c r="D185" s="3"/>
      <c r="E185" s="2" t="str">
        <f>HYPERLINK("https://old.ukr-mobil.com/zashchitnoe_steklo_samsung_a705_galaxy_a70_2019_full_glue_2_5d_black_12007", "Перейти")</f>
        <v>Перейти</v>
      </c>
      <c r="F185" s="2">
        <v>12007</v>
      </c>
      <c r="G185" s="4" t="s">
        <v>205</v>
      </c>
      <c r="H185" s="1">
        <v>3</v>
      </c>
      <c r="I185" s="1">
        <v>0</v>
      </c>
      <c r="J185" s="1">
        <v>0</v>
      </c>
      <c r="K185" s="2">
        <v>1.01</v>
      </c>
    </row>
    <row r="186" spans="1:12">
      <c r="A186" s="3" t="s">
        <v>36</v>
      </c>
      <c r="B186" s="3" t="s">
        <v>58</v>
      </c>
      <c r="C186" s="3" t="s">
        <v>180</v>
      </c>
      <c r="D186" s="3"/>
      <c r="E186" s="2" t="str">
        <f>HYPERLINK("https://old.ukr-mobil.com/zashchitnoe_steklo_xiaomi_mi_8_pro_full_glue_2_5d_black_10000640", "Перейти")</f>
        <v>Перейти</v>
      </c>
      <c r="F186" s="2">
        <v>10000640</v>
      </c>
      <c r="G186" s="4" t="s">
        <v>206</v>
      </c>
      <c r="H186" s="1">
        <v>3</v>
      </c>
      <c r="I186" s="1">
        <v>9</v>
      </c>
      <c r="J186" s="1">
        <v>2</v>
      </c>
      <c r="K186" s="2">
        <v>1.2</v>
      </c>
    </row>
    <row r="187" spans="1:12">
      <c r="A187" s="3" t="s">
        <v>36</v>
      </c>
      <c r="B187" s="3" t="s">
        <v>58</v>
      </c>
      <c r="C187" s="3" t="s">
        <v>180</v>
      </c>
      <c r="D187" s="3"/>
      <c r="E187" s="2" t="str">
        <f>HYPERLINK("https://old.ukr-mobil.com/zashchitnoe_steklo_xiaomi_mi_8_se_full_glue_2_5d_black_10000641", "Перейти")</f>
        <v>Перейти</v>
      </c>
      <c r="F187" s="2">
        <v>10000641</v>
      </c>
      <c r="G187" s="4" t="s">
        <v>207</v>
      </c>
      <c r="H187" s="1">
        <v>10</v>
      </c>
      <c r="I187" s="1">
        <v>4</v>
      </c>
      <c r="J187" s="1">
        <v>3</v>
      </c>
      <c r="K187" s="2">
        <v>1.2</v>
      </c>
    </row>
    <row r="188" spans="1:12">
      <c r="A188" s="3" t="s">
        <v>36</v>
      </c>
      <c r="B188" s="3" t="s">
        <v>58</v>
      </c>
      <c r="C188" s="3" t="s">
        <v>180</v>
      </c>
      <c r="D188" s="3"/>
      <c r="E188" s="2" t="str">
        <f>HYPERLINK("https://old.ukr-mobil.com/zashchitnoe_steklo_xiaomi_mi_9_full_glue_2_5d_black_12049", "Перейти")</f>
        <v>Перейти</v>
      </c>
      <c r="F188" s="2">
        <v>12049</v>
      </c>
      <c r="G188" s="4" t="s">
        <v>208</v>
      </c>
      <c r="H188" s="1">
        <v>0</v>
      </c>
      <c r="I188" s="1">
        <v>0</v>
      </c>
      <c r="J188" s="1">
        <v>0</v>
      </c>
      <c r="K188" s="2">
        <v>1.01</v>
      </c>
    </row>
    <row r="189" spans="1:12">
      <c r="A189" s="3" t="s">
        <v>36</v>
      </c>
      <c r="B189" s="3" t="s">
        <v>58</v>
      </c>
      <c r="C189" s="3" t="s">
        <v>180</v>
      </c>
      <c r="D189" s="3"/>
      <c r="E189" s="2" t="str">
        <f>HYPERLINK("https://old.ukr-mobil.com/zashchitnoe_steklo_xiaomi_mi_a1_mi5x_full_glue_2_5d_black_12040", "Перейти")</f>
        <v>Перейти</v>
      </c>
      <c r="F189" s="2">
        <v>12040</v>
      </c>
      <c r="G189" s="4" t="s">
        <v>209</v>
      </c>
      <c r="H189" s="1">
        <v>0</v>
      </c>
      <c r="I189" s="1">
        <v>0</v>
      </c>
      <c r="J189" s="1">
        <v>0</v>
      </c>
      <c r="K189" s="2">
        <v>1.2</v>
      </c>
    </row>
    <row r="190" spans="1:12">
      <c r="A190" s="3" t="s">
        <v>36</v>
      </c>
      <c r="B190" s="3" t="s">
        <v>58</v>
      </c>
      <c r="C190" s="3" t="s">
        <v>180</v>
      </c>
      <c r="D190" s="3"/>
      <c r="E190" s="2" t="str">
        <f>HYPERLINK("https://old.ukr-mobil.com/zashchitnoe_steklo_xiaomi_redmi_8_redmi_8a_full_glue_2_5d_black_10000435", "Перейти")</f>
        <v>Перейти</v>
      </c>
      <c r="F190" s="2">
        <v>10000435</v>
      </c>
      <c r="G190" s="4" t="s">
        <v>210</v>
      </c>
      <c r="H190" s="1">
        <v>6</v>
      </c>
      <c r="I190" s="1">
        <v>0</v>
      </c>
      <c r="J190" s="1">
        <v>0</v>
      </c>
      <c r="K190" s="2">
        <v>1.35</v>
      </c>
    </row>
    <row r="191" spans="1:12">
      <c r="A191" s="3" t="s">
        <v>36</v>
      </c>
      <c r="B191" s="3" t="s">
        <v>58</v>
      </c>
      <c r="C191" s="3" t="s">
        <v>180</v>
      </c>
      <c r="D191" s="3"/>
      <c r="E191" s="2" t="str">
        <f>HYPERLINK("https://old.ukr-mobil.com/zashchitnoe_steklo_xiaomi_redmi_note_8_pro_full_glue_2_5d_black_10001410", "Перейти")</f>
        <v>Перейти</v>
      </c>
      <c r="F191" s="2">
        <v>10001410</v>
      </c>
      <c r="G191" s="4" t="s">
        <v>211</v>
      </c>
      <c r="H191" s="1">
        <v>0</v>
      </c>
      <c r="I191" s="1">
        <v>0</v>
      </c>
      <c r="J191" s="1">
        <v>0</v>
      </c>
      <c r="K191" s="2">
        <v>1.5</v>
      </c>
    </row>
    <row r="192" spans="1:12">
      <c r="A192" s="3" t="s">
        <v>36</v>
      </c>
      <c r="B192" s="3" t="s">
        <v>58</v>
      </c>
      <c r="C192" s="3" t="s">
        <v>180</v>
      </c>
      <c r="D192" s="3"/>
      <c r="E192" s="2" t="str">
        <f>HYPERLINK("https://old.ukr-mobil.com/zashchitnoe_steklo_xiaomi_redmi_s2_full_glue_2_5d_black_12058", "Перейти")</f>
        <v>Перейти</v>
      </c>
      <c r="F192" s="2">
        <v>12058</v>
      </c>
      <c r="G192" s="4" t="s">
        <v>212</v>
      </c>
      <c r="H192" s="1">
        <v>0</v>
      </c>
      <c r="I192" s="1">
        <v>0</v>
      </c>
      <c r="J192" s="1">
        <v>1</v>
      </c>
      <c r="K192" s="2">
        <v>1.5</v>
      </c>
    </row>
    <row r="193" spans="1:12">
      <c r="A193" s="3" t="s">
        <v>36</v>
      </c>
      <c r="B193" s="3" t="s">
        <v>58</v>
      </c>
      <c r="C193" s="3" t="s">
        <v>213</v>
      </c>
      <c r="D193" s="3"/>
      <c r="E193" s="2" t="str">
        <f>HYPERLINK("https://old.ukr-mobil.com/zashchitnoe_steklo_apple_iphone_11_pro_max_pro-flexi_hd_full_glue_black_10001692", "Перейти")</f>
        <v>Перейти</v>
      </c>
      <c r="F193" s="2">
        <v>10001692</v>
      </c>
      <c r="G193" s="4" t="s">
        <v>214</v>
      </c>
      <c r="H193" s="1">
        <v>0</v>
      </c>
      <c r="I193" s="1">
        <v>0</v>
      </c>
      <c r="J193" s="1">
        <v>2</v>
      </c>
      <c r="K193" s="2">
        <v>1.85</v>
      </c>
    </row>
    <row r="194" spans="1:12">
      <c r="A194" s="3" t="s">
        <v>36</v>
      </c>
      <c r="B194" s="3" t="s">
        <v>58</v>
      </c>
      <c r="C194" s="3" t="s">
        <v>213</v>
      </c>
      <c r="D194" s="3"/>
      <c r="E194" s="2" t="str">
        <f>HYPERLINK("https://old.ukr-mobil.com/zashchitnoe_steklo_apple_iphone_11_pro_pro-flexi_hd_full_glue_black_10001691", "Перейти")</f>
        <v>Перейти</v>
      </c>
      <c r="F194" s="2">
        <v>10001691</v>
      </c>
      <c r="G194" s="4" t="s">
        <v>215</v>
      </c>
      <c r="H194" s="1">
        <v>0</v>
      </c>
      <c r="I194" s="1">
        <v>8</v>
      </c>
      <c r="J194" s="1">
        <v>25</v>
      </c>
      <c r="K194" s="2">
        <v>2.0</v>
      </c>
    </row>
    <row r="195" spans="1:12">
      <c r="A195" s="3" t="s">
        <v>36</v>
      </c>
      <c r="B195" s="3" t="s">
        <v>58</v>
      </c>
      <c r="C195" s="3" t="s">
        <v>213</v>
      </c>
      <c r="D195" s="3"/>
      <c r="E195" s="2" t="str">
        <f>HYPERLINK("https://old.ukr-mobil.com/zashchitnoe_steklo_apple_iphone_11_pro-flexi_hd_full_glue_black_10001690", "Перейти")</f>
        <v>Перейти</v>
      </c>
      <c r="F195" s="2">
        <v>10001690</v>
      </c>
      <c r="G195" s="4" t="s">
        <v>216</v>
      </c>
      <c r="H195" s="1">
        <v>0</v>
      </c>
      <c r="I195" s="1">
        <v>0</v>
      </c>
      <c r="J195" s="1">
        <v>0</v>
      </c>
      <c r="K195" s="2">
        <v>1.85</v>
      </c>
    </row>
    <row r="196" spans="1:12">
      <c r="A196" s="3" t="s">
        <v>36</v>
      </c>
      <c r="B196" s="3" t="s">
        <v>58</v>
      </c>
      <c r="C196" s="3" t="s">
        <v>213</v>
      </c>
      <c r="D196" s="3"/>
      <c r="E196" s="2" t="str">
        <f>HYPERLINK("https://old.ukr-mobil.com/zashchitnoe_steklo_apple_iphone_12_mini_pro-flexi_hd_full_glue_black_10001695", "Перейти")</f>
        <v>Перейти</v>
      </c>
      <c r="F196" s="2">
        <v>10001695</v>
      </c>
      <c r="G196" s="4" t="s">
        <v>217</v>
      </c>
      <c r="H196" s="1">
        <v>26</v>
      </c>
      <c r="I196" s="1">
        <v>3</v>
      </c>
      <c r="J196" s="1">
        <v>0</v>
      </c>
      <c r="K196" s="2">
        <v>2.0</v>
      </c>
    </row>
    <row r="197" spans="1:12">
      <c r="A197" s="3" t="s">
        <v>36</v>
      </c>
      <c r="B197" s="3" t="s">
        <v>58</v>
      </c>
      <c r="C197" s="3" t="s">
        <v>213</v>
      </c>
      <c r="D197" s="3"/>
      <c r="E197" s="2" t="str">
        <f>HYPERLINK("https://old.ukr-mobil.com/zashchitnoe_steklo_apple_iphone_12_pro_max_pro-flexi_hd_full_glue_black_10001694", "Перейти")</f>
        <v>Перейти</v>
      </c>
      <c r="F197" s="2">
        <v>10001694</v>
      </c>
      <c r="G197" s="4" t="s">
        <v>218</v>
      </c>
      <c r="H197" s="1">
        <v>52</v>
      </c>
      <c r="I197" s="1">
        <v>13</v>
      </c>
      <c r="J197" s="1">
        <v>0</v>
      </c>
      <c r="K197" s="2">
        <v>2.0</v>
      </c>
    </row>
    <row r="198" spans="1:12">
      <c r="A198" s="3" t="s">
        <v>36</v>
      </c>
      <c r="B198" s="3" t="s">
        <v>58</v>
      </c>
      <c r="C198" s="3" t="s">
        <v>213</v>
      </c>
      <c r="D198" s="3"/>
      <c r="E198" s="2" t="str">
        <f>HYPERLINK("https://old.ukr-mobil.com/zashchitnoe_steklo_apple_iphone_12_iphone_12_pro_pro-flexi_hd_full_glue_black_10001693", "Перейти")</f>
        <v>Перейти</v>
      </c>
      <c r="F198" s="2">
        <v>10001693</v>
      </c>
      <c r="G198" s="4" t="s">
        <v>219</v>
      </c>
      <c r="H198" s="1">
        <v>2</v>
      </c>
      <c r="I198" s="1">
        <v>4</v>
      </c>
      <c r="J198" s="1">
        <v>0</v>
      </c>
      <c r="K198" s="2">
        <v>2.0</v>
      </c>
    </row>
    <row r="199" spans="1:12">
      <c r="A199" s="3" t="s">
        <v>36</v>
      </c>
      <c r="B199" s="3" t="s">
        <v>58</v>
      </c>
      <c r="C199" s="3" t="s">
        <v>213</v>
      </c>
      <c r="D199" s="3"/>
      <c r="E199" s="2" t="str">
        <f>HYPERLINK("https://old.ukr-mobil.com/zashchitnoe_steklo_apple_iphone_13_pro_max_pro-flexi_hd_full_glue_black_10001953", "Перейти")</f>
        <v>Перейти</v>
      </c>
      <c r="F199" s="2">
        <v>10001953</v>
      </c>
      <c r="G199" s="4" t="s">
        <v>220</v>
      </c>
      <c r="H199" s="1">
        <v>20</v>
      </c>
      <c r="I199" s="1">
        <v>2</v>
      </c>
      <c r="J199" s="1">
        <v>0</v>
      </c>
      <c r="K199" s="2">
        <v>2.5</v>
      </c>
    </row>
    <row r="200" spans="1:12">
      <c r="A200" s="3" t="s">
        <v>36</v>
      </c>
      <c r="B200" s="3" t="s">
        <v>58</v>
      </c>
      <c r="C200" s="3" t="s">
        <v>213</v>
      </c>
      <c r="D200" s="3"/>
      <c r="E200" s="2" t="str">
        <f>HYPERLINK("https://old.ukr-mobil.com/zashchitnoe_steklo_apple_iphone_13_iphone_13_pro_pro-flexi_hd_full_glue_black_10001952", "Перейти")</f>
        <v>Перейти</v>
      </c>
      <c r="F200" s="2">
        <v>10001952</v>
      </c>
      <c r="G200" s="4" t="s">
        <v>221</v>
      </c>
      <c r="H200" s="1">
        <v>0</v>
      </c>
      <c r="I200" s="1">
        <v>0</v>
      </c>
      <c r="J200" s="1">
        <v>0</v>
      </c>
      <c r="K200" s="2">
        <v>2.5</v>
      </c>
    </row>
    <row r="201" spans="1:12">
      <c r="A201" s="3" t="s">
        <v>36</v>
      </c>
      <c r="B201" s="3" t="s">
        <v>58</v>
      </c>
      <c r="C201" s="3" t="s">
        <v>213</v>
      </c>
      <c r="D201" s="3"/>
      <c r="E201" s="2" t="str">
        <f>HYPERLINK("https://old.ukr-mobil.com/zashchitnoe_steklo_apple_iphone_7_plus_iphone_8_plus_pro-flexi_hd_full_glue_black_10001687", "Перейти")</f>
        <v>Перейти</v>
      </c>
      <c r="F201" s="2">
        <v>10001687</v>
      </c>
      <c r="G201" s="4" t="s">
        <v>222</v>
      </c>
      <c r="H201" s="1">
        <v>112</v>
      </c>
      <c r="I201" s="1">
        <v>8</v>
      </c>
      <c r="J201" s="1">
        <v>10</v>
      </c>
      <c r="K201" s="2">
        <v>2.0</v>
      </c>
    </row>
    <row r="202" spans="1:12">
      <c r="A202" s="3" t="s">
        <v>36</v>
      </c>
      <c r="B202" s="3" t="s">
        <v>58</v>
      </c>
      <c r="C202" s="3" t="s">
        <v>213</v>
      </c>
      <c r="D202" s="3"/>
      <c r="E202" s="2" t="str">
        <f>HYPERLINK("https://old.ukr-mobil.com/zashchitnoe_steklo_apple_iphone_7_iphone_8_pro-flexi_hd_full_glue_black_10001686", "Перейти")</f>
        <v>Перейти</v>
      </c>
      <c r="F202" s="2">
        <v>10001686</v>
      </c>
      <c r="G202" s="4" t="s">
        <v>223</v>
      </c>
      <c r="H202" s="1">
        <v>0</v>
      </c>
      <c r="I202" s="1">
        <v>0</v>
      </c>
      <c r="J202" s="1">
        <v>0</v>
      </c>
      <c r="K202" s="2">
        <v>2.0</v>
      </c>
    </row>
    <row r="203" spans="1:12">
      <c r="A203" s="3" t="s">
        <v>36</v>
      </c>
      <c r="B203" s="3" t="s">
        <v>58</v>
      </c>
      <c r="C203" s="3" t="s">
        <v>213</v>
      </c>
      <c r="D203" s="3"/>
      <c r="E203" s="2" t="str">
        <f>HYPERLINK("https://old.ukr-mobil.com/zashchitnoe_steklo_apple_iphone_x_iphone_xs_pro-flexi_hd_full_glue_black_10001688", "Перейти")</f>
        <v>Перейти</v>
      </c>
      <c r="F203" s="2">
        <v>10001688</v>
      </c>
      <c r="G203" s="4" t="s">
        <v>224</v>
      </c>
      <c r="H203" s="1">
        <v>107</v>
      </c>
      <c r="I203" s="1">
        <v>20</v>
      </c>
      <c r="J203" s="1">
        <v>19</v>
      </c>
      <c r="K203" s="2">
        <v>2.0</v>
      </c>
    </row>
    <row r="204" spans="1:12">
      <c r="A204" s="3" t="s">
        <v>36</v>
      </c>
      <c r="B204" s="3" t="s">
        <v>58</v>
      </c>
      <c r="C204" s="3" t="s">
        <v>213</v>
      </c>
      <c r="D204" s="3"/>
      <c r="E204" s="2" t="str">
        <f>HYPERLINK("https://old.ukr-mobil.com/zashchitnoe_steklo_apple_iphone_xs_max_pro-flexi_hd_full_glue_black_10001689", "Перейти")</f>
        <v>Перейти</v>
      </c>
      <c r="F204" s="2">
        <v>10001689</v>
      </c>
      <c r="G204" s="4" t="s">
        <v>225</v>
      </c>
      <c r="H204" s="1">
        <v>76</v>
      </c>
      <c r="I204" s="1">
        <v>10</v>
      </c>
      <c r="J204" s="1">
        <v>7</v>
      </c>
      <c r="K204" s="2">
        <v>2.0</v>
      </c>
    </row>
    <row r="205" spans="1:12">
      <c r="A205" s="3" t="s">
        <v>36</v>
      </c>
      <c r="B205" s="3" t="s">
        <v>58</v>
      </c>
      <c r="C205" s="3" t="s">
        <v>213</v>
      </c>
      <c r="D205" s="3"/>
      <c r="E205" s="2" t="str">
        <f>HYPERLINK("https://old.ukr-mobil.com/zashchitnoe_steklo_asus_zenfone_max_m2_zb633kl_pro-flexi_hd_full_glue_black_10001470", "Перейти")</f>
        <v>Перейти</v>
      </c>
      <c r="F205" s="2">
        <v>10001470</v>
      </c>
      <c r="G205" s="4" t="s">
        <v>226</v>
      </c>
      <c r="H205" s="1">
        <v>0</v>
      </c>
      <c r="I205" s="1">
        <v>0</v>
      </c>
      <c r="J205" s="1">
        <v>2</v>
      </c>
      <c r="K205" s="2">
        <v>2.0</v>
      </c>
    </row>
    <row r="206" spans="1:12">
      <c r="A206" s="3" t="s">
        <v>36</v>
      </c>
      <c r="B206" s="3" t="s">
        <v>58</v>
      </c>
      <c r="C206" s="3" t="s">
        <v>213</v>
      </c>
      <c r="D206" s="3"/>
      <c r="E206" s="2" t="str">
        <f>HYPERLINK("https://old.ukr-mobil.com/zashchitnoe_steklo_google_pixel_3_pro-flexi_hd_full_glue_black_10001472", "Перейти")</f>
        <v>Перейти</v>
      </c>
      <c r="F206" s="2">
        <v>10001472</v>
      </c>
      <c r="G206" s="4" t="s">
        <v>227</v>
      </c>
      <c r="H206" s="1">
        <v>0</v>
      </c>
      <c r="I206" s="1">
        <v>0</v>
      </c>
      <c r="J206" s="1">
        <v>0</v>
      </c>
      <c r="K206" s="2">
        <v>2.0</v>
      </c>
    </row>
    <row r="207" spans="1:12">
      <c r="A207" s="3" t="s">
        <v>36</v>
      </c>
      <c r="B207" s="3" t="s">
        <v>58</v>
      </c>
      <c r="C207" s="3" t="s">
        <v>213</v>
      </c>
      <c r="D207" s="3"/>
      <c r="E207" s="2" t="str">
        <f>HYPERLINK("https://old.ukr-mobil.com/zashchitnoe_steklo_google_pixel_3a_xl_pro-flexi_hd_full_glue_black_10002789", "Перейти")</f>
        <v>Перейти</v>
      </c>
      <c r="F207" s="2">
        <v>10002789</v>
      </c>
      <c r="G207" s="4" t="s">
        <v>228</v>
      </c>
      <c r="H207" s="1">
        <v>0</v>
      </c>
      <c r="I207" s="1">
        <v>0</v>
      </c>
      <c r="J207" s="1">
        <v>0</v>
      </c>
      <c r="K207" s="2">
        <v>2.0</v>
      </c>
    </row>
    <row r="208" spans="1:12">
      <c r="A208" s="3" t="s">
        <v>36</v>
      </c>
      <c r="B208" s="3" t="s">
        <v>58</v>
      </c>
      <c r="C208" s="3" t="s">
        <v>213</v>
      </c>
      <c r="D208" s="3"/>
      <c r="E208" s="2" t="str">
        <f>HYPERLINK("https://old.ukr-mobil.com/zashchitnoe_steklo_google_pixel_3a_pro-flexi_hd_full_glue_black_10001473", "Перейти")</f>
        <v>Перейти</v>
      </c>
      <c r="F208" s="2">
        <v>10001473</v>
      </c>
      <c r="G208" s="4" t="s">
        <v>229</v>
      </c>
      <c r="H208" s="1">
        <v>0</v>
      </c>
      <c r="I208" s="1">
        <v>0</v>
      </c>
      <c r="J208" s="1">
        <v>0</v>
      </c>
      <c r="K208" s="2">
        <v>2.0</v>
      </c>
    </row>
    <row r="209" spans="1:12">
      <c r="A209" s="3" t="s">
        <v>36</v>
      </c>
      <c r="B209" s="3" t="s">
        <v>58</v>
      </c>
      <c r="C209" s="3" t="s">
        <v>213</v>
      </c>
      <c r="D209" s="3"/>
      <c r="E209" s="2" t="str">
        <f>HYPERLINK("https://old.ukr-mobil.com/zashchitnoe_steklo_google_pixel_4_xl_pro-flexi_hd_full_glue_black_10002788", "Перейти")</f>
        <v>Перейти</v>
      </c>
      <c r="F209" s="2">
        <v>10002788</v>
      </c>
      <c r="G209" s="4" t="s">
        <v>230</v>
      </c>
      <c r="H209" s="1">
        <v>0</v>
      </c>
      <c r="I209" s="1">
        <v>0</v>
      </c>
      <c r="J209" s="1">
        <v>0</v>
      </c>
      <c r="K209" s="2">
        <v>2.0</v>
      </c>
    </row>
    <row r="210" spans="1:12">
      <c r="A210" s="3" t="s">
        <v>36</v>
      </c>
      <c r="B210" s="3" t="s">
        <v>58</v>
      </c>
      <c r="C210" s="3" t="s">
        <v>213</v>
      </c>
      <c r="D210" s="3"/>
      <c r="E210" s="2" t="str">
        <f>HYPERLINK("https://old.ukr-mobil.com/zashchitnoe_steklo_google_pixel_4_pro-flexi_hd_full_glue_black_10001474", "Перейти")</f>
        <v>Перейти</v>
      </c>
      <c r="F210" s="2">
        <v>10001474</v>
      </c>
      <c r="G210" s="4" t="s">
        <v>231</v>
      </c>
      <c r="H210" s="1">
        <v>0</v>
      </c>
      <c r="I210" s="1">
        <v>0</v>
      </c>
      <c r="J210" s="1">
        <v>0</v>
      </c>
      <c r="K210" s="2">
        <v>2.0</v>
      </c>
    </row>
    <row r="211" spans="1:12">
      <c r="A211" s="3" t="s">
        <v>36</v>
      </c>
      <c r="B211" s="3" t="s">
        <v>58</v>
      </c>
      <c r="C211" s="3" t="s">
        <v>213</v>
      </c>
      <c r="D211" s="3"/>
      <c r="E211" s="2" t="str">
        <f>HYPERLINK("https://old.ukr-mobil.com/zashchitnoe_steklo_google_pixel_5_pro-flexi_hd_full_glue_black_10002790", "Перейти")</f>
        <v>Перейти</v>
      </c>
      <c r="F211" s="2">
        <v>10002790</v>
      </c>
      <c r="G211" s="4" t="s">
        <v>232</v>
      </c>
      <c r="H211" s="1">
        <v>0</v>
      </c>
      <c r="I211" s="1">
        <v>0</v>
      </c>
      <c r="J211" s="1">
        <v>0</v>
      </c>
      <c r="K211" s="2">
        <v>2.0</v>
      </c>
    </row>
    <row r="212" spans="1:12">
      <c r="A212" s="3" t="s">
        <v>36</v>
      </c>
      <c r="B212" s="3" t="s">
        <v>58</v>
      </c>
      <c r="C212" s="3" t="s">
        <v>213</v>
      </c>
      <c r="D212" s="3"/>
      <c r="E212" s="2" t="str">
        <f>HYPERLINK("https://old.ukr-mobil.com/zashchitnoe_steklo_huawei_honor_10_lite_hry-lx1_honor_10i_hry-lx1t_pro-flexi_hd_full_glue_black_10001413", "Перейти")</f>
        <v>Перейти</v>
      </c>
      <c r="F212" s="2">
        <v>10001413</v>
      </c>
      <c r="G212" s="4" t="s">
        <v>233</v>
      </c>
      <c r="H212" s="1">
        <v>0</v>
      </c>
      <c r="I212" s="1">
        <v>0</v>
      </c>
      <c r="J212" s="1">
        <v>0</v>
      </c>
      <c r="K212" s="2">
        <v>1.85</v>
      </c>
    </row>
    <row r="213" spans="1:12">
      <c r="A213" s="3" t="s">
        <v>36</v>
      </c>
      <c r="B213" s="3" t="s">
        <v>58</v>
      </c>
      <c r="C213" s="3" t="s">
        <v>213</v>
      </c>
      <c r="D213" s="3"/>
      <c r="E213" s="2" t="str">
        <f>HYPERLINK("https://old.ukr-mobil.com/zashchitnoe_steklo_huawei_honor_7x_bnd-l21_l22_al10_l31_pro-flexi_hd_full_glue_black_10001414", "Перейти")</f>
        <v>Перейти</v>
      </c>
      <c r="F213" s="2">
        <v>10001414</v>
      </c>
      <c r="G213" s="4" t="s">
        <v>234</v>
      </c>
      <c r="H213" s="1">
        <v>0</v>
      </c>
      <c r="I213" s="1">
        <v>0</v>
      </c>
      <c r="J213" s="1">
        <v>0</v>
      </c>
      <c r="K213" s="2">
        <v>1.75</v>
      </c>
    </row>
    <row r="214" spans="1:12">
      <c r="A214" s="3" t="s">
        <v>36</v>
      </c>
      <c r="B214" s="3" t="s">
        <v>58</v>
      </c>
      <c r="C214" s="3" t="s">
        <v>213</v>
      </c>
      <c r="D214" s="3"/>
      <c r="E214" s="2" t="str">
        <f>HYPERLINK("https://old.ukr-mobil.com/zashchitnoe_steklo_huawei_honor_8a_jat-lx1_jat-l29_8a_pro_y6_2019_mrd-lx1_y6_prime_2019_y6s_2019_jat-l41_pro-flexi_hd_full_glue_black_10001951", "Перейти")</f>
        <v>Перейти</v>
      </c>
      <c r="F214" s="2">
        <v>10001951</v>
      </c>
      <c r="G214" s="4" t="s">
        <v>235</v>
      </c>
      <c r="H214" s="1">
        <v>22</v>
      </c>
      <c r="I214" s="1">
        <v>3</v>
      </c>
      <c r="J214" s="1">
        <v>4</v>
      </c>
      <c r="K214" s="2">
        <v>1.85</v>
      </c>
    </row>
    <row r="215" spans="1:12">
      <c r="A215" s="3" t="s">
        <v>36</v>
      </c>
      <c r="B215" s="3" t="s">
        <v>58</v>
      </c>
      <c r="C215" s="3" t="s">
        <v>213</v>
      </c>
      <c r="D215" s="3"/>
      <c r="E215" s="2" t="str">
        <f>HYPERLINK("https://old.ukr-mobil.com/zashchitnoe_steklo_huawei_honor_8x_jsn-l21_jsn-al00_view_10_lite_pro-flexi_hd_full_glue_black_10001415", "Перейти")</f>
        <v>Перейти</v>
      </c>
      <c r="F215" s="2">
        <v>10001415</v>
      </c>
      <c r="G215" s="4" t="s">
        <v>236</v>
      </c>
      <c r="H215" s="1">
        <v>0</v>
      </c>
      <c r="I215" s="1">
        <v>0</v>
      </c>
      <c r="J215" s="1">
        <v>0</v>
      </c>
      <c r="K215" s="2">
        <v>1.85</v>
      </c>
    </row>
    <row r="216" spans="1:12">
      <c r="A216" s="3" t="s">
        <v>36</v>
      </c>
      <c r="B216" s="3" t="s">
        <v>58</v>
      </c>
      <c r="C216" s="3" t="s">
        <v>213</v>
      </c>
      <c r="D216" s="3"/>
      <c r="E216" s="2" t="str">
        <f>HYPERLINK("https://old.ukr-mobil.com/zashchitnoe_steklo_huawei_nova_4e_p30_lite_mar-l21_lx2_lx1m_pro-flexi_hd_full_glue_black_10001417", "Перейти")</f>
        <v>Перейти</v>
      </c>
      <c r="F216" s="2">
        <v>10001417</v>
      </c>
      <c r="G216" s="4" t="s">
        <v>237</v>
      </c>
      <c r="H216" s="1">
        <v>12</v>
      </c>
      <c r="I216" s="1">
        <v>2</v>
      </c>
      <c r="J216" s="1">
        <v>3</v>
      </c>
      <c r="K216" s="2">
        <v>1.85</v>
      </c>
    </row>
    <row r="217" spans="1:12">
      <c r="A217" s="3" t="s">
        <v>36</v>
      </c>
      <c r="B217" s="3" t="s">
        <v>58</v>
      </c>
      <c r="C217" s="3" t="s">
        <v>213</v>
      </c>
      <c r="D217" s="3"/>
      <c r="E217" s="2" t="str">
        <f>HYPERLINK("https://old.ukr-mobil.com/zashchitnoe_steklo_huawei_p_smart_fig-lx1_fig-l21_fig-l31_fig-la1_enjoy_7s_pro-flexi_hd_full_glue_black_10001416", "Перейти")</f>
        <v>Перейти</v>
      </c>
      <c r="F217" s="2">
        <v>10001416</v>
      </c>
      <c r="G217" s="4" t="s">
        <v>238</v>
      </c>
      <c r="H217" s="1">
        <v>0</v>
      </c>
      <c r="I217" s="1">
        <v>0</v>
      </c>
      <c r="J217" s="1">
        <v>0</v>
      </c>
      <c r="K217" s="2">
        <v>1.75</v>
      </c>
    </row>
    <row r="218" spans="1:12">
      <c r="A218" s="3" t="s">
        <v>36</v>
      </c>
      <c r="B218" s="3" t="s">
        <v>58</v>
      </c>
      <c r="C218" s="3" t="s">
        <v>213</v>
      </c>
      <c r="D218" s="3"/>
      <c r="E218" s="2" t="str">
        <f>HYPERLINK("https://old.ukr-mobil.com/zashchitnoe_steklo_huawei_p_smart_2019_pot-lx3_pot-lx1_pot-al00_pro-flexi_hd_full_glue_black_10001418", "Перейти")</f>
        <v>Перейти</v>
      </c>
      <c r="F218" s="2">
        <v>10001418</v>
      </c>
      <c r="G218" s="4" t="s">
        <v>239</v>
      </c>
      <c r="H218" s="1">
        <v>40</v>
      </c>
      <c r="I218" s="1">
        <v>2</v>
      </c>
      <c r="J218" s="1">
        <v>12</v>
      </c>
      <c r="K218" s="2">
        <v>2.0</v>
      </c>
    </row>
    <row r="219" spans="1:12">
      <c r="A219" s="3" t="s">
        <v>36</v>
      </c>
      <c r="B219" s="3" t="s">
        <v>58</v>
      </c>
      <c r="C219" s="3" t="s">
        <v>213</v>
      </c>
      <c r="D219" s="3"/>
      <c r="E219" s="2" t="str">
        <f>HYPERLINK("https://old.ukr-mobil.com/zashchitnoe_steklo_huawei_p_smart_2021_ppa-lx2_y7a_honor_10x_lite_pro-flexi_hd_full_glue_10001906", "Перейти")</f>
        <v>Перейти</v>
      </c>
      <c r="F219" s="2">
        <v>10001906</v>
      </c>
      <c r="G219" s="4" t="s">
        <v>240</v>
      </c>
      <c r="H219" s="1">
        <v>2</v>
      </c>
      <c r="I219" s="1">
        <v>0</v>
      </c>
      <c r="J219" s="1">
        <v>0</v>
      </c>
      <c r="K219" s="2">
        <v>1.8</v>
      </c>
    </row>
    <row r="220" spans="1:12">
      <c r="A220" s="3" t="s">
        <v>36</v>
      </c>
      <c r="B220" s="3" t="s">
        <v>58</v>
      </c>
      <c r="C220" s="3" t="s">
        <v>213</v>
      </c>
      <c r="D220" s="3"/>
      <c r="E220" s="2" t="str">
        <f>HYPERLINK("https://old.ukr-mobil.com/zashchitnoe_steklo_huawei_p_smart_s_2020_y8p_aqm-lx1_honor_play_4t_pro_enjoy_10s_pro-flexi_hd_full_glue_10001907", "Перейти")</f>
        <v>Перейти</v>
      </c>
      <c r="F220" s="2">
        <v>10001907</v>
      </c>
      <c r="G220" s="4" t="s">
        <v>241</v>
      </c>
      <c r="H220" s="1">
        <v>28</v>
      </c>
      <c r="I220" s="1">
        <v>5</v>
      </c>
      <c r="J220" s="1">
        <v>4</v>
      </c>
      <c r="K220" s="2">
        <v>1.85</v>
      </c>
    </row>
    <row r="221" spans="1:12">
      <c r="A221" s="3" t="s">
        <v>36</v>
      </c>
      <c r="B221" s="3" t="s">
        <v>58</v>
      </c>
      <c r="C221" s="3" t="s">
        <v>213</v>
      </c>
      <c r="D221" s="3"/>
      <c r="E221" s="2" t="str">
        <f>HYPERLINK("https://old.ukr-mobil.com/zashchitnoe_steklo_huawei_p_smart_z_p_smart_pro_y9_prime_2019_y9s_honor_9x_stk-lx1_stk-l21_stk-l22_pro-flexi_hd_full_glue_black_10001419", "Перейти")</f>
        <v>Перейти</v>
      </c>
      <c r="F221" s="2">
        <v>10001419</v>
      </c>
      <c r="G221" s="4" t="s">
        <v>242</v>
      </c>
      <c r="H221" s="1">
        <v>1</v>
      </c>
      <c r="I221" s="1">
        <v>0</v>
      </c>
      <c r="J221" s="1">
        <v>0</v>
      </c>
      <c r="K221" s="2">
        <v>2.0</v>
      </c>
    </row>
    <row r="222" spans="1:12">
      <c r="A222" s="3" t="s">
        <v>36</v>
      </c>
      <c r="B222" s="3" t="s">
        <v>58</v>
      </c>
      <c r="C222" s="3" t="s">
        <v>213</v>
      </c>
      <c r="D222" s="3"/>
      <c r="E222" s="2" t="str">
        <f>HYPERLINK("https://old.ukr-mobil.com/zashchitnoe_steklo_huawei_p40_lite_e_art-l28_art-l29_y7p_2020_honor_9c_pro-flexi_hd_full_glue_black_10001420", "Перейти")</f>
        <v>Перейти</v>
      </c>
      <c r="F222" s="2">
        <v>10001420</v>
      </c>
      <c r="G222" s="4" t="s">
        <v>243</v>
      </c>
      <c r="H222" s="1">
        <v>1</v>
      </c>
      <c r="I222" s="1">
        <v>3</v>
      </c>
      <c r="J222" s="1">
        <v>4</v>
      </c>
      <c r="K222" s="2">
        <v>2.0</v>
      </c>
    </row>
    <row r="223" spans="1:12">
      <c r="A223" s="3" t="s">
        <v>36</v>
      </c>
      <c r="B223" s="3" t="s">
        <v>58</v>
      </c>
      <c r="C223" s="3" t="s">
        <v>213</v>
      </c>
      <c r="D223" s="3"/>
      <c r="E223" s="2" t="str">
        <f>HYPERLINK("https://old.ukr-mobil.com/zashchitnoe_steklo_huawei_y6_2018_atu-l21_y6_prime_2018_atu-l31_honor_7a_pro_aum-l29_honor_7c_aum-l41_pro-flexi_hd_full_glue_black_10001421", "Перейти")</f>
        <v>Перейти</v>
      </c>
      <c r="F223" s="2">
        <v>10001421</v>
      </c>
      <c r="G223" s="4" t="s">
        <v>244</v>
      </c>
      <c r="H223" s="1">
        <v>0</v>
      </c>
      <c r="I223" s="1">
        <v>0</v>
      </c>
      <c r="J223" s="1">
        <v>0</v>
      </c>
      <c r="K223" s="2">
        <v>1.65</v>
      </c>
    </row>
    <row r="224" spans="1:12">
      <c r="A224" s="3" t="s">
        <v>36</v>
      </c>
      <c r="B224" s="3" t="s">
        <v>58</v>
      </c>
      <c r="C224" s="3" t="s">
        <v>213</v>
      </c>
      <c r="D224" s="3"/>
      <c r="E224" s="2" t="str">
        <f>HYPERLINK("https://old.ukr-mobil.com/zashchitnoe_steklo_huawei_y6p_2020_honor_9a_med-l29_lx9_lx9n_l29n_moa-lx9_lx9n_pro-flexi_hd_full_glue_10003731", "Перейти")</f>
        <v>Перейти</v>
      </c>
      <c r="F224" s="2">
        <v>10003731</v>
      </c>
      <c r="G224" s="4" t="s">
        <v>245</v>
      </c>
      <c r="H224" s="1">
        <v>22</v>
      </c>
      <c r="I224" s="1">
        <v>3</v>
      </c>
      <c r="J224" s="1">
        <v>8</v>
      </c>
      <c r="K224" s="2">
        <v>1.85</v>
      </c>
    </row>
    <row r="225" spans="1:12">
      <c r="A225" s="3" t="s">
        <v>36</v>
      </c>
      <c r="B225" s="3" t="s">
        <v>58</v>
      </c>
      <c r="C225" s="3" t="s">
        <v>213</v>
      </c>
      <c r="D225" s="3"/>
      <c r="E225" s="2" t="str">
        <f>HYPERLINK("https://old.ukr-mobil.com/zashchitnoe_steklo_motorola_e6s_xt2053_e6i_pro-flexi_hd_full_glue_black_10002792", "Перейти")</f>
        <v>Перейти</v>
      </c>
      <c r="F225" s="2">
        <v>10002792</v>
      </c>
      <c r="G225" s="4" t="s">
        <v>246</v>
      </c>
      <c r="H225" s="1">
        <v>5</v>
      </c>
      <c r="I225" s="1">
        <v>0</v>
      </c>
      <c r="J225" s="1">
        <v>2</v>
      </c>
      <c r="K225" s="2">
        <v>2.0</v>
      </c>
    </row>
    <row r="226" spans="1:12">
      <c r="A226" s="3" t="s">
        <v>36</v>
      </c>
      <c r="B226" s="3" t="s">
        <v>58</v>
      </c>
      <c r="C226" s="3" t="s">
        <v>213</v>
      </c>
      <c r="D226" s="3"/>
      <c r="E226" s="2" t="str">
        <f>HYPERLINK("https://old.ukr-mobil.com/zashchitnoe_steklo_motorola_e7_xt2095_e7_power_xt2097_e7i_power_pro-flexi_hd_full_glue_black_10002794", "Перейти")</f>
        <v>Перейти</v>
      </c>
      <c r="F226" s="2">
        <v>10002794</v>
      </c>
      <c r="G226" s="4" t="s">
        <v>247</v>
      </c>
      <c r="H226" s="1">
        <v>0</v>
      </c>
      <c r="I226" s="1">
        <v>0</v>
      </c>
      <c r="J226" s="1">
        <v>0</v>
      </c>
      <c r="K226" s="2">
        <v>1.95</v>
      </c>
    </row>
    <row r="227" spans="1:12">
      <c r="A227" s="3" t="s">
        <v>36</v>
      </c>
      <c r="B227" s="3" t="s">
        <v>58</v>
      </c>
      <c r="C227" s="3" t="s">
        <v>213</v>
      </c>
      <c r="D227" s="3"/>
      <c r="E227" s="2" t="str">
        <f>HYPERLINK("https://old.ukr-mobil.com/zashchitnoe_steklo_motorola_g10_xt2127_g10_power_g30_lenovo_k13_pro_pro-flexi_hd_full_glue_black_10002795", "Перейти")</f>
        <v>Перейти</v>
      </c>
      <c r="F227" s="2">
        <v>10002795</v>
      </c>
      <c r="G227" s="4" t="s">
        <v>248</v>
      </c>
      <c r="H227" s="1">
        <v>5</v>
      </c>
      <c r="I227" s="1">
        <v>3</v>
      </c>
      <c r="J227" s="1">
        <v>5</v>
      </c>
      <c r="K227" s="2">
        <v>2.0</v>
      </c>
    </row>
    <row r="228" spans="1:12">
      <c r="A228" s="3" t="s">
        <v>36</v>
      </c>
      <c r="B228" s="3" t="s">
        <v>58</v>
      </c>
      <c r="C228" s="3" t="s">
        <v>213</v>
      </c>
      <c r="D228" s="3"/>
      <c r="E228" s="2" t="str">
        <f>HYPERLINK("https://old.ukr-mobil.com/zashchitnoe_steklo_motorola_g8_power_xt2041-1_xt2041-3_pro-flexi_hd_full_glue_black_10002793", "Перейти")</f>
        <v>Перейти</v>
      </c>
      <c r="F228" s="2">
        <v>10002793</v>
      </c>
      <c r="G228" s="4" t="s">
        <v>249</v>
      </c>
      <c r="H228" s="1">
        <v>12</v>
      </c>
      <c r="I228" s="1">
        <v>1</v>
      </c>
      <c r="J228" s="1">
        <v>2</v>
      </c>
      <c r="K228" s="2">
        <v>2.0</v>
      </c>
    </row>
    <row r="229" spans="1:12">
      <c r="A229" s="3" t="s">
        <v>36</v>
      </c>
      <c r="B229" s="3" t="s">
        <v>58</v>
      </c>
      <c r="C229" s="3" t="s">
        <v>213</v>
      </c>
      <c r="D229" s="3"/>
      <c r="E229" s="2" t="str">
        <f>HYPERLINK("https://old.ukr-mobil.com/zashchitnoe_steklo_motorola_xt2013-2_moto_one_action_xt1970_moto_one_vision_pro-flexi_hd_full_glue_black_10001452", "Перейти")</f>
        <v>Перейти</v>
      </c>
      <c r="F229" s="2">
        <v>10001452</v>
      </c>
      <c r="G229" s="4" t="s">
        <v>250</v>
      </c>
      <c r="H229" s="1">
        <v>0</v>
      </c>
      <c r="I229" s="1">
        <v>0</v>
      </c>
      <c r="J229" s="1">
        <v>0</v>
      </c>
      <c r="K229" s="2">
        <v>2.0</v>
      </c>
    </row>
    <row r="230" spans="1:12">
      <c r="A230" s="3" t="s">
        <v>36</v>
      </c>
      <c r="B230" s="3" t="s">
        <v>58</v>
      </c>
      <c r="C230" s="3" t="s">
        <v>213</v>
      </c>
      <c r="D230" s="3"/>
      <c r="E230" s="2" t="str">
        <f>HYPERLINK("https://old.ukr-mobil.com/zashchitnoe_steklo_motorola_xt2081_moto_e7_plus_xt2083_moto_g9_play_pro-flexi_hd_full_glue_black_10002250", "Перейти")</f>
        <v>Перейти</v>
      </c>
      <c r="F230" s="2">
        <v>10002250</v>
      </c>
      <c r="G230" s="4" t="s">
        <v>251</v>
      </c>
      <c r="H230" s="1">
        <v>16</v>
      </c>
      <c r="I230" s="1">
        <v>9</v>
      </c>
      <c r="J230" s="1">
        <v>6</v>
      </c>
      <c r="K230" s="2">
        <v>1.85</v>
      </c>
    </row>
    <row r="231" spans="1:12">
      <c r="A231" s="3" t="s">
        <v>36</v>
      </c>
      <c r="B231" s="3" t="s">
        <v>58</v>
      </c>
      <c r="C231" s="3" t="s">
        <v>213</v>
      </c>
      <c r="D231" s="3"/>
      <c r="E231" s="2" t="str">
        <f>HYPERLINK("https://old.ukr-mobil.com/zashchitnoe_steklo_motorola_xt2087_moto_g9_plus_s_tachskrinom_pro-flexi_hd_full_glue_black_10002251", "Перейти")</f>
        <v>Перейти</v>
      </c>
      <c r="F231" s="2">
        <v>10002251</v>
      </c>
      <c r="G231" s="4" t="s">
        <v>252</v>
      </c>
      <c r="H231" s="1">
        <v>0</v>
      </c>
      <c r="I231" s="1">
        <v>0</v>
      </c>
      <c r="J231" s="1">
        <v>0</v>
      </c>
      <c r="K231" s="2">
        <v>1.95</v>
      </c>
    </row>
    <row r="232" spans="1:12">
      <c r="A232" s="3" t="s">
        <v>36</v>
      </c>
      <c r="B232" s="3" t="s">
        <v>58</v>
      </c>
      <c r="C232" s="3" t="s">
        <v>213</v>
      </c>
      <c r="D232" s="3"/>
      <c r="E232" s="2" t="str">
        <f>HYPERLINK("https://old.ukr-mobil.com/zashchitnoe_steklo_nokia_2_4_pro-flexi_hd_full_glue_black_10002797", "Перейти")</f>
        <v>Перейти</v>
      </c>
      <c r="F232" s="2">
        <v>10002797</v>
      </c>
      <c r="G232" s="4" t="s">
        <v>253</v>
      </c>
      <c r="H232" s="1">
        <v>0</v>
      </c>
      <c r="I232" s="1">
        <v>0</v>
      </c>
      <c r="J232" s="1">
        <v>5</v>
      </c>
      <c r="K232" s="2">
        <v>2.0</v>
      </c>
    </row>
    <row r="233" spans="1:12">
      <c r="A233" s="3" t="s">
        <v>36</v>
      </c>
      <c r="B233" s="3" t="s">
        <v>58</v>
      </c>
      <c r="C233" s="3" t="s">
        <v>213</v>
      </c>
      <c r="D233" s="3"/>
      <c r="E233" s="2" t="str">
        <f>HYPERLINK("https://old.ukr-mobil.com/zashchitnoe_steklo_nokia_3_1_plus_pro-flexi_hd_full_glue_black_10001423", "Перейти")</f>
        <v>Перейти</v>
      </c>
      <c r="F233" s="2">
        <v>10001423</v>
      </c>
      <c r="G233" s="4" t="s">
        <v>254</v>
      </c>
      <c r="H233" s="1">
        <v>0</v>
      </c>
      <c r="I233" s="1">
        <v>0</v>
      </c>
      <c r="J233" s="1">
        <v>0</v>
      </c>
      <c r="K233" s="2">
        <v>2.0</v>
      </c>
    </row>
    <row r="234" spans="1:12">
      <c r="A234" s="3" t="s">
        <v>36</v>
      </c>
      <c r="B234" s="3" t="s">
        <v>58</v>
      </c>
      <c r="C234" s="3" t="s">
        <v>213</v>
      </c>
      <c r="D234" s="3"/>
      <c r="E234" s="2" t="str">
        <f>HYPERLINK("https://old.ukr-mobil.com/zashchitnoe_steklo_nokia_3_2_pro-flexi_hd_full_glue_black_10001424", "Перейти")</f>
        <v>Перейти</v>
      </c>
      <c r="F234" s="2">
        <v>10001424</v>
      </c>
      <c r="G234" s="4" t="s">
        <v>255</v>
      </c>
      <c r="H234" s="1">
        <v>0</v>
      </c>
      <c r="I234" s="1">
        <v>0</v>
      </c>
      <c r="J234" s="1">
        <v>0</v>
      </c>
      <c r="K234" s="2">
        <v>1.85</v>
      </c>
    </row>
    <row r="235" spans="1:12">
      <c r="A235" s="3" t="s">
        <v>36</v>
      </c>
      <c r="B235" s="3" t="s">
        <v>58</v>
      </c>
      <c r="C235" s="3" t="s">
        <v>213</v>
      </c>
      <c r="D235" s="3"/>
      <c r="E235" s="2" t="str">
        <f>HYPERLINK("https://old.ukr-mobil.com/zashchitnoe_steklo_nokia_3_4_pro-flexi_hd_full_glue_black_10001466", "Перейти")</f>
        <v>Перейти</v>
      </c>
      <c r="F235" s="2">
        <v>10001466</v>
      </c>
      <c r="G235" s="4" t="s">
        <v>256</v>
      </c>
      <c r="H235" s="1">
        <v>19</v>
      </c>
      <c r="I235" s="1">
        <v>0</v>
      </c>
      <c r="J235" s="1">
        <v>4</v>
      </c>
      <c r="K235" s="2">
        <v>2.0</v>
      </c>
    </row>
    <row r="236" spans="1:12">
      <c r="A236" s="3" t="s">
        <v>36</v>
      </c>
      <c r="B236" s="3" t="s">
        <v>58</v>
      </c>
      <c r="C236" s="3" t="s">
        <v>213</v>
      </c>
      <c r="D236" s="3"/>
      <c r="E236" s="2" t="str">
        <f>HYPERLINK("https://old.ukr-mobil.com/zashchitnoe_steklo_nokia_5_1_plus_pro-flexi_hd_full_glue_black_10001425", "Перейти")</f>
        <v>Перейти</v>
      </c>
      <c r="F236" s="2">
        <v>10001425</v>
      </c>
      <c r="G236" s="4" t="s">
        <v>257</v>
      </c>
      <c r="H236" s="1">
        <v>0</v>
      </c>
      <c r="I236" s="1">
        <v>0</v>
      </c>
      <c r="J236" s="1">
        <v>0</v>
      </c>
      <c r="K236" s="2">
        <v>1.85</v>
      </c>
    </row>
    <row r="237" spans="1:12">
      <c r="A237" s="3" t="s">
        <v>36</v>
      </c>
      <c r="B237" s="3" t="s">
        <v>58</v>
      </c>
      <c r="C237" s="3" t="s">
        <v>213</v>
      </c>
      <c r="D237" s="3"/>
      <c r="E237" s="2" t="str">
        <f>HYPERLINK("https://old.ukr-mobil.com/zashchitnoe_steklo_nokia_5_3_pro-flexi_hd_full_glue_black_10001426", "Перейти")</f>
        <v>Перейти</v>
      </c>
      <c r="F237" s="2">
        <v>10001426</v>
      </c>
      <c r="G237" s="4" t="s">
        <v>258</v>
      </c>
      <c r="H237" s="1">
        <v>18</v>
      </c>
      <c r="I237" s="1">
        <v>0</v>
      </c>
      <c r="J237" s="1">
        <v>3</v>
      </c>
      <c r="K237" s="2">
        <v>2.0</v>
      </c>
    </row>
    <row r="238" spans="1:12">
      <c r="A238" s="3" t="s">
        <v>36</v>
      </c>
      <c r="B238" s="3" t="s">
        <v>58</v>
      </c>
      <c r="C238" s="3" t="s">
        <v>213</v>
      </c>
      <c r="D238" s="3"/>
      <c r="E238" s="2" t="str">
        <f>HYPERLINK("https://old.ukr-mobil.com/zashchitnoe_steklo_nokia_5_4_pro-flexi_hd_full_glue_black_10001467", "Перейти")</f>
        <v>Перейти</v>
      </c>
      <c r="F238" s="2">
        <v>10001467</v>
      </c>
      <c r="G238" s="4" t="s">
        <v>259</v>
      </c>
      <c r="H238" s="1">
        <v>0</v>
      </c>
      <c r="I238" s="1">
        <v>0</v>
      </c>
      <c r="J238" s="1">
        <v>0</v>
      </c>
      <c r="K238" s="2">
        <v>2.0</v>
      </c>
    </row>
    <row r="239" spans="1:12">
      <c r="A239" s="3" t="s">
        <v>36</v>
      </c>
      <c r="B239" s="3" t="s">
        <v>58</v>
      </c>
      <c r="C239" s="3" t="s">
        <v>213</v>
      </c>
      <c r="D239" s="3"/>
      <c r="E239" s="2" t="str">
        <f>HYPERLINK("https://old.ukr-mobil.com/zashchitnoe_steklo_nokia_6_2_pro-flexi_hd_full_glue_black_10001465", "Перейти")</f>
        <v>Перейти</v>
      </c>
      <c r="F239" s="2">
        <v>10001465</v>
      </c>
      <c r="G239" s="4" t="s">
        <v>260</v>
      </c>
      <c r="H239" s="1">
        <v>9</v>
      </c>
      <c r="I239" s="1">
        <v>4</v>
      </c>
      <c r="J239" s="1">
        <v>1</v>
      </c>
      <c r="K239" s="2">
        <v>2.0</v>
      </c>
    </row>
    <row r="240" spans="1:12">
      <c r="A240" s="3" t="s">
        <v>36</v>
      </c>
      <c r="B240" s="3" t="s">
        <v>58</v>
      </c>
      <c r="C240" s="3" t="s">
        <v>213</v>
      </c>
      <c r="D240" s="3"/>
      <c r="E240" s="2" t="str">
        <f>HYPERLINK("https://old.ukr-mobil.com/zashchitnoe_steklo_nokia_g10_ta-1334_ta-1351_g20_ta-1336_pro-flexi_hd_full_glue_black_10002796", "Перейти")</f>
        <v>Перейти</v>
      </c>
      <c r="F240" s="2">
        <v>10002796</v>
      </c>
      <c r="G240" s="4" t="s">
        <v>261</v>
      </c>
      <c r="H240" s="1">
        <v>0</v>
      </c>
      <c r="I240" s="1">
        <v>0</v>
      </c>
      <c r="J240" s="1">
        <v>0</v>
      </c>
      <c r="K240" s="2">
        <v>2.0</v>
      </c>
    </row>
    <row r="241" spans="1:12">
      <c r="A241" s="3" t="s">
        <v>36</v>
      </c>
      <c r="B241" s="3" t="s">
        <v>58</v>
      </c>
      <c r="C241" s="3" t="s">
        <v>213</v>
      </c>
      <c r="D241" s="3"/>
      <c r="E241" s="2" t="str">
        <f>HYPERLINK("https://old.ukr-mobil.com/zashchitnoe_steklo_oneplus_6_pro-flexi_hd_full_glue_black_10001455", "Перейти")</f>
        <v>Перейти</v>
      </c>
      <c r="F241" s="2">
        <v>10001455</v>
      </c>
      <c r="G241" s="4" t="s">
        <v>262</v>
      </c>
      <c r="H241" s="1">
        <v>0</v>
      </c>
      <c r="I241" s="1">
        <v>0</v>
      </c>
      <c r="J241" s="1">
        <v>0</v>
      </c>
      <c r="K241" s="2">
        <v>2.0</v>
      </c>
    </row>
    <row r="242" spans="1:12">
      <c r="A242" s="3" t="s">
        <v>36</v>
      </c>
      <c r="B242" s="3" t="s">
        <v>58</v>
      </c>
      <c r="C242" s="3" t="s">
        <v>213</v>
      </c>
      <c r="D242" s="3"/>
      <c r="E242" s="2" t="str">
        <f>HYPERLINK("https://old.ukr-mobil.com/zashchitnoe_steklo_oneplus_6t_pro-flexi_hd_full_glue_black_10001456", "Перейти")</f>
        <v>Перейти</v>
      </c>
      <c r="F242" s="2">
        <v>10001456</v>
      </c>
      <c r="G242" s="4" t="s">
        <v>263</v>
      </c>
      <c r="H242" s="1">
        <v>0</v>
      </c>
      <c r="I242" s="1">
        <v>0</v>
      </c>
      <c r="J242" s="1">
        <v>0</v>
      </c>
      <c r="K242" s="2">
        <v>2.0</v>
      </c>
    </row>
    <row r="243" spans="1:12">
      <c r="A243" s="3" t="s">
        <v>36</v>
      </c>
      <c r="B243" s="3" t="s">
        <v>58</v>
      </c>
      <c r="C243" s="3" t="s">
        <v>213</v>
      </c>
      <c r="D243" s="3"/>
      <c r="E243" s="2" t="str">
        <f>HYPERLINK("https://old.ukr-mobil.com/zashchitnoe_steklo_oneplus_7_pro_pro-flexi_hd_full_glue_black_10001458", "Перейти")</f>
        <v>Перейти</v>
      </c>
      <c r="F243" s="2">
        <v>10001458</v>
      </c>
      <c r="G243" s="4" t="s">
        <v>264</v>
      </c>
      <c r="H243" s="1">
        <v>0</v>
      </c>
      <c r="I243" s="1">
        <v>0</v>
      </c>
      <c r="J243" s="1">
        <v>0</v>
      </c>
      <c r="K243" s="2">
        <v>2.0</v>
      </c>
    </row>
    <row r="244" spans="1:12">
      <c r="A244" s="3" t="s">
        <v>36</v>
      </c>
      <c r="B244" s="3" t="s">
        <v>58</v>
      </c>
      <c r="C244" s="3" t="s">
        <v>213</v>
      </c>
      <c r="D244" s="3"/>
      <c r="E244" s="2" t="str">
        <f>HYPERLINK("https://old.ukr-mobil.com/zashchitnoe_steklo_oneplus_7_pro-flexi_hd_full_glue_black_10001457", "Перейти")</f>
        <v>Перейти</v>
      </c>
      <c r="F244" s="2">
        <v>10001457</v>
      </c>
      <c r="G244" s="4" t="s">
        <v>265</v>
      </c>
      <c r="H244" s="1">
        <v>4</v>
      </c>
      <c r="I244" s="1">
        <v>2</v>
      </c>
      <c r="J244" s="1">
        <v>1</v>
      </c>
      <c r="K244" s="2">
        <v>2.0</v>
      </c>
    </row>
    <row r="245" spans="1:12">
      <c r="A245" s="3" t="s">
        <v>36</v>
      </c>
      <c r="B245" s="3" t="s">
        <v>58</v>
      </c>
      <c r="C245" s="3" t="s">
        <v>213</v>
      </c>
      <c r="D245" s="3"/>
      <c r="E245" s="2" t="str">
        <f>HYPERLINK("https://old.ukr-mobil.com/zashchitnoe_steklo_oneplus_8_pro-flexi_hd_full_glue_black_10001459", "Перейти")</f>
        <v>Перейти</v>
      </c>
      <c r="F245" s="2">
        <v>10001459</v>
      </c>
      <c r="G245" s="4" t="s">
        <v>266</v>
      </c>
      <c r="H245" s="1">
        <v>0</v>
      </c>
      <c r="I245" s="1">
        <v>0</v>
      </c>
      <c r="J245" s="1">
        <v>0</v>
      </c>
      <c r="K245" s="2">
        <v>2.0</v>
      </c>
    </row>
    <row r="246" spans="1:12">
      <c r="A246" s="3" t="s">
        <v>36</v>
      </c>
      <c r="B246" s="3" t="s">
        <v>58</v>
      </c>
      <c r="C246" s="3" t="s">
        <v>213</v>
      </c>
      <c r="D246" s="3"/>
      <c r="E246" s="2" t="str">
        <f>HYPERLINK("https://old.ukr-mobil.com/zashchitnoe_steklo_oneplus_8t_pro-flexi_hd_full_glue_black_10001460", "Перейти")</f>
        <v>Перейти</v>
      </c>
      <c r="F246" s="2">
        <v>10001460</v>
      </c>
      <c r="G246" s="4" t="s">
        <v>267</v>
      </c>
      <c r="H246" s="1">
        <v>10</v>
      </c>
      <c r="I246" s="1">
        <v>2</v>
      </c>
      <c r="J246" s="1">
        <v>0</v>
      </c>
      <c r="K246" s="2">
        <v>2.0</v>
      </c>
    </row>
    <row r="247" spans="1:12">
      <c r="A247" s="3" t="s">
        <v>36</v>
      </c>
      <c r="B247" s="3" t="s">
        <v>58</v>
      </c>
      <c r="C247" s="3" t="s">
        <v>213</v>
      </c>
      <c r="D247" s="3"/>
      <c r="E247" s="2" t="str">
        <f>HYPERLINK("https://old.ukr-mobil.com/zashchitnoe_steklo_oneplus_nord_pro-flexi_hd_full_glue_black_10001454", "Перейти")</f>
        <v>Перейти</v>
      </c>
      <c r="F247" s="2">
        <v>10001454</v>
      </c>
      <c r="G247" s="4" t="s">
        <v>268</v>
      </c>
      <c r="H247" s="1">
        <v>7</v>
      </c>
      <c r="I247" s="1">
        <v>3</v>
      </c>
      <c r="J247" s="1">
        <v>2</v>
      </c>
      <c r="K247" s="2">
        <v>2.0</v>
      </c>
    </row>
    <row r="248" spans="1:12">
      <c r="A248" s="3" t="s">
        <v>36</v>
      </c>
      <c r="B248" s="3" t="s">
        <v>58</v>
      </c>
      <c r="C248" s="3" t="s">
        <v>213</v>
      </c>
      <c r="D248" s="3"/>
      <c r="E248" s="2" t="str">
        <f>HYPERLINK("https://old.ukr-mobil.com/zashchitnoe_steklo_oppo_a12_pro-flexi_hd_full_glue_black_10001447", "Перейти")</f>
        <v>Перейти</v>
      </c>
      <c r="F248" s="2">
        <v>10001447</v>
      </c>
      <c r="G248" s="4" t="s">
        <v>269</v>
      </c>
      <c r="H248" s="1">
        <v>22</v>
      </c>
      <c r="I248" s="1">
        <v>8</v>
      </c>
      <c r="J248" s="1">
        <v>1</v>
      </c>
      <c r="K248" s="2">
        <v>1.75</v>
      </c>
    </row>
    <row r="249" spans="1:12">
      <c r="A249" s="3" t="s">
        <v>36</v>
      </c>
      <c r="B249" s="3" t="s">
        <v>58</v>
      </c>
      <c r="C249" s="3" t="s">
        <v>213</v>
      </c>
      <c r="D249" s="3"/>
      <c r="E249" s="2" t="str">
        <f>HYPERLINK("https://old.ukr-mobil.com/zashchitnoe_steklo_oppo_a15_a15s_pro-flexi_hd_full_glue_black_10001449", "Перейти")</f>
        <v>Перейти</v>
      </c>
      <c r="F249" s="2">
        <v>10001449</v>
      </c>
      <c r="G249" s="4" t="s">
        <v>270</v>
      </c>
      <c r="H249" s="1">
        <v>0</v>
      </c>
      <c r="I249" s="1">
        <v>0</v>
      </c>
      <c r="J249" s="1">
        <v>0</v>
      </c>
      <c r="K249" s="2">
        <v>1.95</v>
      </c>
    </row>
    <row r="250" spans="1:12">
      <c r="A250" s="3" t="s">
        <v>36</v>
      </c>
      <c r="B250" s="3" t="s">
        <v>58</v>
      </c>
      <c r="C250" s="3" t="s">
        <v>213</v>
      </c>
      <c r="D250" s="3"/>
      <c r="E250" s="2" t="str">
        <f>HYPERLINK("https://old.ukr-mobil.com/zashchitnoe_steklo_oppo_a31_a5_2020_a9_2020_realme_5_pro-flexi_hd_full_glue_black_10001448", "Перейти")</f>
        <v>Перейти</v>
      </c>
      <c r="F250" s="2">
        <v>10001448</v>
      </c>
      <c r="G250" s="4" t="s">
        <v>271</v>
      </c>
      <c r="H250" s="1">
        <v>0</v>
      </c>
      <c r="I250" s="1">
        <v>0</v>
      </c>
      <c r="J250" s="1">
        <v>0</v>
      </c>
      <c r="K250" s="2">
        <v>2.0</v>
      </c>
    </row>
    <row r="251" spans="1:12">
      <c r="A251" s="3" t="s">
        <v>36</v>
      </c>
      <c r="B251" s="3" t="s">
        <v>58</v>
      </c>
      <c r="C251" s="3" t="s">
        <v>213</v>
      </c>
      <c r="D251" s="3"/>
      <c r="E251" s="2" t="str">
        <f>HYPERLINK("https://old.ukr-mobil.com/zashchitnoe_steklo_oppo_a32_a53_pro-flexi_hd_full_glue_black_10001446", "Перейти")</f>
        <v>Перейти</v>
      </c>
      <c r="F251" s="2">
        <v>10001446</v>
      </c>
      <c r="G251" s="4" t="s">
        <v>272</v>
      </c>
      <c r="H251" s="1">
        <v>42</v>
      </c>
      <c r="I251" s="1">
        <v>4</v>
      </c>
      <c r="J251" s="1">
        <v>0</v>
      </c>
      <c r="K251" s="2">
        <v>2.0</v>
      </c>
    </row>
    <row r="252" spans="1:12">
      <c r="A252" s="3" t="s">
        <v>36</v>
      </c>
      <c r="B252" s="3" t="s">
        <v>58</v>
      </c>
      <c r="C252" s="3" t="s">
        <v>213</v>
      </c>
      <c r="D252" s="3"/>
      <c r="E252" s="2" t="str">
        <f>HYPERLINK("https://old.ukr-mobil.com/zashchitnoe_steklo_oppo_a52_a72_a92_pro-flexi_hd_full_glue_black_10001498", "Перейти")</f>
        <v>Перейти</v>
      </c>
      <c r="F252" s="2">
        <v>10001498</v>
      </c>
      <c r="G252" s="4" t="s">
        <v>273</v>
      </c>
      <c r="H252" s="1">
        <v>3</v>
      </c>
      <c r="I252" s="1">
        <v>0</v>
      </c>
      <c r="J252" s="1">
        <v>2</v>
      </c>
      <c r="K252" s="2">
        <v>2.0</v>
      </c>
    </row>
    <row r="253" spans="1:12">
      <c r="A253" s="3" t="s">
        <v>36</v>
      </c>
      <c r="B253" s="3" t="s">
        <v>58</v>
      </c>
      <c r="C253" s="3" t="s">
        <v>213</v>
      </c>
      <c r="D253" s="3"/>
      <c r="E253" s="2" t="str">
        <f>HYPERLINK("https://old.ukr-mobil.com/zashchitnoe_steklo_oppo_a54_pro-flexi_hd_full_glue_10001954", "Перейти")</f>
        <v>Перейти</v>
      </c>
      <c r="F253" s="2">
        <v>10001954</v>
      </c>
      <c r="G253" s="4" t="s">
        <v>274</v>
      </c>
      <c r="H253" s="1">
        <v>0</v>
      </c>
      <c r="I253" s="1">
        <v>0</v>
      </c>
      <c r="J253" s="1">
        <v>0</v>
      </c>
      <c r="K253" s="2">
        <v>2.0</v>
      </c>
    </row>
    <row r="254" spans="1:12">
      <c r="A254" s="3" t="s">
        <v>36</v>
      </c>
      <c r="B254" s="3" t="s">
        <v>58</v>
      </c>
      <c r="C254" s="3" t="s">
        <v>213</v>
      </c>
      <c r="D254" s="3"/>
      <c r="E254" s="2" t="str">
        <f>HYPERLINK("https://old.ukr-mobil.com/zashchitnoe_steklo_oppo_a74_4g_a94_reno_5_lite_realme_7_pro_realme_8_realme_8_pro_realme_v_pro-flexi_hd_full_glue_black_10002799", "Перейти")</f>
        <v>Перейти</v>
      </c>
      <c r="F254" s="2">
        <v>10002799</v>
      </c>
      <c r="G254" s="4" t="s">
        <v>275</v>
      </c>
      <c r="H254" s="1">
        <v>0</v>
      </c>
      <c r="I254" s="1">
        <v>0</v>
      </c>
      <c r="J254" s="1">
        <v>0</v>
      </c>
      <c r="K254" s="2">
        <v>2.0</v>
      </c>
    </row>
    <row r="255" spans="1:12">
      <c r="A255" s="3" t="s">
        <v>36</v>
      </c>
      <c r="B255" s="3" t="s">
        <v>58</v>
      </c>
      <c r="C255" s="3" t="s">
        <v>213</v>
      </c>
      <c r="D255" s="3"/>
      <c r="E255" s="2" t="str">
        <f>HYPERLINK("https://old.ukr-mobil.com/zashchitnoe_steklo_oppo_a91_pro-flexi_hd_full_glue_black_10001445", "Перейти")</f>
        <v>Перейти</v>
      </c>
      <c r="F255" s="2">
        <v>10001445</v>
      </c>
      <c r="G255" s="4" t="s">
        <v>276</v>
      </c>
      <c r="H255" s="1">
        <v>4</v>
      </c>
      <c r="I255" s="1">
        <v>0</v>
      </c>
      <c r="J255" s="1">
        <v>0</v>
      </c>
      <c r="K255" s="2">
        <v>2.0</v>
      </c>
    </row>
    <row r="256" spans="1:12">
      <c r="A256" s="3" t="s">
        <v>36</v>
      </c>
      <c r="B256" s="3" t="s">
        <v>58</v>
      </c>
      <c r="C256" s="3" t="s">
        <v>213</v>
      </c>
      <c r="D256" s="3"/>
      <c r="E256" s="2" t="str">
        <f>HYPERLINK("https://old.ukr-mobil.com/zashchitnoe_steklo_oppo_realme_6_pro_s_tachskrinom_pro-flexi_hd_full_glue_black_10002252", "Перейти")</f>
        <v>Перейти</v>
      </c>
      <c r="F256" s="2">
        <v>10002252</v>
      </c>
      <c r="G256" s="4" t="s">
        <v>277</v>
      </c>
      <c r="H256" s="1">
        <v>0</v>
      </c>
      <c r="I256" s="1">
        <v>1</v>
      </c>
      <c r="J256" s="1">
        <v>1</v>
      </c>
      <c r="K256" s="2">
        <v>1.95</v>
      </c>
    </row>
    <row r="257" spans="1:12">
      <c r="A257" s="3" t="s">
        <v>36</v>
      </c>
      <c r="B257" s="3" t="s">
        <v>58</v>
      </c>
      <c r="C257" s="3" t="s">
        <v>213</v>
      </c>
      <c r="D257" s="3"/>
      <c r="E257" s="2" t="str">
        <f>HYPERLINK("https://old.ukr-mobil.com/zashchitnoe_steklo_realme_c11_2021_realme_c20_realme_c20a_realme_c21_pro-flexi_hd_full_glue_10003732", "Перейти")</f>
        <v>Перейти</v>
      </c>
      <c r="F257" s="2">
        <v>10003732</v>
      </c>
      <c r="G257" s="4" t="s">
        <v>278</v>
      </c>
      <c r="H257" s="1">
        <v>15</v>
      </c>
      <c r="I257" s="1">
        <v>5</v>
      </c>
      <c r="J257" s="1">
        <v>7</v>
      </c>
      <c r="K257" s="2">
        <v>1.85</v>
      </c>
    </row>
    <row r="258" spans="1:12">
      <c r="A258" s="3" t="s">
        <v>36</v>
      </c>
      <c r="B258" s="3" t="s">
        <v>58</v>
      </c>
      <c r="C258" s="3" t="s">
        <v>213</v>
      </c>
      <c r="D258" s="3"/>
      <c r="E258" s="2" t="str">
        <f>HYPERLINK("https://old.ukr-mobil.com/zashchitnoe_steklo_realme_c21y_realme_c25y_pro-flexi_hd_full_glue_black_10002798", "Перейти")</f>
        <v>Перейти</v>
      </c>
      <c r="F258" s="2">
        <v>10002798</v>
      </c>
      <c r="G258" s="4" t="s">
        <v>279</v>
      </c>
      <c r="H258" s="1">
        <v>10</v>
      </c>
      <c r="I258" s="1">
        <v>4</v>
      </c>
      <c r="J258" s="1">
        <v>0</v>
      </c>
      <c r="K258" s="2">
        <v>2.0</v>
      </c>
    </row>
    <row r="259" spans="1:12">
      <c r="A259" s="3" t="s">
        <v>36</v>
      </c>
      <c r="B259" s="3" t="s">
        <v>58</v>
      </c>
      <c r="C259" s="3" t="s">
        <v>213</v>
      </c>
      <c r="D259" s="3"/>
      <c r="E259" s="2" t="str">
        <f>HYPERLINK("https://old.ukr-mobil.com/zashchitnoe_steklo_samsung_a015_galaxy_a01_pro-flexi_hd_full_glue_black_10001908", "Перейти")</f>
        <v>Перейти</v>
      </c>
      <c r="F259" s="2">
        <v>10001908</v>
      </c>
      <c r="G259" s="4" t="s">
        <v>280</v>
      </c>
      <c r="H259" s="1">
        <v>22</v>
      </c>
      <c r="I259" s="1">
        <v>8</v>
      </c>
      <c r="J259" s="1">
        <v>0</v>
      </c>
      <c r="K259" s="2">
        <v>1.85</v>
      </c>
    </row>
    <row r="260" spans="1:12">
      <c r="A260" s="3" t="s">
        <v>36</v>
      </c>
      <c r="B260" s="3" t="s">
        <v>58</v>
      </c>
      <c r="C260" s="3" t="s">
        <v>213</v>
      </c>
      <c r="D260" s="3"/>
      <c r="E260" s="2" t="str">
        <f>HYPERLINK("https://old.ukr-mobil.com/zashchitnoe_steklo_samsung_a025_galaxy_a02s_m025_galaxy_m02s_pro-flexi_hd_full_glue_10001909", "Перейти")</f>
        <v>Перейти</v>
      </c>
      <c r="F260" s="2">
        <v>10001909</v>
      </c>
      <c r="G260" s="4" t="s">
        <v>281</v>
      </c>
      <c r="H260" s="1">
        <v>21</v>
      </c>
      <c r="I260" s="1">
        <v>9</v>
      </c>
      <c r="J260" s="1">
        <v>7</v>
      </c>
      <c r="K260" s="2">
        <v>1.8</v>
      </c>
    </row>
    <row r="261" spans="1:12">
      <c r="A261" s="3" t="s">
        <v>36</v>
      </c>
      <c r="B261" s="3" t="s">
        <v>58</v>
      </c>
      <c r="C261" s="3" t="s">
        <v>213</v>
      </c>
      <c r="D261" s="3"/>
      <c r="E261" s="2" t="str">
        <f>HYPERLINK("https://old.ukr-mobil.com/zashchitnoe_steklo_samsung_a105_galaxy_a10_2019_m105_galaxy_m10_pro-flexi_hd_full_glue_black_10001428", "Перейти")</f>
        <v>Перейти</v>
      </c>
      <c r="F261" s="2">
        <v>10001428</v>
      </c>
      <c r="G261" s="4" t="s">
        <v>282</v>
      </c>
      <c r="H261" s="1">
        <v>47</v>
      </c>
      <c r="I261" s="1">
        <v>13</v>
      </c>
      <c r="J261" s="1">
        <v>0</v>
      </c>
      <c r="K261" s="2">
        <v>2.0</v>
      </c>
    </row>
    <row r="262" spans="1:12">
      <c r="A262" s="3" t="s">
        <v>36</v>
      </c>
      <c r="B262" s="3" t="s">
        <v>58</v>
      </c>
      <c r="C262" s="3" t="s">
        <v>213</v>
      </c>
      <c r="D262" s="3"/>
      <c r="E262" s="2" t="str">
        <f>HYPERLINK("https://old.ukr-mobil.com/zashchitnoe_steklo_samsung_a107_galaxy_a10s_2019_pro-flexi_hd_full_glue_black_10001429", "Перейти")</f>
        <v>Перейти</v>
      </c>
      <c r="F262" s="2">
        <v>10001429</v>
      </c>
      <c r="G262" s="4" t="s">
        <v>283</v>
      </c>
      <c r="H262" s="1">
        <v>9</v>
      </c>
      <c r="I262" s="1">
        <v>0</v>
      </c>
      <c r="J262" s="1">
        <v>7</v>
      </c>
      <c r="K262" s="2">
        <v>2.0</v>
      </c>
    </row>
    <row r="263" spans="1:12">
      <c r="A263" s="3" t="s">
        <v>36</v>
      </c>
      <c r="B263" s="3" t="s">
        <v>58</v>
      </c>
      <c r="C263" s="3" t="s">
        <v>213</v>
      </c>
      <c r="D263" s="3"/>
      <c r="E263" s="2" t="str">
        <f>HYPERLINK("https://old.ukr-mobil.com/zashchitnoe_steklo_samsung_a115_galaxy_a11_pro-flexi_hd_full_glue_black_10001910", "Перейти")</f>
        <v>Перейти</v>
      </c>
      <c r="F263" s="2">
        <v>10001910</v>
      </c>
      <c r="G263" s="4" t="s">
        <v>284</v>
      </c>
      <c r="H263" s="1">
        <v>5</v>
      </c>
      <c r="I263" s="1">
        <v>1</v>
      </c>
      <c r="J263" s="1">
        <v>3</v>
      </c>
      <c r="K263" s="2">
        <v>1.8</v>
      </c>
    </row>
    <row r="264" spans="1:12">
      <c r="A264" s="3" t="s">
        <v>36</v>
      </c>
      <c r="B264" s="3" t="s">
        <v>58</v>
      </c>
      <c r="C264" s="3" t="s">
        <v>213</v>
      </c>
      <c r="D264" s="3"/>
      <c r="E264" s="2" t="str">
        <f>HYPERLINK("https://old.ukr-mobil.com/zashchitnoe_steklo_samsung_a022_galaxy_a02_pro-flexi_hd_full_glue_black_10001450", "Перейти")</f>
        <v>Перейти</v>
      </c>
      <c r="F264" s="2">
        <v>10001450</v>
      </c>
      <c r="G264" s="4" t="s">
        <v>285</v>
      </c>
      <c r="H264" s="1">
        <v>0</v>
      </c>
      <c r="I264" s="1">
        <v>0</v>
      </c>
      <c r="J264" s="1">
        <v>0</v>
      </c>
      <c r="K264" s="2">
        <v>1.5</v>
      </c>
    </row>
    <row r="265" spans="1:12">
      <c r="A265" s="3" t="s">
        <v>36</v>
      </c>
      <c r="B265" s="3" t="s">
        <v>58</v>
      </c>
      <c r="C265" s="3" t="s">
        <v>213</v>
      </c>
      <c r="D265" s="3"/>
      <c r="E265" s="2" t="str">
        <f>HYPERLINK("https://old.ukr-mobil.com/zashchitnoe_steklo_samsung_a217_galaxy_a21s_pro-flexi_hd_full_glue_10001911", "Перейти")</f>
        <v>Перейти</v>
      </c>
      <c r="F265" s="2">
        <v>10001911</v>
      </c>
      <c r="G265" s="4" t="s">
        <v>286</v>
      </c>
      <c r="H265" s="1">
        <v>48</v>
      </c>
      <c r="I265" s="1">
        <v>3</v>
      </c>
      <c r="J265" s="1">
        <v>7</v>
      </c>
      <c r="K265" s="2">
        <v>1.75</v>
      </c>
    </row>
    <row r="266" spans="1:12">
      <c r="A266" s="3" t="s">
        <v>36</v>
      </c>
      <c r="B266" s="3" t="s">
        <v>58</v>
      </c>
      <c r="C266" s="3" t="s">
        <v>213</v>
      </c>
      <c r="D266" s="3"/>
      <c r="E266" s="2" t="str">
        <f>HYPERLINK("https://old.ukr-mobil.com/zashchitnoe_steklo_samsung_a325_galaxy_a32_pro-flexi_hd_full_glue_10001959", "Перейти")</f>
        <v>Перейти</v>
      </c>
      <c r="F266" s="2">
        <v>10001959</v>
      </c>
      <c r="G266" s="4" t="s">
        <v>287</v>
      </c>
      <c r="H266" s="1">
        <v>0</v>
      </c>
      <c r="I266" s="1">
        <v>0</v>
      </c>
      <c r="J266" s="1">
        <v>11</v>
      </c>
      <c r="K266" s="2">
        <v>2.0</v>
      </c>
    </row>
    <row r="267" spans="1:12">
      <c r="A267" s="3" t="s">
        <v>36</v>
      </c>
      <c r="B267" s="3" t="s">
        <v>58</v>
      </c>
      <c r="C267" s="3" t="s">
        <v>213</v>
      </c>
      <c r="D267" s="3"/>
      <c r="E267" s="2" t="str">
        <f>HYPERLINK("https://old.ukr-mobil.com/zashchitnoe_steklo_samsung_a225_galaxy_a22_pro-flexi_hd_full_glue_10001957", "Перейти")</f>
        <v>Перейти</v>
      </c>
      <c r="F267" s="2">
        <v>10001957</v>
      </c>
      <c r="G267" s="4" t="s">
        <v>288</v>
      </c>
      <c r="H267" s="1">
        <v>0</v>
      </c>
      <c r="I267" s="1">
        <v>0</v>
      </c>
      <c r="J267" s="1">
        <v>2</v>
      </c>
      <c r="K267" s="2">
        <v>2.0</v>
      </c>
    </row>
    <row r="268" spans="1:12">
      <c r="A268" s="3" t="s">
        <v>36</v>
      </c>
      <c r="B268" s="3" t="s">
        <v>58</v>
      </c>
      <c r="C268" s="3" t="s">
        <v>213</v>
      </c>
      <c r="D268" s="3"/>
      <c r="E268" s="2" t="str">
        <f>HYPERLINK("https://old.ukr-mobil.com/zashchitnoe_steklo_samsung_a305_galaxy_a30_2019_a505_galaxy_a50_2019_m305_galaxy_m30_2019_pro-flexi_hd_full_glue_black_10001430", "Перейти")</f>
        <v>Перейти</v>
      </c>
      <c r="F268" s="2">
        <v>10001430</v>
      </c>
      <c r="G268" s="4" t="s">
        <v>289</v>
      </c>
      <c r="H268" s="1">
        <v>18</v>
      </c>
      <c r="I268" s="1">
        <v>8</v>
      </c>
      <c r="J268" s="1">
        <v>0</v>
      </c>
      <c r="K268" s="2">
        <v>2.0</v>
      </c>
    </row>
    <row r="269" spans="1:12">
      <c r="A269" s="3" t="s">
        <v>36</v>
      </c>
      <c r="B269" s="3" t="s">
        <v>58</v>
      </c>
      <c r="C269" s="3" t="s">
        <v>213</v>
      </c>
      <c r="D269" s="3"/>
      <c r="E269" s="2" t="str">
        <f>HYPERLINK("https://old.ukr-mobil.com/zashchitnoe_steklo_samsung_a307_galaxy_a30s_2019_pro-flexi_hd_full_glue_black_10001431", "Перейти")</f>
        <v>Перейти</v>
      </c>
      <c r="F269" s="2">
        <v>10001431</v>
      </c>
      <c r="G269" s="4" t="s">
        <v>290</v>
      </c>
      <c r="H269" s="1">
        <v>0</v>
      </c>
      <c r="I269" s="1">
        <v>0</v>
      </c>
      <c r="J269" s="1">
        <v>0</v>
      </c>
      <c r="K269" s="2">
        <v>2.0</v>
      </c>
    </row>
    <row r="270" spans="1:12">
      <c r="A270" s="3" t="s">
        <v>36</v>
      </c>
      <c r="B270" s="3" t="s">
        <v>58</v>
      </c>
      <c r="C270" s="3" t="s">
        <v>213</v>
      </c>
      <c r="D270" s="3"/>
      <c r="E270" s="2" t="str">
        <f>HYPERLINK("https://old.ukr-mobil.com/zashchitnoe_steklo_samsung_a315_galaxy_a31_pro-flexi_hd_full_glue_10001912", "Перейти")</f>
        <v>Перейти</v>
      </c>
      <c r="F270" s="2">
        <v>10001912</v>
      </c>
      <c r="G270" s="4" t="s">
        <v>291</v>
      </c>
      <c r="H270" s="1">
        <v>10</v>
      </c>
      <c r="I270" s="1">
        <v>3</v>
      </c>
      <c r="J270" s="1">
        <v>3</v>
      </c>
      <c r="K270" s="2">
        <v>1.75</v>
      </c>
    </row>
    <row r="271" spans="1:12">
      <c r="A271" s="3" t="s">
        <v>36</v>
      </c>
      <c r="B271" s="3" t="s">
        <v>58</v>
      </c>
      <c r="C271" s="3" t="s">
        <v>213</v>
      </c>
      <c r="D271" s="3"/>
      <c r="E271" s="2" t="str">
        <f>HYPERLINK("https://old.ukr-mobil.com/zashchitnoe_steklo_samsung_a515_galaxy_a51_pro-flexi_hd_full_glue_10001913", "Перейти")</f>
        <v>Перейти</v>
      </c>
      <c r="F271" s="2">
        <v>10001913</v>
      </c>
      <c r="G271" s="4" t="s">
        <v>292</v>
      </c>
      <c r="H271" s="1">
        <v>0</v>
      </c>
      <c r="I271" s="1">
        <v>0</v>
      </c>
      <c r="J271" s="1">
        <v>0</v>
      </c>
      <c r="K271" s="2">
        <v>1.75</v>
      </c>
    </row>
    <row r="272" spans="1:12">
      <c r="A272" s="3" t="s">
        <v>36</v>
      </c>
      <c r="B272" s="3" t="s">
        <v>58</v>
      </c>
      <c r="C272" s="3" t="s">
        <v>213</v>
      </c>
      <c r="D272" s="3"/>
      <c r="E272" s="2" t="str">
        <f>HYPERLINK("https://old.ukr-mobil.com/zashchitnoe_steklo_samsung_a525_galaxy_a52_pro-flexi_hd_full_glue_10001958", "Перейти")</f>
        <v>Перейти</v>
      </c>
      <c r="F272" s="2">
        <v>10001958</v>
      </c>
      <c r="G272" s="4" t="s">
        <v>293</v>
      </c>
      <c r="H272" s="1">
        <v>26</v>
      </c>
      <c r="I272" s="1">
        <v>2</v>
      </c>
      <c r="J272" s="1">
        <v>13</v>
      </c>
      <c r="K272" s="2">
        <v>2.0</v>
      </c>
    </row>
    <row r="273" spans="1:12">
      <c r="A273" s="3" t="s">
        <v>36</v>
      </c>
      <c r="B273" s="3" t="s">
        <v>58</v>
      </c>
      <c r="C273" s="3" t="s">
        <v>213</v>
      </c>
      <c r="D273" s="3"/>
      <c r="E273" s="2" t="str">
        <f>HYPERLINK("https://old.ukr-mobil.com/zashchitnoe_steklo_samsung_a715_galaxy_a71_m515_galaxy_m51_pro-flexi_hd_full_glue_10001914", "Перейти")</f>
        <v>Перейти</v>
      </c>
      <c r="F273" s="2">
        <v>10001914</v>
      </c>
      <c r="G273" s="4" t="s">
        <v>294</v>
      </c>
      <c r="H273" s="1">
        <v>1</v>
      </c>
      <c r="I273" s="1">
        <v>0</v>
      </c>
      <c r="J273" s="1">
        <v>1</v>
      </c>
      <c r="K273" s="2">
        <v>1.75</v>
      </c>
    </row>
    <row r="274" spans="1:12">
      <c r="A274" s="3" t="s">
        <v>36</v>
      </c>
      <c r="B274" s="3" t="s">
        <v>58</v>
      </c>
      <c r="C274" s="3" t="s">
        <v>213</v>
      </c>
      <c r="D274" s="3"/>
      <c r="E274" s="2" t="str">
        <f>HYPERLINK("https://old.ukr-mobil.com/zashchitnoe_steklo_samsung_a750_galaxy_a7_2018_pro-flexi_hd_full_glue_black_10001432", "Перейти")</f>
        <v>Перейти</v>
      </c>
      <c r="F274" s="2">
        <v>10001432</v>
      </c>
      <c r="G274" s="4" t="s">
        <v>295</v>
      </c>
      <c r="H274" s="1">
        <v>0</v>
      </c>
      <c r="I274" s="1">
        <v>0</v>
      </c>
      <c r="J274" s="1">
        <v>0</v>
      </c>
      <c r="K274" s="2">
        <v>1.85</v>
      </c>
    </row>
    <row r="275" spans="1:12">
      <c r="A275" s="3" t="s">
        <v>36</v>
      </c>
      <c r="B275" s="3" t="s">
        <v>58</v>
      </c>
      <c r="C275" s="3" t="s">
        <v>213</v>
      </c>
      <c r="D275" s="3"/>
      <c r="E275" s="2" t="str">
        <f>HYPERLINK("https://old.ukr-mobil.com/zashchitnoe_steklo_samsung_j610_galaxy_j6_plus_2018_j415_galaxy_j4_plus_2018_pro-flexi_hd_full_glue_black_10001433", "Перейти")</f>
        <v>Перейти</v>
      </c>
      <c r="F275" s="2">
        <v>10001433</v>
      </c>
      <c r="G275" s="4" t="s">
        <v>296</v>
      </c>
      <c r="H275" s="1">
        <v>0</v>
      </c>
      <c r="I275" s="1">
        <v>0</v>
      </c>
      <c r="J275" s="1">
        <v>0</v>
      </c>
      <c r="K275" s="2">
        <v>2.0</v>
      </c>
    </row>
    <row r="276" spans="1:12">
      <c r="A276" s="3" t="s">
        <v>36</v>
      </c>
      <c r="B276" s="3" t="s">
        <v>58</v>
      </c>
      <c r="C276" s="3" t="s">
        <v>213</v>
      </c>
      <c r="D276" s="3"/>
      <c r="E276" s="2" t="str">
        <f>HYPERLINK("https://old.ukr-mobil.com/zashchitnoe_steklo_samsung_m215_galaxy_m21_m217_galaxy_m21s_m315_galaxy_m31_m317_galaxy_m31s_pro-flexi_hd_full_glue_black_10001434", "Перейти")</f>
        <v>Перейти</v>
      </c>
      <c r="F276" s="2">
        <v>10001434</v>
      </c>
      <c r="G276" s="4" t="s">
        <v>297</v>
      </c>
      <c r="H276" s="1">
        <v>7</v>
      </c>
      <c r="I276" s="1">
        <v>0</v>
      </c>
      <c r="J276" s="1">
        <v>4</v>
      </c>
      <c r="K276" s="2">
        <v>2.0</v>
      </c>
    </row>
    <row r="277" spans="1:12">
      <c r="A277" s="3" t="s">
        <v>36</v>
      </c>
      <c r="B277" s="3" t="s">
        <v>58</v>
      </c>
      <c r="C277" s="3" t="s">
        <v>213</v>
      </c>
      <c r="D277" s="3"/>
      <c r="E277" s="2" t="str">
        <f>HYPERLINK("https://old.ukr-mobil.com/zashchitnoe_steklo_tecno_camon_12_air_cc6_pro-flexi_hd_full_glue_10002803", "Перейти")</f>
        <v>Перейти</v>
      </c>
      <c r="F277" s="2">
        <v>10002803</v>
      </c>
      <c r="G277" s="4" t="s">
        <v>298</v>
      </c>
      <c r="H277" s="1">
        <v>3</v>
      </c>
      <c r="I277" s="1">
        <v>0</v>
      </c>
      <c r="J277" s="1">
        <v>1</v>
      </c>
      <c r="K277" s="2">
        <v>1.85</v>
      </c>
    </row>
    <row r="278" spans="1:12">
      <c r="A278" s="3" t="s">
        <v>36</v>
      </c>
      <c r="B278" s="3" t="s">
        <v>58</v>
      </c>
      <c r="C278" s="3" t="s">
        <v>213</v>
      </c>
      <c r="D278" s="3"/>
      <c r="E278" s="2" t="str">
        <f>HYPERLINK("https://old.ukr-mobil.com/zashchitnoe_steklo_tecno_camon_17p_cg7n_pro-flexi_hd_full_glue_10002910", "Перейти")</f>
        <v>Перейти</v>
      </c>
      <c r="F278" s="2">
        <v>10002910</v>
      </c>
      <c r="G278" s="4" t="s">
        <v>299</v>
      </c>
      <c r="H278" s="1">
        <v>53</v>
      </c>
      <c r="I278" s="1">
        <v>0</v>
      </c>
      <c r="J278" s="1">
        <v>0</v>
      </c>
      <c r="K278" s="2">
        <v>1.85</v>
      </c>
    </row>
    <row r="279" spans="1:12">
      <c r="A279" s="3" t="s">
        <v>36</v>
      </c>
      <c r="B279" s="3" t="s">
        <v>58</v>
      </c>
      <c r="C279" s="3" t="s">
        <v>213</v>
      </c>
      <c r="D279" s="3"/>
      <c r="E279" s="2" t="str">
        <f>HYPERLINK("https://old.ukr-mobil.com/zashchitnoe_steklo_tecno_camon_18_ch6n_pro-flexi_hd_full_glue_black_10002804", "Перейти")</f>
        <v>Перейти</v>
      </c>
      <c r="F279" s="2">
        <v>10002804</v>
      </c>
      <c r="G279" s="4" t="s">
        <v>300</v>
      </c>
      <c r="H279" s="1">
        <v>0</v>
      </c>
      <c r="I279" s="1">
        <v>0</v>
      </c>
      <c r="J279" s="1">
        <v>0</v>
      </c>
      <c r="K279" s="2">
        <v>1.85</v>
      </c>
    </row>
    <row r="280" spans="1:12">
      <c r="A280" s="3" t="s">
        <v>36</v>
      </c>
      <c r="B280" s="3" t="s">
        <v>58</v>
      </c>
      <c r="C280" s="3" t="s">
        <v>213</v>
      </c>
      <c r="D280" s="3"/>
      <c r="E280" s="2" t="str">
        <f>HYPERLINK("https://old.ukr-mobil.com/zashchitnoe_steklo_tecno_pop_5_bd2p_pro-flexi_hd_full_glue_10002911", "Перейти")</f>
        <v>Перейти</v>
      </c>
      <c r="F280" s="2">
        <v>10002911</v>
      </c>
      <c r="G280" s="4" t="s">
        <v>301</v>
      </c>
      <c r="H280" s="1">
        <v>0</v>
      </c>
      <c r="I280" s="1">
        <v>0</v>
      </c>
      <c r="J280" s="1">
        <v>0</v>
      </c>
      <c r="K280" s="2">
        <v>1.85</v>
      </c>
    </row>
    <row r="281" spans="1:12">
      <c r="A281" s="3" t="s">
        <v>36</v>
      </c>
      <c r="B281" s="3" t="s">
        <v>58</v>
      </c>
      <c r="C281" s="3" t="s">
        <v>213</v>
      </c>
      <c r="D281" s="3"/>
      <c r="E281" s="2" t="str">
        <f>HYPERLINK("https://old.ukr-mobil.com/zashchitnoe_steklo_tecno_pova_2_le7n_pova_3_lf7n_pro-flexi_hd_full_glue_10002908", "Перейти")</f>
        <v>Перейти</v>
      </c>
      <c r="F281" s="2">
        <v>10002908</v>
      </c>
      <c r="G281" s="4" t="s">
        <v>302</v>
      </c>
      <c r="H281" s="1">
        <v>0</v>
      </c>
      <c r="I281" s="1">
        <v>0</v>
      </c>
      <c r="J281" s="1">
        <v>0</v>
      </c>
      <c r="K281" s="2">
        <v>1.85</v>
      </c>
    </row>
    <row r="282" spans="1:12">
      <c r="A282" s="3" t="s">
        <v>36</v>
      </c>
      <c r="B282" s="3" t="s">
        <v>58</v>
      </c>
      <c r="C282" s="3" t="s">
        <v>213</v>
      </c>
      <c r="D282" s="3"/>
      <c r="E282" s="2" t="str">
        <f>HYPERLINK("https://old.ukr-mobil.com/zashchitnoe_steklo_tecno_spark_6_ke7_camon_16_se_ce7j_pro-flexi_hd_full_glue_10002906", "Перейти")</f>
        <v>Перейти</v>
      </c>
      <c r="F282" s="2">
        <v>10002906</v>
      </c>
      <c r="G282" s="4" t="s">
        <v>303</v>
      </c>
      <c r="H282" s="1">
        <v>0</v>
      </c>
      <c r="I282" s="1">
        <v>0</v>
      </c>
      <c r="J282" s="1">
        <v>0</v>
      </c>
      <c r="K282" s="2">
        <v>1.85</v>
      </c>
    </row>
    <row r="283" spans="1:12">
      <c r="A283" s="3" t="s">
        <v>36</v>
      </c>
      <c r="B283" s="3" t="s">
        <v>58</v>
      </c>
      <c r="C283" s="3" t="s">
        <v>213</v>
      </c>
      <c r="D283" s="3"/>
      <c r="E283" s="2" t="str">
        <f>HYPERLINK("https://old.ukr-mobil.com/zashchitnoe_steklo_tecno_spark_7_kf6n_pro-flexi_hd_full_glue_10002907", "Перейти")</f>
        <v>Перейти</v>
      </c>
      <c r="F283" s="2">
        <v>10002907</v>
      </c>
      <c r="G283" s="4" t="s">
        <v>304</v>
      </c>
      <c r="H283" s="1">
        <v>0</v>
      </c>
      <c r="I283" s="1">
        <v>0</v>
      </c>
      <c r="J283" s="1">
        <v>2</v>
      </c>
      <c r="K283" s="2">
        <v>1.85</v>
      </c>
    </row>
    <row r="284" spans="1:12">
      <c r="A284" s="3" t="s">
        <v>36</v>
      </c>
      <c r="B284" s="3" t="s">
        <v>58</v>
      </c>
      <c r="C284" s="3" t="s">
        <v>213</v>
      </c>
      <c r="D284" s="3"/>
      <c r="E284" s="2" t="str">
        <f>HYPERLINK("https://old.ukr-mobil.com/zashchitnoe_steklo_tecno_spark_7_pro_kf8_camon_17_cg6_pro-flexi_hd_full_glue_10002909", "Перейти")</f>
        <v>Перейти</v>
      </c>
      <c r="F284" s="2">
        <v>10002909</v>
      </c>
      <c r="G284" s="4" t="s">
        <v>305</v>
      </c>
      <c r="H284" s="1">
        <v>30</v>
      </c>
      <c r="I284" s="1">
        <v>5</v>
      </c>
      <c r="J284" s="1">
        <v>8</v>
      </c>
      <c r="K284" s="2">
        <v>1.85</v>
      </c>
    </row>
    <row r="285" spans="1:12">
      <c r="A285" s="3" t="s">
        <v>36</v>
      </c>
      <c r="B285" s="3" t="s">
        <v>58</v>
      </c>
      <c r="C285" s="3" t="s">
        <v>213</v>
      </c>
      <c r="D285" s="3"/>
      <c r="E285" s="2" t="str">
        <f>HYPERLINK("https://old.ukr-mobil.com/zashchitnoe_steklo_xiaomi_cc9e_mi_a3_pro-flexi_hd_full_glue_black_10001436", "Перейти")</f>
        <v>Перейти</v>
      </c>
      <c r="F285" s="2">
        <v>10001436</v>
      </c>
      <c r="G285" s="4" t="s">
        <v>306</v>
      </c>
      <c r="H285" s="1">
        <v>5</v>
      </c>
      <c r="I285" s="1">
        <v>0</v>
      </c>
      <c r="J285" s="1">
        <v>5</v>
      </c>
      <c r="K285" s="2">
        <v>1.85</v>
      </c>
    </row>
    <row r="286" spans="1:12">
      <c r="A286" s="3" t="s">
        <v>36</v>
      </c>
      <c r="B286" s="3" t="s">
        <v>58</v>
      </c>
      <c r="C286" s="3" t="s">
        <v>213</v>
      </c>
      <c r="D286" s="3"/>
      <c r="E286" s="2" t="str">
        <f>HYPERLINK("https://old.ukr-mobil.com/zashchitnoe_steklo_xiaomi_mi_10_lite_pro-flexi_hd_full_glue_black_10001463", "Перейти")</f>
        <v>Перейти</v>
      </c>
      <c r="F286" s="2">
        <v>10001463</v>
      </c>
      <c r="G286" s="4" t="s">
        <v>307</v>
      </c>
      <c r="H286" s="1">
        <v>55</v>
      </c>
      <c r="I286" s="1">
        <v>7</v>
      </c>
      <c r="J286" s="1">
        <v>8</v>
      </c>
      <c r="K286" s="2">
        <v>2.0</v>
      </c>
    </row>
    <row r="287" spans="1:12">
      <c r="A287" s="3" t="s">
        <v>36</v>
      </c>
      <c r="B287" s="3" t="s">
        <v>58</v>
      </c>
      <c r="C287" s="3" t="s">
        <v>213</v>
      </c>
      <c r="D287" s="3"/>
      <c r="E287" s="2" t="str">
        <f>HYPERLINK("https://old.ukr-mobil.com/zashchitnoe_steklo_xiaomi_mi_10t_lite_poco_x3_poco_x3_pro_pro-flexi_hd_full_glue_10001955", "Перейти")</f>
        <v>Перейти</v>
      </c>
      <c r="F287" s="2">
        <v>10001955</v>
      </c>
      <c r="G287" s="4" t="s">
        <v>308</v>
      </c>
      <c r="H287" s="1">
        <v>0</v>
      </c>
      <c r="I287" s="1">
        <v>0</v>
      </c>
      <c r="J287" s="1">
        <v>0</v>
      </c>
      <c r="K287" s="2">
        <v>2.0</v>
      </c>
    </row>
    <row r="288" spans="1:12">
      <c r="A288" s="3" t="s">
        <v>36</v>
      </c>
      <c r="B288" s="3" t="s">
        <v>58</v>
      </c>
      <c r="C288" s="3" t="s">
        <v>213</v>
      </c>
      <c r="D288" s="3"/>
      <c r="E288" s="2" t="str">
        <f>HYPERLINK("https://old.ukr-mobil.com/zashchitnoe_steklo_xiaomi_mi_11i_poco_f3_redmi_k40_s_tachskrinom_pro-flexi_hd_full_glue_black_10002249", "Перейти")</f>
        <v>Перейти</v>
      </c>
      <c r="F288" s="2">
        <v>10002249</v>
      </c>
      <c r="G288" s="4" t="s">
        <v>309</v>
      </c>
      <c r="H288" s="1">
        <v>12</v>
      </c>
      <c r="I288" s="1">
        <v>8</v>
      </c>
      <c r="J288" s="1">
        <v>10</v>
      </c>
      <c r="K288" s="2">
        <v>1.95</v>
      </c>
    </row>
    <row r="289" spans="1:12">
      <c r="A289" s="3" t="s">
        <v>36</v>
      </c>
      <c r="B289" s="3" t="s">
        <v>58</v>
      </c>
      <c r="C289" s="3" t="s">
        <v>213</v>
      </c>
      <c r="D289" s="3"/>
      <c r="E289" s="2" t="str">
        <f>HYPERLINK("https://old.ukr-mobil.com/zashchitnoe_steklo_xiaomi_mi_9t_mi_9t_pro_redmi_k20_redmi_k20_pro_pro-flexi_hd_full_glue_black_10001437", "Перейти")</f>
        <v>Перейти</v>
      </c>
      <c r="F289" s="2">
        <v>10001437</v>
      </c>
      <c r="G289" s="4" t="s">
        <v>310</v>
      </c>
      <c r="H289" s="1">
        <v>21</v>
      </c>
      <c r="I289" s="1">
        <v>1</v>
      </c>
      <c r="J289" s="1">
        <v>3</v>
      </c>
      <c r="K289" s="2">
        <v>1.85</v>
      </c>
    </row>
    <row r="290" spans="1:12">
      <c r="A290" s="3" t="s">
        <v>36</v>
      </c>
      <c r="B290" s="3" t="s">
        <v>58</v>
      </c>
      <c r="C290" s="3" t="s">
        <v>213</v>
      </c>
      <c r="D290" s="3"/>
      <c r="E290" s="2" t="str">
        <f>HYPERLINK("https://old.ukr-mobil.com/zashchitnoe_steklo_xiaomi_mi_a2_lite_redmi_6_pro_pro-flexi_hd_full_glue_black_10001438", "Перейти")</f>
        <v>Перейти</v>
      </c>
      <c r="F290" s="2">
        <v>10001438</v>
      </c>
      <c r="G290" s="4" t="s">
        <v>311</v>
      </c>
      <c r="H290" s="1">
        <v>0</v>
      </c>
      <c r="I290" s="1">
        <v>0</v>
      </c>
      <c r="J290" s="1">
        <v>0</v>
      </c>
      <c r="K290" s="2">
        <v>1.85</v>
      </c>
    </row>
    <row r="291" spans="1:12">
      <c r="A291" s="3" t="s">
        <v>36</v>
      </c>
      <c r="B291" s="3" t="s">
        <v>58</v>
      </c>
      <c r="C291" s="3" t="s">
        <v>213</v>
      </c>
      <c r="D291" s="3"/>
      <c r="E291" s="2" t="str">
        <f>HYPERLINK("https://old.ukr-mobil.com/zashchitnoe_steklo_xiaomi_mi_a2_mi6x_pro-flexi_hd_full_glue_black_10001499", "Перейти")</f>
        <v>Перейти</v>
      </c>
      <c r="F291" s="2">
        <v>10001499</v>
      </c>
      <c r="G291" s="4" t="s">
        <v>312</v>
      </c>
      <c r="H291" s="1">
        <v>0</v>
      </c>
      <c r="I291" s="1">
        <v>0</v>
      </c>
      <c r="J291" s="1">
        <v>0</v>
      </c>
      <c r="K291" s="2">
        <v>1.85</v>
      </c>
    </row>
    <row r="292" spans="1:12">
      <c r="A292" s="3" t="s">
        <v>36</v>
      </c>
      <c r="B292" s="3" t="s">
        <v>58</v>
      </c>
      <c r="C292" s="3" t="s">
        <v>213</v>
      </c>
      <c r="D292" s="3"/>
      <c r="E292" s="2" t="str">
        <f>HYPERLINK("https://old.ukr-mobil.com/zashchitnoe_steklo_xiaomi_mi_note_10_mi_note_10_lite_mi_note_10_pro_pro-flexi_hd_full_glue_black_10001462", "Перейти")</f>
        <v>Перейти</v>
      </c>
      <c r="F292" s="2">
        <v>10001462</v>
      </c>
      <c r="G292" s="4" t="s">
        <v>313</v>
      </c>
      <c r="H292" s="1">
        <v>0</v>
      </c>
      <c r="I292" s="1">
        <v>0</v>
      </c>
      <c r="J292" s="1">
        <v>0</v>
      </c>
      <c r="K292" s="2">
        <v>2.0</v>
      </c>
    </row>
    <row r="293" spans="1:12">
      <c r="A293" s="3" t="s">
        <v>36</v>
      </c>
      <c r="B293" s="3" t="s">
        <v>58</v>
      </c>
      <c r="C293" s="3" t="s">
        <v>213</v>
      </c>
      <c r="D293" s="3"/>
      <c r="E293" s="2" t="str">
        <f>HYPERLINK("https://old.ukr-mobil.com/zashchitnoe_steklo_xiaomi_redmi_10_pro-flexi_hd_full_glue_10002181", "Перейти")</f>
        <v>Перейти</v>
      </c>
      <c r="F293" s="2">
        <v>10002181</v>
      </c>
      <c r="G293" s="4" t="s">
        <v>314</v>
      </c>
      <c r="H293" s="1">
        <v>0</v>
      </c>
      <c r="I293" s="1">
        <v>0</v>
      </c>
      <c r="J293" s="1">
        <v>0</v>
      </c>
      <c r="K293" s="2">
        <v>2.25</v>
      </c>
    </row>
    <row r="294" spans="1:12">
      <c r="A294" s="3" t="s">
        <v>36</v>
      </c>
      <c r="B294" s="3" t="s">
        <v>58</v>
      </c>
      <c r="C294" s="3" t="s">
        <v>213</v>
      </c>
      <c r="D294" s="3"/>
      <c r="E294" s="2" t="str">
        <f>HYPERLINK("https://old.ukr-mobil.com/zashchitnoe_steklo_xiaomi_redmi_10c_redmi_10_power_poco_c40_pro-flexi_hd_full_glue_10003729", "Перейти")</f>
        <v>Перейти</v>
      </c>
      <c r="F294" s="2">
        <v>10003729</v>
      </c>
      <c r="G294" s="4" t="s">
        <v>315</v>
      </c>
      <c r="H294" s="1">
        <v>0</v>
      </c>
      <c r="I294" s="1">
        <v>0</v>
      </c>
      <c r="J294" s="1">
        <v>0</v>
      </c>
      <c r="K294" s="2">
        <v>1.85</v>
      </c>
    </row>
    <row r="295" spans="1:12">
      <c r="A295" s="3" t="s">
        <v>36</v>
      </c>
      <c r="B295" s="3" t="s">
        <v>58</v>
      </c>
      <c r="C295" s="3" t="s">
        <v>213</v>
      </c>
      <c r="D295" s="3"/>
      <c r="E295" s="2" t="str">
        <f>HYPERLINK("https://old.ukr-mobil.com/zashchitnoe_steklo_xiaomi_redmi_12c_pro-flexi_hd_full_glue_10003730", "Перейти")</f>
        <v>Перейти</v>
      </c>
      <c r="F295" s="2">
        <v>10003730</v>
      </c>
      <c r="G295" s="4" t="s">
        <v>316</v>
      </c>
      <c r="H295" s="1">
        <v>0</v>
      </c>
      <c r="I295" s="1">
        <v>0</v>
      </c>
      <c r="J295" s="1">
        <v>0</v>
      </c>
      <c r="K295" s="2">
        <v>1.85</v>
      </c>
    </row>
    <row r="296" spans="1:12">
      <c r="A296" s="3" t="s">
        <v>36</v>
      </c>
      <c r="B296" s="3" t="s">
        <v>58</v>
      </c>
      <c r="C296" s="3" t="s">
        <v>213</v>
      </c>
      <c r="D296" s="3"/>
      <c r="E296" s="2" t="str">
        <f>HYPERLINK("https://old.ukr-mobil.com/zashchitnoe_steklo_xiaomi_redmi_5_pro-flexi_hd_full_glue_black_10001439", "Перейти")</f>
        <v>Перейти</v>
      </c>
      <c r="F296" s="2">
        <v>10001439</v>
      </c>
      <c r="G296" s="4" t="s">
        <v>317</v>
      </c>
      <c r="H296" s="1">
        <v>0</v>
      </c>
      <c r="I296" s="1">
        <v>0</v>
      </c>
      <c r="J296" s="1">
        <v>0</v>
      </c>
      <c r="K296" s="2">
        <v>1.85</v>
      </c>
    </row>
    <row r="297" spans="1:12">
      <c r="A297" s="3" t="s">
        <v>36</v>
      </c>
      <c r="B297" s="3" t="s">
        <v>58</v>
      </c>
      <c r="C297" s="3" t="s">
        <v>213</v>
      </c>
      <c r="D297" s="3"/>
      <c r="E297" s="2" t="str">
        <f>HYPERLINK("https://old.ukr-mobil.com/zashchitnoe_steklo_xiaomi_redmi_7_pro-flexi_hd_full_glue_black_10002800", "Перейти")</f>
        <v>Перейти</v>
      </c>
      <c r="F297" s="2">
        <v>10002800</v>
      </c>
      <c r="G297" s="4" t="s">
        <v>318</v>
      </c>
      <c r="H297" s="1">
        <v>2</v>
      </c>
      <c r="I297" s="1">
        <v>0</v>
      </c>
      <c r="J297" s="1">
        <v>1</v>
      </c>
      <c r="K297" s="2">
        <v>2.0</v>
      </c>
    </row>
    <row r="298" spans="1:12">
      <c r="A298" s="3" t="s">
        <v>36</v>
      </c>
      <c r="B298" s="3" t="s">
        <v>58</v>
      </c>
      <c r="C298" s="3" t="s">
        <v>213</v>
      </c>
      <c r="D298" s="3"/>
      <c r="E298" s="2" t="str">
        <f>HYPERLINK("https://old.ukr-mobil.com/zashchitnoe_steklo_xiaomi_redmi_7a_pro-flexi_hd_full_glue_black_10002913", "Перейти")</f>
        <v>Перейти</v>
      </c>
      <c r="F298" s="2">
        <v>10002913</v>
      </c>
      <c r="G298" s="4" t="s">
        <v>319</v>
      </c>
      <c r="H298" s="1">
        <v>2</v>
      </c>
      <c r="I298" s="1">
        <v>2</v>
      </c>
      <c r="J298" s="1">
        <v>6</v>
      </c>
      <c r="K298" s="2">
        <v>1.65</v>
      </c>
    </row>
    <row r="299" spans="1:12">
      <c r="A299" s="3" t="s">
        <v>36</v>
      </c>
      <c r="B299" s="3" t="s">
        <v>58</v>
      </c>
      <c r="C299" s="3" t="s">
        <v>213</v>
      </c>
      <c r="D299" s="3"/>
      <c r="E299" s="2" t="str">
        <f>HYPERLINK("https://old.ukr-mobil.com/zashchitnoe_steklo_xiaomi_redmi_8_pro-flexi_hd_full_glue_black_10001461", "Перейти")</f>
        <v>Перейти</v>
      </c>
      <c r="F299" s="2">
        <v>10001461</v>
      </c>
      <c r="G299" s="4" t="s">
        <v>320</v>
      </c>
      <c r="H299" s="1">
        <v>0</v>
      </c>
      <c r="I299" s="1">
        <v>0</v>
      </c>
      <c r="J299" s="1">
        <v>0</v>
      </c>
      <c r="K299" s="2">
        <v>1.85</v>
      </c>
    </row>
    <row r="300" spans="1:12">
      <c r="A300" s="3" t="s">
        <v>36</v>
      </c>
      <c r="B300" s="3" t="s">
        <v>58</v>
      </c>
      <c r="C300" s="3" t="s">
        <v>213</v>
      </c>
      <c r="D300" s="3"/>
      <c r="E300" s="2" t="str">
        <f>HYPERLINK("https://old.ukr-mobil.com/zashchitnoe_steklo_xiaomi_redmi_9_pro-flexi_hd_full_glue_10001920", "Перейти")</f>
        <v>Перейти</v>
      </c>
      <c r="F300" s="2">
        <v>10001920</v>
      </c>
      <c r="G300" s="4" t="s">
        <v>321</v>
      </c>
      <c r="H300" s="1">
        <v>0</v>
      </c>
      <c r="I300" s="1">
        <v>0</v>
      </c>
      <c r="J300" s="1">
        <v>0</v>
      </c>
      <c r="K300" s="2">
        <v>2.0</v>
      </c>
    </row>
    <row r="301" spans="1:12">
      <c r="A301" s="3" t="s">
        <v>36</v>
      </c>
      <c r="B301" s="3" t="s">
        <v>58</v>
      </c>
      <c r="C301" s="3" t="s">
        <v>213</v>
      </c>
      <c r="D301" s="3"/>
      <c r="E301" s="2" t="str">
        <f>HYPERLINK("https://old.ukr-mobil.com/zashchitnoe_steklo_xiaomi_redmi_9a_redmi_9c_pro-flexi_hd_full_glue_black_10001441", "Перейти")</f>
        <v>Перейти</v>
      </c>
      <c r="F301" s="2">
        <v>10001441</v>
      </c>
      <c r="G301" s="4" t="s">
        <v>322</v>
      </c>
      <c r="H301" s="1">
        <v>0</v>
      </c>
      <c r="I301" s="1">
        <v>0</v>
      </c>
      <c r="J301" s="1">
        <v>0</v>
      </c>
      <c r="K301" s="2">
        <v>2.0</v>
      </c>
    </row>
    <row r="302" spans="1:12">
      <c r="A302" s="3" t="s">
        <v>36</v>
      </c>
      <c r="B302" s="3" t="s">
        <v>58</v>
      </c>
      <c r="C302" s="3" t="s">
        <v>213</v>
      </c>
      <c r="D302" s="3"/>
      <c r="E302" s="2" t="str">
        <f>HYPERLINK("https://old.ukr-mobil.com/zashchitnoe_steklo_xiaomi_poco_m3_pro-flexi_hd_full_glue_black_10001464", "Перейти")</f>
        <v>Перейти</v>
      </c>
      <c r="F302" s="2">
        <v>10001464</v>
      </c>
      <c r="G302" s="4" t="s">
        <v>323</v>
      </c>
      <c r="H302" s="1">
        <v>1</v>
      </c>
      <c r="I302" s="1">
        <v>0</v>
      </c>
      <c r="J302" s="1">
        <v>0</v>
      </c>
      <c r="K302" s="2">
        <v>2.0</v>
      </c>
    </row>
    <row r="303" spans="1:12">
      <c r="A303" s="3" t="s">
        <v>36</v>
      </c>
      <c r="B303" s="3" t="s">
        <v>58</v>
      </c>
      <c r="C303" s="3" t="s">
        <v>213</v>
      </c>
      <c r="D303" s="3"/>
      <c r="E303" s="2" t="str">
        <f>HYPERLINK("https://old.ukr-mobil.com/zashchitnoe_steklo_xiaomi_redmi_note_10_5g_poco_m3_pro_poco_m3_pro_5g_pro-flexi_hd_full_glue_black_10002801", "Перейти")</f>
        <v>Перейти</v>
      </c>
      <c r="F303" s="2">
        <v>10002801</v>
      </c>
      <c r="G303" s="4" t="s">
        <v>324</v>
      </c>
      <c r="H303" s="1">
        <v>15</v>
      </c>
      <c r="I303" s="1">
        <v>7</v>
      </c>
      <c r="J303" s="1">
        <v>5</v>
      </c>
      <c r="K303" s="2">
        <v>2.0</v>
      </c>
    </row>
    <row r="304" spans="1:12">
      <c r="A304" s="3" t="s">
        <v>36</v>
      </c>
      <c r="B304" s="3" t="s">
        <v>58</v>
      </c>
      <c r="C304" s="3" t="s">
        <v>213</v>
      </c>
      <c r="D304" s="3"/>
      <c r="E304" s="2" t="str">
        <f>HYPERLINK("https://old.ukr-mobil.com/zashchitnoe_steklo_xiaomi_redmi_note_10_pro_pro-flexi_hd_full_glue_10001916", "Перейти")</f>
        <v>Перейти</v>
      </c>
      <c r="F304" s="2">
        <v>10001916</v>
      </c>
      <c r="G304" s="4" t="s">
        <v>325</v>
      </c>
      <c r="H304" s="1">
        <v>1</v>
      </c>
      <c r="I304" s="1">
        <v>0</v>
      </c>
      <c r="J304" s="1">
        <v>0</v>
      </c>
      <c r="K304" s="2">
        <v>2.25</v>
      </c>
    </row>
    <row r="305" spans="1:12">
      <c r="A305" s="3" t="s">
        <v>36</v>
      </c>
      <c r="B305" s="3" t="s">
        <v>58</v>
      </c>
      <c r="C305" s="3" t="s">
        <v>213</v>
      </c>
      <c r="D305" s="3"/>
      <c r="E305" s="2" t="str">
        <f>HYPERLINK("https://old.ukr-mobil.com/zashchitnoe_steklo_xiaomi_redmi_note_10_pro-flexi_hd_full_glue_10001915", "Перейти")</f>
        <v>Перейти</v>
      </c>
      <c r="F305" s="2">
        <v>10001915</v>
      </c>
      <c r="G305" s="4" t="s">
        <v>326</v>
      </c>
      <c r="H305" s="1">
        <v>38</v>
      </c>
      <c r="I305" s="1">
        <v>10</v>
      </c>
      <c r="J305" s="1">
        <v>11</v>
      </c>
      <c r="K305" s="2">
        <v>1.75</v>
      </c>
    </row>
    <row r="306" spans="1:12">
      <c r="A306" s="3" t="s">
        <v>36</v>
      </c>
      <c r="B306" s="3" t="s">
        <v>58</v>
      </c>
      <c r="C306" s="3" t="s">
        <v>213</v>
      </c>
      <c r="D306" s="3"/>
      <c r="E306" s="2" t="str">
        <f>HYPERLINK("https://old.ukr-mobil.com/zashchitnoe_steklo_xiaomi_redmi_note_5_redmi_note_5_pro_pro-flexi_hd_full_glue_black_10001440", "Перейти")</f>
        <v>Перейти</v>
      </c>
      <c r="F306" s="2">
        <v>10001440</v>
      </c>
      <c r="G306" s="4" t="s">
        <v>327</v>
      </c>
      <c r="H306" s="1">
        <v>0</v>
      </c>
      <c r="I306" s="1">
        <v>0</v>
      </c>
      <c r="J306" s="1">
        <v>0</v>
      </c>
      <c r="K306" s="2">
        <v>2.0</v>
      </c>
    </row>
    <row r="307" spans="1:12">
      <c r="A307" s="3" t="s">
        <v>36</v>
      </c>
      <c r="B307" s="3" t="s">
        <v>58</v>
      </c>
      <c r="C307" s="3" t="s">
        <v>213</v>
      </c>
      <c r="D307" s="3"/>
      <c r="E307" s="2" t="str">
        <f>HYPERLINK("https://old.ukr-mobil.com/zashchitnoe_steklo_xiaomi_redmi_note_6_pro_pro-flexi_hd_full_glue_black_10001442", "Перейти")</f>
        <v>Перейти</v>
      </c>
      <c r="F307" s="2">
        <v>10001442</v>
      </c>
      <c r="G307" s="4" t="s">
        <v>328</v>
      </c>
      <c r="H307" s="1">
        <v>0</v>
      </c>
      <c r="I307" s="1">
        <v>0</v>
      </c>
      <c r="J307" s="1">
        <v>1</v>
      </c>
      <c r="K307" s="2">
        <v>2.0</v>
      </c>
    </row>
    <row r="308" spans="1:12">
      <c r="A308" s="3" t="s">
        <v>36</v>
      </c>
      <c r="B308" s="3" t="s">
        <v>58</v>
      </c>
      <c r="C308" s="3" t="s">
        <v>213</v>
      </c>
      <c r="D308" s="3"/>
      <c r="E308" s="2" t="str">
        <f>HYPERLINK("https://old.ukr-mobil.com/zashchitnoe_steklo_xiaomi_redmi_note_7_redmi_note_7_pro_pro-flexi_hd_full_glue_10001917", "Перейти")</f>
        <v>Перейти</v>
      </c>
      <c r="F308" s="2">
        <v>10001917</v>
      </c>
      <c r="G308" s="4" t="s">
        <v>329</v>
      </c>
      <c r="H308" s="1">
        <v>0</v>
      </c>
      <c r="I308" s="1">
        <v>0</v>
      </c>
      <c r="J308" s="1">
        <v>0</v>
      </c>
      <c r="K308" s="2">
        <v>1.85</v>
      </c>
    </row>
    <row r="309" spans="1:12">
      <c r="A309" s="3" t="s">
        <v>36</v>
      </c>
      <c r="B309" s="3" t="s">
        <v>58</v>
      </c>
      <c r="C309" s="3" t="s">
        <v>213</v>
      </c>
      <c r="D309" s="3"/>
      <c r="E309" s="2" t="str">
        <f>HYPERLINK("https://old.ukr-mobil.com/zashchitnoe_steklo_xiaomi_redmi_note_8_pro_pro-flexi_hd_full_glue_10001956", "Перейти")</f>
        <v>Перейти</v>
      </c>
      <c r="F309" s="2">
        <v>10001956</v>
      </c>
      <c r="G309" s="4" t="s">
        <v>330</v>
      </c>
      <c r="H309" s="1">
        <v>0</v>
      </c>
      <c r="I309" s="1">
        <v>0</v>
      </c>
      <c r="J309" s="1">
        <v>0</v>
      </c>
      <c r="K309" s="2">
        <v>2.0</v>
      </c>
    </row>
    <row r="310" spans="1:12">
      <c r="A310" s="3" t="s">
        <v>36</v>
      </c>
      <c r="B310" s="3" t="s">
        <v>58</v>
      </c>
      <c r="C310" s="3" t="s">
        <v>213</v>
      </c>
      <c r="D310" s="3"/>
      <c r="E310" s="2" t="str">
        <f>HYPERLINK("https://old.ukr-mobil.com/zashchitnoe_steklo_xiaomi_redmi_note_8_pro-flexi_hd_full_glue_10001918", "Перейти")</f>
        <v>Перейти</v>
      </c>
      <c r="F310" s="2">
        <v>10001918</v>
      </c>
      <c r="G310" s="4" t="s">
        <v>331</v>
      </c>
      <c r="H310" s="1">
        <v>0</v>
      </c>
      <c r="I310" s="1">
        <v>6</v>
      </c>
      <c r="J310" s="1">
        <v>1</v>
      </c>
      <c r="K310" s="2">
        <v>1.85</v>
      </c>
    </row>
    <row r="311" spans="1:12">
      <c r="A311" s="3" t="s">
        <v>36</v>
      </c>
      <c r="B311" s="3" t="s">
        <v>58</v>
      </c>
      <c r="C311" s="3" t="s">
        <v>213</v>
      </c>
      <c r="D311" s="3"/>
      <c r="E311" s="2" t="str">
        <f>HYPERLINK("https://old.ukr-mobil.com/zashchitnoe_steklo_xiaomi_redmi_note_9_pro_redmi_note_9s_poco_x3_pro-flexi_hd_full_glue_black_10001443", "Перейти")</f>
        <v>Перейти</v>
      </c>
      <c r="F311" s="2">
        <v>10001443</v>
      </c>
      <c r="G311" s="4" t="s">
        <v>332</v>
      </c>
      <c r="H311" s="1">
        <v>0</v>
      </c>
      <c r="I311" s="1">
        <v>0</v>
      </c>
      <c r="J311" s="1">
        <v>0</v>
      </c>
      <c r="K311" s="2">
        <v>2.0</v>
      </c>
    </row>
    <row r="312" spans="1:12">
      <c r="A312" s="3" t="s">
        <v>36</v>
      </c>
      <c r="B312" s="3" t="s">
        <v>58</v>
      </c>
      <c r="C312" s="3" t="s">
        <v>213</v>
      </c>
      <c r="D312" s="3"/>
      <c r="E312" s="2" t="str">
        <f>HYPERLINK("https://old.ukr-mobil.com/zashchitnoe_steklo_xiaomi_redmi_note_9_pro-flexi_hd_full_glue_10001919", "Перейти")</f>
        <v>Перейти</v>
      </c>
      <c r="F312" s="2">
        <v>10001919</v>
      </c>
      <c r="G312" s="4" t="s">
        <v>333</v>
      </c>
      <c r="H312" s="1">
        <v>0</v>
      </c>
      <c r="I312" s="1">
        <v>0</v>
      </c>
      <c r="J312" s="1">
        <v>0</v>
      </c>
      <c r="K312" s="2">
        <v>2.0</v>
      </c>
    </row>
    <row r="313" spans="1:12">
      <c r="A313" s="3" t="s">
        <v>36</v>
      </c>
      <c r="B313" s="3" t="s">
        <v>58</v>
      </c>
      <c r="C313" s="3" t="s">
        <v>334</v>
      </c>
      <c r="D313" s="3"/>
      <c r="E313" s="2" t="str">
        <f>HYPERLINK("https://old.ukr-mobil.com/zashchitnoe_steklo_iphone_x_iphone_xs_flexible_glass_white_9762", "Перейти")</f>
        <v>Перейти</v>
      </c>
      <c r="F313" s="2">
        <v>9762</v>
      </c>
      <c r="G313" s="4" t="s">
        <v>335</v>
      </c>
      <c r="H313" s="1">
        <v>0</v>
      </c>
      <c r="I313" s="1">
        <v>0</v>
      </c>
      <c r="J313" s="1">
        <v>7</v>
      </c>
      <c r="K313" s="2">
        <v>0.5</v>
      </c>
    </row>
    <row r="314" spans="1:12">
      <c r="A314" s="3" t="s">
        <v>36</v>
      </c>
      <c r="B314" s="3" t="s">
        <v>58</v>
      </c>
      <c r="C314" s="3" t="s">
        <v>334</v>
      </c>
      <c r="D314" s="3"/>
      <c r="E314" s="2" t="str">
        <f>HYPERLINK("https://old.ukr-mobil.com/zashchitnoe_steklo_flexible_glass_iphone_5_5s_white_9756", "Перейти")</f>
        <v>Перейти</v>
      </c>
      <c r="F314" s="2">
        <v>9756</v>
      </c>
      <c r="G314" s="4" t="s">
        <v>336</v>
      </c>
      <c r="H314" s="1">
        <v>6</v>
      </c>
      <c r="I314" s="1">
        <v>0</v>
      </c>
      <c r="J314" s="1">
        <v>2</v>
      </c>
      <c r="K314" s="2">
        <v>0.5</v>
      </c>
    </row>
    <row r="315" spans="1:12">
      <c r="A315" s="3" t="s">
        <v>36</v>
      </c>
      <c r="B315" s="3" t="s">
        <v>58</v>
      </c>
      <c r="C315" s="3" t="s">
        <v>334</v>
      </c>
      <c r="D315" s="3"/>
      <c r="E315" s="2" t="str">
        <f>HYPERLINK("https://old.ukr-mobil.com/zashchitnoe_steklo_flexible_glass_iphone_6_plus_6s_plus_black_9757", "Перейти")</f>
        <v>Перейти</v>
      </c>
      <c r="F315" s="2">
        <v>9757</v>
      </c>
      <c r="G315" s="4" t="s">
        <v>337</v>
      </c>
      <c r="H315" s="1">
        <v>8</v>
      </c>
      <c r="I315" s="1">
        <v>0</v>
      </c>
      <c r="J315" s="1">
        <v>2</v>
      </c>
      <c r="K315" s="2">
        <v>0.5</v>
      </c>
    </row>
    <row r="316" spans="1:12">
      <c r="A316" s="3" t="s">
        <v>36</v>
      </c>
      <c r="B316" s="3" t="s">
        <v>58</v>
      </c>
      <c r="C316" s="3" t="s">
        <v>334</v>
      </c>
      <c r="D316" s="3"/>
      <c r="E316" s="2" t="str">
        <f>HYPERLINK("https://old.ukr-mobil.com/zashchitnoe_steklo_flexible_glass_iphone_6_plus_6s_plus_white_9758", "Перейти")</f>
        <v>Перейти</v>
      </c>
      <c r="F316" s="2">
        <v>9758</v>
      </c>
      <c r="G316" s="4" t="s">
        <v>338</v>
      </c>
      <c r="H316" s="1">
        <v>5</v>
      </c>
      <c r="I316" s="1">
        <v>0</v>
      </c>
      <c r="J316" s="1">
        <v>2</v>
      </c>
      <c r="K316" s="2">
        <v>0.5</v>
      </c>
    </row>
    <row r="317" spans="1:12">
      <c r="A317" s="3" t="s">
        <v>36</v>
      </c>
      <c r="B317" s="3" t="s">
        <v>58</v>
      </c>
      <c r="C317" s="3" t="s">
        <v>334</v>
      </c>
      <c r="D317" s="3"/>
      <c r="E317" s="2" t="str">
        <f>HYPERLINK("https://old.ukr-mobil.com/zashchitnoe_steklo_flexible_glass_iphone_7_plus_black_9857", "Перейти")</f>
        <v>Перейти</v>
      </c>
      <c r="F317" s="2">
        <v>9857</v>
      </c>
      <c r="G317" s="4" t="s">
        <v>339</v>
      </c>
      <c r="H317" s="1">
        <v>0</v>
      </c>
      <c r="I317" s="1">
        <v>0</v>
      </c>
      <c r="J317" s="1">
        <v>1</v>
      </c>
      <c r="K317" s="2">
        <v>0.5</v>
      </c>
    </row>
    <row r="318" spans="1:12">
      <c r="A318" s="3" t="s">
        <v>36</v>
      </c>
      <c r="B318" s="3" t="s">
        <v>58</v>
      </c>
      <c r="C318" s="3" t="s">
        <v>334</v>
      </c>
      <c r="D318" s="3"/>
      <c r="E318" s="2" t="str">
        <f>HYPERLINK("https://old.ukr-mobil.com/zashchitnoe_steklo_flexible_glass_iphone_8_black_9759", "Перейти")</f>
        <v>Перейти</v>
      </c>
      <c r="F318" s="2">
        <v>9759</v>
      </c>
      <c r="G318" s="4" t="s">
        <v>340</v>
      </c>
      <c r="H318" s="1">
        <v>18</v>
      </c>
      <c r="I318" s="1">
        <v>0</v>
      </c>
      <c r="J318" s="1">
        <v>3</v>
      </c>
      <c r="K318" s="2">
        <v>0.5</v>
      </c>
    </row>
    <row r="319" spans="1:12">
      <c r="A319" s="3" t="s">
        <v>36</v>
      </c>
      <c r="B319" s="3" t="s">
        <v>58</v>
      </c>
      <c r="C319" s="3" t="s">
        <v>334</v>
      </c>
      <c r="D319" s="3"/>
      <c r="E319" s="2" t="str">
        <f>HYPERLINK("https://old.ukr-mobil.com/zashchitnoe_steklo_flexible_glass_iphone_8_white_9760", "Перейти")</f>
        <v>Перейти</v>
      </c>
      <c r="F319" s="2">
        <v>9760</v>
      </c>
      <c r="G319" s="4" t="s">
        <v>341</v>
      </c>
      <c r="H319" s="1">
        <v>11</v>
      </c>
      <c r="I319" s="1">
        <v>0</v>
      </c>
      <c r="J319" s="1">
        <v>2</v>
      </c>
      <c r="K319" s="2">
        <v>0.5</v>
      </c>
    </row>
    <row r="320" spans="1:12">
      <c r="A320" s="3" t="s">
        <v>36</v>
      </c>
      <c r="B320" s="3" t="s">
        <v>58</v>
      </c>
      <c r="C320" s="3" t="s">
        <v>334</v>
      </c>
      <c r="D320" s="3"/>
      <c r="E320" s="2" t="str">
        <f>HYPERLINK("https://old.ukr-mobil.com/zashchitnoe_steklo_flexible_glass_huawei_gr5_2017_bln-l21_honor_6x_black_10023", "Перейти")</f>
        <v>Перейти</v>
      </c>
      <c r="F320" s="2">
        <v>10023</v>
      </c>
      <c r="G320" s="4" t="s">
        <v>342</v>
      </c>
      <c r="H320" s="1">
        <v>30</v>
      </c>
      <c r="I320" s="1">
        <v>0</v>
      </c>
      <c r="J320" s="1">
        <v>2</v>
      </c>
      <c r="K320" s="2">
        <v>0.5</v>
      </c>
    </row>
    <row r="321" spans="1:12">
      <c r="A321" s="3" t="s">
        <v>36</v>
      </c>
      <c r="B321" s="3" t="s">
        <v>58</v>
      </c>
      <c r="C321" s="3" t="s">
        <v>334</v>
      </c>
      <c r="D321" s="3"/>
      <c r="E321" s="2" t="str">
        <f>HYPERLINK("https://old.ukr-mobil.com/zashchitnoe_steklo_flexible_glass_huawei_gr5_2017_bln-l21_honor_6x_white_10024", "Перейти")</f>
        <v>Перейти</v>
      </c>
      <c r="F321" s="2">
        <v>10024</v>
      </c>
      <c r="G321" s="4" t="s">
        <v>343</v>
      </c>
      <c r="H321" s="1">
        <v>35</v>
      </c>
      <c r="I321" s="1">
        <v>0</v>
      </c>
      <c r="J321" s="1">
        <v>3</v>
      </c>
      <c r="K321" s="2">
        <v>0.5</v>
      </c>
    </row>
    <row r="322" spans="1:12">
      <c r="A322" s="3" t="s">
        <v>36</v>
      </c>
      <c r="B322" s="3" t="s">
        <v>58</v>
      </c>
      <c r="C322" s="3" t="s">
        <v>334</v>
      </c>
      <c r="D322" s="3"/>
      <c r="E322" s="2" t="str">
        <f>HYPERLINK("https://old.ukr-mobil.com/zashchitnoe_steklo_flexible_glass_huawei_honor_6a_black_10025", "Перейти")</f>
        <v>Перейти</v>
      </c>
      <c r="F322" s="2">
        <v>10025</v>
      </c>
      <c r="G322" s="4" t="s">
        <v>344</v>
      </c>
      <c r="H322" s="1">
        <v>44</v>
      </c>
      <c r="I322" s="1">
        <v>0</v>
      </c>
      <c r="J322" s="1">
        <v>3</v>
      </c>
      <c r="K322" s="2">
        <v>0.5</v>
      </c>
    </row>
    <row r="323" spans="1:12">
      <c r="A323" s="3" t="s">
        <v>36</v>
      </c>
      <c r="B323" s="3" t="s">
        <v>58</v>
      </c>
      <c r="C323" s="3" t="s">
        <v>334</v>
      </c>
      <c r="D323" s="3"/>
      <c r="E323" s="2" t="str">
        <f>HYPERLINK("https://old.ukr-mobil.com/zashchitnoe_steklo_flexible_glass_huawei_honor_6a_white_10026", "Перейти")</f>
        <v>Перейти</v>
      </c>
      <c r="F323" s="2">
        <v>10026</v>
      </c>
      <c r="G323" s="4" t="s">
        <v>345</v>
      </c>
      <c r="H323" s="1">
        <v>46</v>
      </c>
      <c r="I323" s="1">
        <v>0</v>
      </c>
      <c r="J323" s="1">
        <v>3</v>
      </c>
      <c r="K323" s="2">
        <v>0.5</v>
      </c>
    </row>
    <row r="324" spans="1:12">
      <c r="A324" s="3" t="s">
        <v>36</v>
      </c>
      <c r="B324" s="3" t="s">
        <v>58</v>
      </c>
      <c r="C324" s="3" t="s">
        <v>334</v>
      </c>
      <c r="D324" s="3"/>
      <c r="E324" s="2" t="str">
        <f>HYPERLINK("https://old.ukr-mobil.com/zashchitnoe_steklo_flexible_glass_huawei_p10_black_10022", "Перейти")</f>
        <v>Перейти</v>
      </c>
      <c r="F324" s="2">
        <v>10022</v>
      </c>
      <c r="G324" s="4" t="s">
        <v>346</v>
      </c>
      <c r="H324" s="1">
        <v>44</v>
      </c>
      <c r="I324" s="1">
        <v>0</v>
      </c>
      <c r="J324" s="1">
        <v>3</v>
      </c>
      <c r="K324" s="2">
        <v>0.5</v>
      </c>
    </row>
    <row r="325" spans="1:12">
      <c r="A325" s="3" t="s">
        <v>36</v>
      </c>
      <c r="B325" s="3" t="s">
        <v>58</v>
      </c>
      <c r="C325" s="3" t="s">
        <v>334</v>
      </c>
      <c r="D325" s="3"/>
      <c r="E325" s="2" t="str">
        <f>HYPERLINK("https://old.ukr-mobil.com/zashchitnoe_steklo_flexible_glass_huawei_p10_lite_black_10027", "Перейти")</f>
        <v>Перейти</v>
      </c>
      <c r="F325" s="2">
        <v>10027</v>
      </c>
      <c r="G325" s="4" t="s">
        <v>347</v>
      </c>
      <c r="H325" s="1">
        <v>39</v>
      </c>
      <c r="I325" s="1">
        <v>1</v>
      </c>
      <c r="J325" s="1">
        <v>3</v>
      </c>
      <c r="K325" s="2">
        <v>0.5</v>
      </c>
    </row>
    <row r="326" spans="1:12">
      <c r="A326" s="3" t="s">
        <v>36</v>
      </c>
      <c r="B326" s="3" t="s">
        <v>58</v>
      </c>
      <c r="C326" s="3" t="s">
        <v>334</v>
      </c>
      <c r="D326" s="3"/>
      <c r="E326" s="2" t="str">
        <f>HYPERLINK("https://old.ukr-mobil.com/zashchitnoe_steklo_flexible_glass_huawei_p10_lite_white_10028", "Перейти")</f>
        <v>Перейти</v>
      </c>
      <c r="F326" s="2">
        <v>10028</v>
      </c>
      <c r="G326" s="4" t="s">
        <v>348</v>
      </c>
      <c r="H326" s="1">
        <v>47</v>
      </c>
      <c r="I326" s="1">
        <v>0</v>
      </c>
      <c r="J326" s="1">
        <v>3</v>
      </c>
      <c r="K326" s="2">
        <v>0.5</v>
      </c>
    </row>
    <row r="327" spans="1:12">
      <c r="A327" s="3" t="s">
        <v>36</v>
      </c>
      <c r="B327" s="3" t="s">
        <v>58</v>
      </c>
      <c r="C327" s="3" t="s">
        <v>334</v>
      </c>
      <c r="D327" s="3"/>
      <c r="E327" s="2" t="str">
        <f>HYPERLINK("https://old.ukr-mobil.com/zashchitnoe_steklo_flexible_glass_samsung_a320_galaxy_a3_2017_black_10029", "Перейти")</f>
        <v>Перейти</v>
      </c>
      <c r="F327" s="2">
        <v>10029</v>
      </c>
      <c r="G327" s="4" t="s">
        <v>349</v>
      </c>
      <c r="H327" s="1">
        <v>36</v>
      </c>
      <c r="I327" s="1">
        <v>0</v>
      </c>
      <c r="J327" s="1">
        <v>3</v>
      </c>
      <c r="K327" s="2">
        <v>0.6</v>
      </c>
    </row>
    <row r="328" spans="1:12">
      <c r="A328" s="3" t="s">
        <v>36</v>
      </c>
      <c r="B328" s="3" t="s">
        <v>58</v>
      </c>
      <c r="C328" s="3" t="s">
        <v>334</v>
      </c>
      <c r="D328" s="3"/>
      <c r="E328" s="2" t="str">
        <f>HYPERLINK("https://old.ukr-mobil.com/zashchitnoe_steklo_flexible_glass_samsung_a320_galaxy_a3_2017_white_10030", "Перейти")</f>
        <v>Перейти</v>
      </c>
      <c r="F328" s="2">
        <v>10030</v>
      </c>
      <c r="G328" s="4" t="s">
        <v>350</v>
      </c>
      <c r="H328" s="1">
        <v>42</v>
      </c>
      <c r="I328" s="1">
        <v>0</v>
      </c>
      <c r="J328" s="1">
        <v>3</v>
      </c>
      <c r="K328" s="2">
        <v>0.6</v>
      </c>
    </row>
    <row r="329" spans="1:12">
      <c r="A329" s="3" t="s">
        <v>36</v>
      </c>
      <c r="B329" s="3" t="s">
        <v>58</v>
      </c>
      <c r="C329" s="3" t="s">
        <v>334</v>
      </c>
      <c r="D329" s="3"/>
      <c r="E329" s="2" t="str">
        <f>HYPERLINK("https://old.ukr-mobil.com/zashchitnoe_steklo_flexible_glass_samsung_a510_galaxy_a5_2016_black_10031", "Перейти")</f>
        <v>Перейти</v>
      </c>
      <c r="F329" s="2">
        <v>10031</v>
      </c>
      <c r="G329" s="4" t="s">
        <v>351</v>
      </c>
      <c r="H329" s="1">
        <v>30</v>
      </c>
      <c r="I329" s="1">
        <v>0</v>
      </c>
      <c r="J329" s="1">
        <v>3</v>
      </c>
      <c r="K329" s="2">
        <v>0.6</v>
      </c>
    </row>
    <row r="330" spans="1:12">
      <c r="A330" s="3" t="s">
        <v>36</v>
      </c>
      <c r="B330" s="3" t="s">
        <v>58</v>
      </c>
      <c r="C330" s="3" t="s">
        <v>334</v>
      </c>
      <c r="D330" s="3"/>
      <c r="E330" s="2" t="str">
        <f>HYPERLINK("https://old.ukr-mobil.com/zashchitnoe_steklo_flexible_glass_samsung_a510_galaxy_a5_2016_white_10032", "Перейти")</f>
        <v>Перейти</v>
      </c>
      <c r="F330" s="2">
        <v>10032</v>
      </c>
      <c r="G330" s="4" t="s">
        <v>352</v>
      </c>
      <c r="H330" s="1">
        <v>42</v>
      </c>
      <c r="I330" s="1">
        <v>0</v>
      </c>
      <c r="J330" s="1">
        <v>3</v>
      </c>
      <c r="K330" s="2">
        <v>0.6</v>
      </c>
    </row>
    <row r="331" spans="1:12">
      <c r="A331" s="3" t="s">
        <v>36</v>
      </c>
      <c r="B331" s="3" t="s">
        <v>58</v>
      </c>
      <c r="C331" s="3" t="s">
        <v>334</v>
      </c>
      <c r="D331" s="3"/>
      <c r="E331" s="2" t="str">
        <f>HYPERLINK("https://old.ukr-mobil.com/zashchitnoe_steklo_flexible_glass_samsung_a520_galaxy_a5_2017_black_10033", "Перейти")</f>
        <v>Перейти</v>
      </c>
      <c r="F331" s="2">
        <v>10033</v>
      </c>
      <c r="G331" s="4" t="s">
        <v>353</v>
      </c>
      <c r="H331" s="1">
        <v>28</v>
      </c>
      <c r="I331" s="1">
        <v>1</v>
      </c>
      <c r="J331" s="1">
        <v>3</v>
      </c>
      <c r="K331" s="2">
        <v>0.6</v>
      </c>
    </row>
    <row r="332" spans="1:12">
      <c r="A332" s="3" t="s">
        <v>36</v>
      </c>
      <c r="B332" s="3" t="s">
        <v>58</v>
      </c>
      <c r="C332" s="3" t="s">
        <v>334</v>
      </c>
      <c r="D332" s="3"/>
      <c r="E332" s="2" t="str">
        <f>HYPERLINK("https://old.ukr-mobil.com/zashchitnoe_steklo_flexible_glass_samsung_a520_galaxy_a5_2017_white_10034", "Перейти")</f>
        <v>Перейти</v>
      </c>
      <c r="F332" s="2">
        <v>10034</v>
      </c>
      <c r="G332" s="4" t="s">
        <v>354</v>
      </c>
      <c r="H332" s="1">
        <v>38</v>
      </c>
      <c r="I332" s="1">
        <v>0</v>
      </c>
      <c r="J332" s="1">
        <v>3</v>
      </c>
      <c r="K332" s="2">
        <v>0.5</v>
      </c>
    </row>
    <row r="333" spans="1:12">
      <c r="A333" s="3" t="s">
        <v>36</v>
      </c>
      <c r="B333" s="3" t="s">
        <v>58</v>
      </c>
      <c r="C333" s="3" t="s">
        <v>334</v>
      </c>
      <c r="D333" s="3"/>
      <c r="E333" s="2" t="str">
        <f>HYPERLINK("https://old.ukr-mobil.com/zashchitnoe_steklo_flexible_glass_samsung_j510_galaxy_j5_2016_black_10035", "Перейти")</f>
        <v>Перейти</v>
      </c>
      <c r="F333" s="2">
        <v>10035</v>
      </c>
      <c r="G333" s="4" t="s">
        <v>355</v>
      </c>
      <c r="H333" s="1">
        <v>11</v>
      </c>
      <c r="I333" s="1">
        <v>0</v>
      </c>
      <c r="J333" s="1">
        <v>3</v>
      </c>
      <c r="K333" s="2">
        <v>0.5</v>
      </c>
    </row>
    <row r="334" spans="1:12">
      <c r="A334" s="3" t="s">
        <v>36</v>
      </c>
      <c r="B334" s="3" t="s">
        <v>58</v>
      </c>
      <c r="C334" s="3" t="s">
        <v>334</v>
      </c>
      <c r="D334" s="3"/>
      <c r="E334" s="2" t="str">
        <f>HYPERLINK("https://old.ukr-mobil.com/zashchitnoe_steklo_flexible_glass_samsung_j510_galaxy_j5_2016_white_10036", "Перейти")</f>
        <v>Перейти</v>
      </c>
      <c r="F334" s="2">
        <v>10036</v>
      </c>
      <c r="G334" s="4" t="s">
        <v>356</v>
      </c>
      <c r="H334" s="1">
        <v>30</v>
      </c>
      <c r="I334" s="1">
        <v>0</v>
      </c>
      <c r="J334" s="1">
        <v>1</v>
      </c>
      <c r="K334" s="2">
        <v>0.5</v>
      </c>
    </row>
    <row r="335" spans="1:12">
      <c r="A335" s="3" t="s">
        <v>36</v>
      </c>
      <c r="B335" s="3" t="s">
        <v>58</v>
      </c>
      <c r="C335" s="3" t="s">
        <v>334</v>
      </c>
      <c r="D335" s="3"/>
      <c r="E335" s="2" t="str">
        <f>HYPERLINK("https://old.ukr-mobil.com/zashchitnoe_steklo_flexible_glass_samsung_j530_galaxy_j5_2017_black_10038", "Перейти")</f>
        <v>Перейти</v>
      </c>
      <c r="F335" s="2">
        <v>10038</v>
      </c>
      <c r="G335" s="4" t="s">
        <v>357</v>
      </c>
      <c r="H335" s="1">
        <v>9</v>
      </c>
      <c r="I335" s="1">
        <v>0</v>
      </c>
      <c r="J335" s="1">
        <v>1</v>
      </c>
      <c r="K335" s="2">
        <v>0.5</v>
      </c>
    </row>
    <row r="336" spans="1:12">
      <c r="A336" s="3" t="s">
        <v>36</v>
      </c>
      <c r="B336" s="3" t="s">
        <v>58</v>
      </c>
      <c r="C336" s="3" t="s">
        <v>334</v>
      </c>
      <c r="D336" s="3"/>
      <c r="E336" s="2" t="str">
        <f>HYPERLINK("https://old.ukr-mobil.com/zashchitnoe_steklo_flexible_glass_samsung_j530_galaxy_j5_2017_white_10037", "Перейти")</f>
        <v>Перейти</v>
      </c>
      <c r="F336" s="2">
        <v>10037</v>
      </c>
      <c r="G336" s="4" t="s">
        <v>358</v>
      </c>
      <c r="H336" s="1">
        <v>40</v>
      </c>
      <c r="I336" s="1">
        <v>0</v>
      </c>
      <c r="J336" s="1">
        <v>3</v>
      </c>
      <c r="K336" s="2">
        <v>0.5</v>
      </c>
    </row>
    <row r="337" spans="1:12">
      <c r="A337" s="3" t="s">
        <v>36</v>
      </c>
      <c r="B337" s="3" t="s">
        <v>58</v>
      </c>
      <c r="C337" s="3" t="s">
        <v>334</v>
      </c>
      <c r="D337" s="3"/>
      <c r="E337" s="2" t="str">
        <f>HYPERLINK("https://old.ukr-mobil.com/zashchitnoe_steklo_flexible_glass_xiaomi_mi_a1_mi5x_black_9763", "Перейти")</f>
        <v>Перейти</v>
      </c>
      <c r="F337" s="2">
        <v>9763</v>
      </c>
      <c r="G337" s="4" t="s">
        <v>359</v>
      </c>
      <c r="H337" s="1">
        <v>5</v>
      </c>
      <c r="I337" s="1">
        <v>0</v>
      </c>
      <c r="J337" s="1">
        <v>1</v>
      </c>
      <c r="K337" s="2">
        <v>0.5</v>
      </c>
    </row>
    <row r="338" spans="1:12">
      <c r="A338" s="3" t="s">
        <v>36</v>
      </c>
      <c r="B338" s="3" t="s">
        <v>58</v>
      </c>
      <c r="C338" s="3" t="s">
        <v>334</v>
      </c>
      <c r="D338" s="3"/>
      <c r="E338" s="2" t="str">
        <f>HYPERLINK("https://old.ukr-mobil.com/zashchitnoe_steklo_flexible_glass_xiaomi_mi_a1_mi5x_white_9764", "Перейти")</f>
        <v>Перейти</v>
      </c>
      <c r="F338" s="2">
        <v>9764</v>
      </c>
      <c r="G338" s="4" t="s">
        <v>360</v>
      </c>
      <c r="H338" s="1">
        <v>22</v>
      </c>
      <c r="I338" s="1">
        <v>0</v>
      </c>
      <c r="J338" s="1">
        <v>1</v>
      </c>
      <c r="K338" s="2">
        <v>0.5</v>
      </c>
    </row>
    <row r="339" spans="1:12">
      <c r="A339" s="3" t="s">
        <v>36</v>
      </c>
      <c r="B339" s="3" t="s">
        <v>58</v>
      </c>
      <c r="C339" s="3" t="s">
        <v>334</v>
      </c>
      <c r="D339" s="3"/>
      <c r="E339" s="2" t="str">
        <f>HYPERLINK("https://old.ukr-mobil.com/zashchitnoe_steklo_flexible_glass_xiaomi_mi_note_3_black_10018", "Перейти")</f>
        <v>Перейти</v>
      </c>
      <c r="F339" s="2">
        <v>10018</v>
      </c>
      <c r="G339" s="4" t="s">
        <v>361</v>
      </c>
      <c r="H339" s="1">
        <v>37</v>
      </c>
      <c r="I339" s="1">
        <v>0</v>
      </c>
      <c r="J339" s="1">
        <v>2</v>
      </c>
      <c r="K339" s="2">
        <v>0.5</v>
      </c>
    </row>
    <row r="340" spans="1:12">
      <c r="A340" s="3" t="s">
        <v>36</v>
      </c>
      <c r="B340" s="3" t="s">
        <v>58</v>
      </c>
      <c r="C340" s="3" t="s">
        <v>334</v>
      </c>
      <c r="D340" s="3"/>
      <c r="E340" s="2" t="str">
        <f>HYPERLINK("https://old.ukr-mobil.com/zashchitnoe_steklo_flexible_glass_xiaomi_mi_note_3_white_10019", "Перейти")</f>
        <v>Перейти</v>
      </c>
      <c r="F340" s="2">
        <v>10019</v>
      </c>
      <c r="G340" s="4" t="s">
        <v>362</v>
      </c>
      <c r="H340" s="1">
        <v>44</v>
      </c>
      <c r="I340" s="1">
        <v>0</v>
      </c>
      <c r="J340" s="1">
        <v>3</v>
      </c>
      <c r="K340" s="2">
        <v>0.5</v>
      </c>
    </row>
    <row r="341" spans="1:12">
      <c r="A341" s="3" t="s">
        <v>36</v>
      </c>
      <c r="B341" s="3" t="s">
        <v>58</v>
      </c>
      <c r="C341" s="3" t="s">
        <v>334</v>
      </c>
      <c r="D341" s="3"/>
      <c r="E341" s="2" t="str">
        <f>HYPERLINK("https://old.ukr-mobil.com/zashchitnoe_steklo_flexible_glass_xiaomi_redmi_4x_black_9765", "Перейти")</f>
        <v>Перейти</v>
      </c>
      <c r="F341" s="2">
        <v>9765</v>
      </c>
      <c r="G341" s="4" t="s">
        <v>363</v>
      </c>
      <c r="H341" s="1">
        <v>0</v>
      </c>
      <c r="I341" s="1">
        <v>0</v>
      </c>
      <c r="J341" s="1">
        <v>0</v>
      </c>
      <c r="K341" s="2">
        <v>0.5</v>
      </c>
    </row>
    <row r="342" spans="1:12">
      <c r="A342" s="3" t="s">
        <v>36</v>
      </c>
      <c r="B342" s="3" t="s">
        <v>58</v>
      </c>
      <c r="C342" s="3" t="s">
        <v>334</v>
      </c>
      <c r="D342" s="3"/>
      <c r="E342" s="2" t="str">
        <f>HYPERLINK("https://old.ukr-mobil.com/zashchitnoe_steklo_flexible_glass_xiaomi_redmi_4x_white_9766", "Перейти")</f>
        <v>Перейти</v>
      </c>
      <c r="F342" s="2">
        <v>9766</v>
      </c>
      <c r="G342" s="4" t="s">
        <v>364</v>
      </c>
      <c r="H342" s="1">
        <v>0</v>
      </c>
      <c r="I342" s="1">
        <v>1</v>
      </c>
      <c r="J342" s="1">
        <v>1</v>
      </c>
      <c r="K342" s="2">
        <v>0.5</v>
      </c>
    </row>
    <row r="343" spans="1:12">
      <c r="A343" s="3" t="s">
        <v>36</v>
      </c>
      <c r="B343" s="3" t="s">
        <v>58</v>
      </c>
      <c r="C343" s="3" t="s">
        <v>334</v>
      </c>
      <c r="D343" s="3"/>
      <c r="E343" s="2" t="str">
        <f>HYPERLINK("https://old.ukr-mobil.com/zashchitnoe_steklo_flexible_glass_xiaomi_redmi_5_black_10020", "Перейти")</f>
        <v>Перейти</v>
      </c>
      <c r="F343" s="2">
        <v>10020</v>
      </c>
      <c r="G343" s="4" t="s">
        <v>365</v>
      </c>
      <c r="H343" s="1">
        <v>5</v>
      </c>
      <c r="I343" s="1">
        <v>0</v>
      </c>
      <c r="J343" s="1">
        <v>1</v>
      </c>
      <c r="K343" s="2">
        <v>0.5</v>
      </c>
    </row>
    <row r="344" spans="1:12">
      <c r="A344" s="3" t="s">
        <v>36</v>
      </c>
      <c r="B344" s="3" t="s">
        <v>58</v>
      </c>
      <c r="C344" s="3" t="s">
        <v>334</v>
      </c>
      <c r="D344" s="3"/>
      <c r="E344" s="2" t="str">
        <f>HYPERLINK("https://old.ukr-mobil.com/zashchitnoe_steklo_flexible_glass_xiaomi_redmi_5_white_10021", "Перейти")</f>
        <v>Перейти</v>
      </c>
      <c r="F344" s="2">
        <v>10021</v>
      </c>
      <c r="G344" s="4" t="s">
        <v>366</v>
      </c>
      <c r="H344" s="1">
        <v>28</v>
      </c>
      <c r="I344" s="1">
        <v>0</v>
      </c>
      <c r="J344" s="1">
        <v>2</v>
      </c>
      <c r="K344" s="2">
        <v>0.5</v>
      </c>
    </row>
    <row r="345" spans="1:12">
      <c r="A345" s="3" t="s">
        <v>36</v>
      </c>
      <c r="B345" s="3" t="s">
        <v>58</v>
      </c>
      <c r="C345" s="3" t="s">
        <v>334</v>
      </c>
      <c r="D345" s="3"/>
      <c r="E345" s="2" t="str">
        <f>HYPERLINK("https://old.ukr-mobil.com/zashchitnoe_steklo_flexible_glass_xiaomi_redmi_note_4x_black_9767", "Перейти")</f>
        <v>Перейти</v>
      </c>
      <c r="F345" s="2">
        <v>9767</v>
      </c>
      <c r="G345" s="4" t="s">
        <v>367</v>
      </c>
      <c r="H345" s="1">
        <v>0</v>
      </c>
      <c r="I345" s="1">
        <v>0</v>
      </c>
      <c r="J345" s="1">
        <v>0</v>
      </c>
      <c r="K345" s="2">
        <v>0.5</v>
      </c>
    </row>
    <row r="346" spans="1:12">
      <c r="A346" s="3" t="s">
        <v>36</v>
      </c>
      <c r="B346" s="3" t="s">
        <v>58</v>
      </c>
      <c r="C346" s="3" t="s">
        <v>334</v>
      </c>
      <c r="D346" s="3"/>
      <c r="E346" s="2" t="str">
        <f>HYPERLINK("https://old.ukr-mobil.com/zashchitnoe_steklo_flexible_glass_xiaomi_redmi_note_4x_white_9768", "Перейти")</f>
        <v>Перейти</v>
      </c>
      <c r="F346" s="2">
        <v>9768</v>
      </c>
      <c r="G346" s="4" t="s">
        <v>368</v>
      </c>
      <c r="H346" s="1">
        <v>1</v>
      </c>
      <c r="I346" s="1">
        <v>1</v>
      </c>
      <c r="J346" s="1">
        <v>0</v>
      </c>
      <c r="K346" s="2">
        <v>0.5</v>
      </c>
    </row>
    <row r="347" spans="1:12">
      <c r="A347" s="3" t="s">
        <v>36</v>
      </c>
      <c r="B347" s="3" t="s">
        <v>58</v>
      </c>
      <c r="C347" s="3" t="s">
        <v>369</v>
      </c>
      <c r="D347" s="3"/>
      <c r="E347" s="2" t="str">
        <f>HYPERLINK("https://old.ukr-mobil.com/gidrogelevaya_plenka_apple_iphone_11_iphone_xr_sunshine_ss-057_glyanec_10003094", "Перейти")</f>
        <v>Перейти</v>
      </c>
      <c r="F347" s="2">
        <v>10003094</v>
      </c>
      <c r="G347" s="4" t="s">
        <v>370</v>
      </c>
      <c r="H347" s="1">
        <v>7</v>
      </c>
      <c r="I347" s="1">
        <v>0</v>
      </c>
      <c r="J347" s="1">
        <v>0</v>
      </c>
      <c r="K347" s="2">
        <v>2.75</v>
      </c>
    </row>
    <row r="348" spans="1:12">
      <c r="A348" s="3" t="s">
        <v>36</v>
      </c>
      <c r="B348" s="3" t="s">
        <v>58</v>
      </c>
      <c r="C348" s="3" t="s">
        <v>369</v>
      </c>
      <c r="D348" s="3"/>
      <c r="E348" s="2" t="str">
        <f>HYPERLINK("https://old.ukr-mobil.com/gidrogelevaya_plenka_apple_iphone_13_pro_max_sunshine_ss-057_glyanec_10003092", "Перейти")</f>
        <v>Перейти</v>
      </c>
      <c r="F348" s="2">
        <v>10003092</v>
      </c>
      <c r="G348" s="4" t="s">
        <v>371</v>
      </c>
      <c r="H348" s="1">
        <v>9</v>
      </c>
      <c r="I348" s="1">
        <v>0</v>
      </c>
      <c r="J348" s="1">
        <v>0</v>
      </c>
      <c r="K348" s="2">
        <v>2.75</v>
      </c>
    </row>
    <row r="349" spans="1:12">
      <c r="A349" s="3" t="s">
        <v>36</v>
      </c>
      <c r="B349" s="3" t="s">
        <v>58</v>
      </c>
      <c r="C349" s="3" t="s">
        <v>369</v>
      </c>
      <c r="D349" s="3"/>
      <c r="E349" s="2" t="str">
        <f>HYPERLINK("https://old.ukr-mobil.com/gidrogelevaya_plenka_apple_iphone_13_iphone_13_pro_sunshine_ss-057_glyanec_10003091", "Перейти")</f>
        <v>Перейти</v>
      </c>
      <c r="F349" s="2">
        <v>10003091</v>
      </c>
      <c r="G349" s="4" t="s">
        <v>372</v>
      </c>
      <c r="H349" s="1">
        <v>9</v>
      </c>
      <c r="I349" s="1">
        <v>0</v>
      </c>
      <c r="J349" s="1">
        <v>0</v>
      </c>
      <c r="K349" s="2">
        <v>2.75</v>
      </c>
    </row>
    <row r="350" spans="1:12">
      <c r="A350" s="3" t="s">
        <v>36</v>
      </c>
      <c r="B350" s="3" t="s">
        <v>58</v>
      </c>
      <c r="C350" s="3" t="s">
        <v>369</v>
      </c>
      <c r="D350" s="3"/>
      <c r="E350" s="2" t="str">
        <f>HYPERLINK("https://old.ukr-mobil.com/gidrogelevaya_plenka_apple_iphone_x_iphone_xs_sunshine_ss-057_glyanec_10003093", "Перейти")</f>
        <v>Перейти</v>
      </c>
      <c r="F350" s="2">
        <v>10003093</v>
      </c>
      <c r="G350" s="4" t="s">
        <v>373</v>
      </c>
      <c r="H350" s="1">
        <v>6</v>
      </c>
      <c r="I350" s="1">
        <v>0</v>
      </c>
      <c r="J350" s="1">
        <v>0</v>
      </c>
      <c r="K350" s="2">
        <v>2.75</v>
      </c>
    </row>
    <row r="351" spans="1:12">
      <c r="A351" s="3" t="s">
        <v>36</v>
      </c>
      <c r="B351" s="3" t="s">
        <v>58</v>
      </c>
      <c r="C351" s="3" t="s">
        <v>369</v>
      </c>
      <c r="D351" s="3"/>
      <c r="E351" s="2" t="str">
        <f>HYPERLINK("https://old.ukr-mobil.com/gidrogelevaya_plenka_hd_clear_tpu_180mm_120mm_upakovka_50_sht_10004357", "Перейти")</f>
        <v>Перейти</v>
      </c>
      <c r="F351" s="2">
        <v>10004357</v>
      </c>
      <c r="G351" s="4" t="s">
        <v>374</v>
      </c>
      <c r="H351" s="1">
        <v>16</v>
      </c>
      <c r="I351" s="1">
        <v>5</v>
      </c>
      <c r="J351" s="1">
        <v>0</v>
      </c>
      <c r="K351" s="2">
        <v>50.0</v>
      </c>
    </row>
    <row r="352" spans="1:12">
      <c r="A352" s="3" t="s">
        <v>36</v>
      </c>
      <c r="B352" s="3" t="s">
        <v>58</v>
      </c>
      <c r="C352" s="3" t="s">
        <v>369</v>
      </c>
      <c r="D352" s="3"/>
      <c r="E352" s="2" t="str">
        <f>HYPERLINK("https://old.ukr-mobil.com/gidrogelevaya_plenka_nova_8i_nen-lx1_nen-l22_honor_50_lite_honor_x20_ntn-l22_sunshine_ss-057e_matovaya_10002321", "Перейти")</f>
        <v>Перейти</v>
      </c>
      <c r="F352" s="2">
        <v>10002321</v>
      </c>
      <c r="G352" s="4" t="s">
        <v>375</v>
      </c>
      <c r="H352" s="1">
        <v>10</v>
      </c>
      <c r="I352" s="1">
        <v>0</v>
      </c>
      <c r="J352" s="1">
        <v>0</v>
      </c>
      <c r="K352" s="2">
        <v>2.75</v>
      </c>
    </row>
    <row r="353" spans="1:12">
      <c r="A353" s="3" t="s">
        <v>36</v>
      </c>
      <c r="B353" s="3" t="s">
        <v>58</v>
      </c>
      <c r="C353" s="3" t="s">
        <v>369</v>
      </c>
      <c r="D353" s="3"/>
      <c r="E353" s="2" t="str">
        <f>HYPERLINK("https://old.ukr-mobil.com/gidrogelevaya_plenka_premium_hd_clear_180mm_120mm_upakovka_50_sht_korea_10004355", "Перейти")</f>
        <v>Перейти</v>
      </c>
      <c r="F353" s="2">
        <v>10004355</v>
      </c>
      <c r="G353" s="4" t="s">
        <v>376</v>
      </c>
      <c r="H353" s="1">
        <v>29</v>
      </c>
      <c r="I353" s="1">
        <v>6</v>
      </c>
      <c r="J353" s="1">
        <v>11</v>
      </c>
      <c r="K353" s="2">
        <v>70.0</v>
      </c>
    </row>
    <row r="354" spans="1:12">
      <c r="A354" s="3" t="s">
        <v>36</v>
      </c>
      <c r="B354" s="3" t="s">
        <v>58</v>
      </c>
      <c r="C354" s="3" t="s">
        <v>369</v>
      </c>
      <c r="D354" s="3"/>
      <c r="E354" s="2" t="str">
        <f>HYPERLINK("https://old.ukr-mobil.com/gidrogelevaya_plenka_premium_hd_privacy_anti-shpion_180mm_120mm_upakovka_50_sht_korea_10004356", "Перейти")</f>
        <v>Перейти</v>
      </c>
      <c r="F354" s="2">
        <v>10004356</v>
      </c>
      <c r="G354" s="4" t="s">
        <v>377</v>
      </c>
      <c r="H354" s="1">
        <v>12</v>
      </c>
      <c r="I354" s="1">
        <v>3</v>
      </c>
      <c r="J354" s="1">
        <v>3</v>
      </c>
      <c r="K354" s="2">
        <v>110.0</v>
      </c>
    </row>
    <row r="355" spans="1:12">
      <c r="A355" s="3" t="s">
        <v>36</v>
      </c>
      <c r="B355" s="3" t="s">
        <v>58</v>
      </c>
      <c r="C355" s="3" t="s">
        <v>369</v>
      </c>
      <c r="D355" s="3"/>
      <c r="E355" s="2" t="str">
        <f>HYPERLINK("https://old.ukr-mobil.com/gidrogelevaya_plenka_samsung_a125_galaxy_a12_a022_galaxy_a02_a326_galaxy_a32_5g_m127_galaxy_m12_m022_galaxy_m02_sunshine_ss-057_glyanec_10003095", "Перейти")</f>
        <v>Перейти</v>
      </c>
      <c r="F355" s="2">
        <v>10003095</v>
      </c>
      <c r="G355" s="4" t="s">
        <v>378</v>
      </c>
      <c r="H355" s="1">
        <v>3</v>
      </c>
      <c r="I355" s="1">
        <v>1</v>
      </c>
      <c r="J355" s="1">
        <v>0</v>
      </c>
      <c r="K355" s="2">
        <v>2.75</v>
      </c>
    </row>
    <row r="356" spans="1:12">
      <c r="A356" s="3" t="s">
        <v>36</v>
      </c>
      <c r="B356" s="3" t="s">
        <v>58</v>
      </c>
      <c r="C356" s="3" t="s">
        <v>369</v>
      </c>
      <c r="D356" s="3"/>
      <c r="E356" s="2" t="str">
        <f>HYPERLINK("https://old.ukr-mobil.com/gidrogelevaya_plenka_samsung_n975_galaxy_note_10_plus_sunshine_ss-057_10003078", "Перейти")</f>
        <v>Перейти</v>
      </c>
      <c r="F356" s="2">
        <v>10003078</v>
      </c>
      <c r="G356" s="4" t="s">
        <v>379</v>
      </c>
      <c r="H356" s="1">
        <v>9</v>
      </c>
      <c r="I356" s="1">
        <v>0</v>
      </c>
      <c r="J356" s="1">
        <v>0</v>
      </c>
      <c r="K356" s="2">
        <v>3.5</v>
      </c>
    </row>
    <row r="357" spans="1:12">
      <c r="A357" s="3" t="s">
        <v>36</v>
      </c>
      <c r="B357" s="3" t="s">
        <v>58</v>
      </c>
      <c r="C357" s="3" t="s">
        <v>369</v>
      </c>
      <c r="D357" s="3"/>
      <c r="E357" s="2" t="str">
        <f>HYPERLINK("https://old.ukr-mobil.com/gidrogelevaya_plenka_sunshine_ss-057_180mm_120mm_10001078", "Перейти")</f>
        <v>Перейти</v>
      </c>
      <c r="F357" s="2">
        <v>10001078</v>
      </c>
      <c r="G357" s="4" t="s">
        <v>380</v>
      </c>
      <c r="H357" s="1">
        <v>0</v>
      </c>
      <c r="I357" s="1">
        <v>0</v>
      </c>
      <c r="J357" s="1">
        <v>0</v>
      </c>
      <c r="K357" s="2">
        <v>74.0</v>
      </c>
    </row>
    <row r="358" spans="1:12">
      <c r="A358" s="3" t="s">
        <v>36</v>
      </c>
      <c r="B358" s="3" t="s">
        <v>58</v>
      </c>
      <c r="C358" s="3" t="s">
        <v>369</v>
      </c>
      <c r="D358" s="3"/>
      <c r="E358" s="2" t="str">
        <f>HYPERLINK("https://old.ukr-mobil.com/gidrogelevaya_plenka_sunshine_ss-057b_180mm_120mm_antiblikovaya_10001079", "Перейти")</f>
        <v>Перейти</v>
      </c>
      <c r="F358" s="2">
        <v>10001079</v>
      </c>
      <c r="G358" s="4" t="s">
        <v>381</v>
      </c>
      <c r="H358" s="1">
        <v>0</v>
      </c>
      <c r="I358" s="1">
        <v>0</v>
      </c>
      <c r="J358" s="1">
        <v>0</v>
      </c>
      <c r="K358" s="2">
        <v>81.0</v>
      </c>
    </row>
    <row r="359" spans="1:12">
      <c r="A359" s="3" t="s">
        <v>36</v>
      </c>
      <c r="B359" s="3" t="s">
        <v>58</v>
      </c>
      <c r="C359" s="3" t="s">
        <v>369</v>
      </c>
      <c r="D359" s="3"/>
      <c r="E359" s="2" t="str">
        <f>HYPERLINK("https://old.ukr-mobil.com/gidrogelevaya_plenka_sunshine_ss-057e_matovaya_180mm_120mm_upakovka_50_sht_10001533", "Перейти")</f>
        <v>Перейти</v>
      </c>
      <c r="F359" s="2">
        <v>10001533</v>
      </c>
      <c r="G359" s="4" t="s">
        <v>382</v>
      </c>
      <c r="H359" s="1">
        <v>0</v>
      </c>
      <c r="I359" s="1">
        <v>0</v>
      </c>
      <c r="J359" s="1">
        <v>0</v>
      </c>
      <c r="K359" s="2">
        <v>82.0</v>
      </c>
    </row>
    <row r="360" spans="1:12">
      <c r="A360" s="3" t="s">
        <v>36</v>
      </c>
      <c r="B360" s="3" t="s">
        <v>58</v>
      </c>
      <c r="C360" s="3" t="s">
        <v>369</v>
      </c>
      <c r="D360" s="3"/>
      <c r="E360" s="2" t="str">
        <f>HYPERLINK("https://old.ukr-mobil.com/gidrogelevaya_plenka_sunshine_ss-057p_300mm_200mm_antiblikovaya_10001080", "Перейти")</f>
        <v>Перейти</v>
      </c>
      <c r="F360" s="2">
        <v>10001080</v>
      </c>
      <c r="G360" s="4" t="s">
        <v>383</v>
      </c>
      <c r="H360" s="1">
        <v>0</v>
      </c>
      <c r="I360" s="1">
        <v>0</v>
      </c>
      <c r="J360" s="1">
        <v>0</v>
      </c>
      <c r="K360" s="2">
        <v>50.0</v>
      </c>
    </row>
    <row r="361" spans="1:12">
      <c r="A361" s="3" t="s">
        <v>36</v>
      </c>
      <c r="B361" s="3" t="s">
        <v>58</v>
      </c>
      <c r="C361" s="3" t="s">
        <v>369</v>
      </c>
      <c r="D361" s="3"/>
      <c r="E361" s="2" t="str">
        <f>HYPERLINK("https://old.ukr-mobil.com/gidrogelevaya_plenka_sunshine_ss-057r_dlya_zakruglennyh_ehkranov_edge_180mm_120mm_upakovka_50_sht_korea_10003416", "Перейти")</f>
        <v>Перейти</v>
      </c>
      <c r="F361" s="2">
        <v>10003416</v>
      </c>
      <c r="G361" s="4" t="s">
        <v>384</v>
      </c>
      <c r="H361" s="1">
        <v>0</v>
      </c>
      <c r="I361" s="1">
        <v>0</v>
      </c>
      <c r="J361" s="1">
        <v>0</v>
      </c>
      <c r="K361" s="2">
        <v>80.0</v>
      </c>
    </row>
    <row r="362" spans="1:12">
      <c r="A362" s="3" t="s">
        <v>36</v>
      </c>
      <c r="B362" s="3" t="s">
        <v>58</v>
      </c>
      <c r="C362" s="3" t="s">
        <v>369</v>
      </c>
      <c r="D362" s="3"/>
      <c r="E362" s="2" t="str">
        <f>HYPERLINK("https://old.ukr-mobil.com/gidrogelevaya_plenka_sunshine_ss-075_180mm_120mm_upakovka_50_sht_china_10002299", "Перейти")</f>
        <v>Перейти</v>
      </c>
      <c r="F362" s="2">
        <v>10002299</v>
      </c>
      <c r="G362" s="4" t="s">
        <v>385</v>
      </c>
      <c r="H362" s="1">
        <v>0</v>
      </c>
      <c r="I362" s="1">
        <v>0</v>
      </c>
      <c r="J362" s="1">
        <v>0</v>
      </c>
      <c r="K362" s="2">
        <v>58.0</v>
      </c>
    </row>
    <row r="363" spans="1:12">
      <c r="A363" s="3" t="s">
        <v>36</v>
      </c>
      <c r="B363" s="3" t="s">
        <v>58</v>
      </c>
      <c r="C363" s="3" t="s">
        <v>369</v>
      </c>
      <c r="D363" s="3"/>
      <c r="E363" s="2" t="str">
        <f>HYPERLINK("https://old.ukr-mobil.com/gidrogelevaya_plenka_tecno_spark_6_go_ke5_sunshine_ss-057_glyanec_10003089", "Перейти")</f>
        <v>Перейти</v>
      </c>
      <c r="F363" s="2">
        <v>10003089</v>
      </c>
      <c r="G363" s="4" t="s">
        <v>386</v>
      </c>
      <c r="H363" s="1">
        <v>7</v>
      </c>
      <c r="I363" s="1">
        <v>0</v>
      </c>
      <c r="J363" s="1">
        <v>0</v>
      </c>
      <c r="K363" s="2">
        <v>2.75</v>
      </c>
    </row>
    <row r="364" spans="1:12">
      <c r="A364" s="3" t="s">
        <v>36</v>
      </c>
      <c r="B364" s="3" t="s">
        <v>58</v>
      </c>
      <c r="C364" s="3" t="s">
        <v>369</v>
      </c>
      <c r="D364" s="3"/>
      <c r="E364" s="2" t="str">
        <f>HYPERLINK("https://old.ukr-mobil.com/gidrogelevaya_plenka_tecno_spark_6_go_ke5_sunshine_ss-057e_matovaya_10002319", "Перейти")</f>
        <v>Перейти</v>
      </c>
      <c r="F364" s="2">
        <v>10002319</v>
      </c>
      <c r="G364" s="4" t="s">
        <v>387</v>
      </c>
      <c r="H364" s="1">
        <v>7</v>
      </c>
      <c r="I364" s="1">
        <v>0</v>
      </c>
      <c r="J364" s="1">
        <v>0</v>
      </c>
      <c r="K364" s="2">
        <v>2.75</v>
      </c>
    </row>
    <row r="365" spans="1:12">
      <c r="A365" s="3" t="s">
        <v>36</v>
      </c>
      <c r="B365" s="3" t="s">
        <v>58</v>
      </c>
      <c r="C365" s="3" t="s">
        <v>369</v>
      </c>
      <c r="D365" s="3"/>
      <c r="E365" s="2" t="str">
        <f>HYPERLINK("https://old.ukr-mobil.com/gidrogelevaya_plenka_tecno_spark_7_kf6n_sunshine_ss-057e_matovaya_10003054", "Перейти")</f>
        <v>Перейти</v>
      </c>
      <c r="F365" s="2">
        <v>10003054</v>
      </c>
      <c r="G365" s="4" t="s">
        <v>388</v>
      </c>
      <c r="H365" s="1">
        <v>10</v>
      </c>
      <c r="I365" s="1">
        <v>0</v>
      </c>
      <c r="J365" s="1">
        <v>0</v>
      </c>
      <c r="K365" s="2">
        <v>0.0</v>
      </c>
    </row>
    <row r="366" spans="1:12">
      <c r="A366" s="3" t="s">
        <v>36</v>
      </c>
      <c r="B366" s="3" t="s">
        <v>58</v>
      </c>
      <c r="C366" s="3" t="s">
        <v>369</v>
      </c>
      <c r="D366" s="3"/>
      <c r="E366" s="2" t="str">
        <f>HYPERLINK("https://old.ukr-mobil.com/gidrogelevaya_plenka_xiaomi_redmi_9a_redmi_9c_sunshine_ss-057_glyanec_10003090", "Перейти")</f>
        <v>Перейти</v>
      </c>
      <c r="F366" s="2">
        <v>10003090</v>
      </c>
      <c r="G366" s="4" t="s">
        <v>389</v>
      </c>
      <c r="H366" s="1">
        <v>1</v>
      </c>
      <c r="I366" s="1">
        <v>0</v>
      </c>
      <c r="J366" s="1">
        <v>0</v>
      </c>
      <c r="K366" s="2">
        <v>2.75</v>
      </c>
    </row>
    <row r="367" spans="1:12">
      <c r="A367" s="3" t="s">
        <v>36</v>
      </c>
      <c r="B367" s="3" t="s">
        <v>58</v>
      </c>
      <c r="C367" s="3" t="s">
        <v>369</v>
      </c>
      <c r="D367" s="3"/>
      <c r="E367" s="2" t="str">
        <f>HYPERLINK("https://old.ukr-mobil.com/universalnaya_gidrogelevaya_plenka_dlya_telefona_10001491", "Перейти")</f>
        <v>Перейти</v>
      </c>
      <c r="F367" s="2">
        <v>10001491</v>
      </c>
      <c r="G367" s="4" t="s">
        <v>390</v>
      </c>
      <c r="H367" s="1">
        <v>46</v>
      </c>
      <c r="I367" s="1">
        <v>0</v>
      </c>
      <c r="J367" s="1">
        <v>11</v>
      </c>
      <c r="K367" s="2">
        <v>3.5</v>
      </c>
    </row>
    <row r="368" spans="1:12">
      <c r="A368" s="3" t="s">
        <v>36</v>
      </c>
      <c r="B368" s="3" t="s">
        <v>58</v>
      </c>
      <c r="C368" s="3" t="s">
        <v>391</v>
      </c>
      <c r="D368" s="3"/>
      <c r="E368" s="2" t="str">
        <f>HYPERLINK("https://old.ukr-mobil.com/plenka_zashchitnaya_polimernaya_anti-microbial_dlya_apple_iphone_12_iphone_12_pro_10001731", "Перейти")</f>
        <v>Перейти</v>
      </c>
      <c r="F368" s="2">
        <v>10001731</v>
      </c>
      <c r="G368" s="4" t="s">
        <v>392</v>
      </c>
      <c r="H368" s="1">
        <v>41</v>
      </c>
      <c r="I368" s="1">
        <v>5</v>
      </c>
      <c r="J368" s="1">
        <v>1</v>
      </c>
      <c r="K368" s="2">
        <v>1.9</v>
      </c>
    </row>
    <row r="369" spans="1:12">
      <c r="A369" s="3" t="s">
        <v>36</v>
      </c>
      <c r="B369" s="3" t="s">
        <v>58</v>
      </c>
      <c r="C369" s="3" t="s">
        <v>391</v>
      </c>
      <c r="D369" s="3"/>
      <c r="E369" s="2" t="str">
        <f>HYPERLINK("https://old.ukr-mobil.com/plenka_zashchitnaya_polimernaya_anti-microbial_dlya_huawei_mate_40_10001721", "Перейти")</f>
        <v>Перейти</v>
      </c>
      <c r="F369" s="2">
        <v>10001721</v>
      </c>
      <c r="G369" s="4" t="s">
        <v>393</v>
      </c>
      <c r="H369" s="1">
        <v>6</v>
      </c>
      <c r="I369" s="1">
        <v>2</v>
      </c>
      <c r="J369" s="1">
        <v>2</v>
      </c>
      <c r="K369" s="2">
        <v>1.9</v>
      </c>
    </row>
    <row r="370" spans="1:12">
      <c r="A370" s="3" t="s">
        <v>36</v>
      </c>
      <c r="B370" s="3" t="s">
        <v>58</v>
      </c>
      <c r="C370" s="3" t="s">
        <v>391</v>
      </c>
      <c r="D370" s="3"/>
      <c r="E370" s="2" t="str">
        <f>HYPERLINK("https://old.ukr-mobil.com/plenka_zashchitnaya_polimernaya_anti-microbial_dlya_huawei_p30_pro_10001718", "Перейти")</f>
        <v>Перейти</v>
      </c>
      <c r="F370" s="2">
        <v>10001718</v>
      </c>
      <c r="G370" s="4" t="s">
        <v>394</v>
      </c>
      <c r="H370" s="1">
        <v>14</v>
      </c>
      <c r="I370" s="1">
        <v>3</v>
      </c>
      <c r="J370" s="1">
        <v>1</v>
      </c>
      <c r="K370" s="2">
        <v>1.9</v>
      </c>
    </row>
    <row r="371" spans="1:12">
      <c r="A371" s="3" t="s">
        <v>36</v>
      </c>
      <c r="B371" s="3" t="s">
        <v>58</v>
      </c>
      <c r="C371" s="3" t="s">
        <v>391</v>
      </c>
      <c r="D371" s="3"/>
      <c r="E371" s="2" t="str">
        <f>HYPERLINK("https://old.ukr-mobil.com/plenka_zashchitnaya_polimernaya_anti-microbial_dlya_huawei_p40_pro_10001719", "Перейти")</f>
        <v>Перейти</v>
      </c>
      <c r="F371" s="2">
        <v>10001719</v>
      </c>
      <c r="G371" s="4" t="s">
        <v>395</v>
      </c>
      <c r="H371" s="1">
        <v>6</v>
      </c>
      <c r="I371" s="1">
        <v>2</v>
      </c>
      <c r="J371" s="1">
        <v>1</v>
      </c>
      <c r="K371" s="2">
        <v>1.9</v>
      </c>
    </row>
    <row r="372" spans="1:12">
      <c r="A372" s="3" t="s">
        <v>36</v>
      </c>
      <c r="B372" s="3" t="s">
        <v>58</v>
      </c>
      <c r="C372" s="3" t="s">
        <v>391</v>
      </c>
      <c r="D372" s="3"/>
      <c r="E372" s="2" t="str">
        <f>HYPERLINK("https://old.ukr-mobil.com/plenka_zashchitnaya_polimernaya_anti-microbial_dlya_huawei_p40_pro_plus_10001720", "Перейти")</f>
        <v>Перейти</v>
      </c>
      <c r="F372" s="2">
        <v>10001720</v>
      </c>
      <c r="G372" s="4" t="s">
        <v>396</v>
      </c>
      <c r="H372" s="1">
        <v>6</v>
      </c>
      <c r="I372" s="1">
        <v>2</v>
      </c>
      <c r="J372" s="1">
        <v>2</v>
      </c>
      <c r="K372" s="2">
        <v>1.9</v>
      </c>
    </row>
    <row r="373" spans="1:12">
      <c r="A373" s="3" t="s">
        <v>36</v>
      </c>
      <c r="B373" s="3" t="s">
        <v>58</v>
      </c>
      <c r="C373" s="3" t="s">
        <v>391</v>
      </c>
      <c r="D373" s="3"/>
      <c r="E373" s="2" t="str">
        <f>HYPERLINK("https://old.ukr-mobil.com/plenka_zashchitnaya_polimernaya_anti-microbial_dlya_oneplus_8_10001732", "Перейти")</f>
        <v>Перейти</v>
      </c>
      <c r="F373" s="2">
        <v>10001732</v>
      </c>
      <c r="G373" s="4" t="s">
        <v>397</v>
      </c>
      <c r="H373" s="1">
        <v>15</v>
      </c>
      <c r="I373" s="1">
        <v>4</v>
      </c>
      <c r="J373" s="1">
        <v>2</v>
      </c>
      <c r="K373" s="2">
        <v>1.9</v>
      </c>
    </row>
    <row r="374" spans="1:12">
      <c r="A374" s="3" t="s">
        <v>36</v>
      </c>
      <c r="B374" s="3" t="s">
        <v>58</v>
      </c>
      <c r="C374" s="3" t="s">
        <v>391</v>
      </c>
      <c r="D374" s="3"/>
      <c r="E374" s="2" t="str">
        <f>HYPERLINK("https://old.ukr-mobil.com/plenka_zashchitnaya_polimernaya_anti-microbial_dlya_oppo_reno_4_pro_10001722", "Перейти")</f>
        <v>Перейти</v>
      </c>
      <c r="F374" s="2">
        <v>10001722</v>
      </c>
      <c r="G374" s="4" t="s">
        <v>398</v>
      </c>
      <c r="H374" s="1">
        <v>5</v>
      </c>
      <c r="I374" s="1">
        <v>2</v>
      </c>
      <c r="J374" s="1">
        <v>1</v>
      </c>
      <c r="K374" s="2">
        <v>1.9</v>
      </c>
    </row>
    <row r="375" spans="1:12">
      <c r="A375" s="3" t="s">
        <v>36</v>
      </c>
      <c r="B375" s="3" t="s">
        <v>58</v>
      </c>
      <c r="C375" s="3" t="s">
        <v>391</v>
      </c>
      <c r="D375" s="3"/>
      <c r="E375" s="2" t="str">
        <f>HYPERLINK("https://old.ukr-mobil.com/plenka_zashchitnaya_polimernaya_anti-microbial_dlya_samsung_g950_galaxy_s8_10001699", "Перейти")</f>
        <v>Перейти</v>
      </c>
      <c r="F375" s="2">
        <v>10001699</v>
      </c>
      <c r="G375" s="4" t="s">
        <v>399</v>
      </c>
      <c r="H375" s="1">
        <v>4</v>
      </c>
      <c r="I375" s="1">
        <v>2</v>
      </c>
      <c r="J375" s="1">
        <v>1</v>
      </c>
      <c r="K375" s="2">
        <v>1.9</v>
      </c>
    </row>
    <row r="376" spans="1:12">
      <c r="A376" s="3" t="s">
        <v>36</v>
      </c>
      <c r="B376" s="3" t="s">
        <v>58</v>
      </c>
      <c r="C376" s="3" t="s">
        <v>391</v>
      </c>
      <c r="D376" s="3"/>
      <c r="E376" s="2" t="str">
        <f>HYPERLINK("https://old.ukr-mobil.com/plenka_zashchitnaya_polimernaya_anti-microbial_dlya_samsung_g955_galaxy_s8_plus_10001700", "Перейти")</f>
        <v>Перейти</v>
      </c>
      <c r="F376" s="2">
        <v>10001700</v>
      </c>
      <c r="G376" s="4" t="s">
        <v>400</v>
      </c>
      <c r="H376" s="1">
        <v>8</v>
      </c>
      <c r="I376" s="1">
        <v>5</v>
      </c>
      <c r="J376" s="1">
        <v>1</v>
      </c>
      <c r="K376" s="2">
        <v>1.9</v>
      </c>
    </row>
    <row r="377" spans="1:12">
      <c r="A377" s="3" t="s">
        <v>36</v>
      </c>
      <c r="B377" s="3" t="s">
        <v>58</v>
      </c>
      <c r="C377" s="3" t="s">
        <v>391</v>
      </c>
      <c r="D377" s="3"/>
      <c r="E377" s="2" t="str">
        <f>HYPERLINK("https://old.ukr-mobil.com/plenka_zashchitnaya_polimernaya_anti-microbial_dlya_samsung_g960_galaxy_s9_10001701", "Перейти")</f>
        <v>Перейти</v>
      </c>
      <c r="F377" s="2">
        <v>10001701</v>
      </c>
      <c r="G377" s="4" t="s">
        <v>401</v>
      </c>
      <c r="H377" s="1">
        <v>0</v>
      </c>
      <c r="I377" s="1">
        <v>3</v>
      </c>
      <c r="J377" s="1">
        <v>1</v>
      </c>
      <c r="K377" s="2">
        <v>1.9</v>
      </c>
    </row>
    <row r="378" spans="1:12">
      <c r="A378" s="3" t="s">
        <v>36</v>
      </c>
      <c r="B378" s="3" t="s">
        <v>58</v>
      </c>
      <c r="C378" s="3" t="s">
        <v>391</v>
      </c>
      <c r="D378" s="3"/>
      <c r="E378" s="2" t="str">
        <f>HYPERLINK("https://old.ukr-mobil.com/plenka_zashchitnaya_polimernaya_anti-microbial_dlya_samsung_g965_galaxy_s9_plus_10001702", "Перейти")</f>
        <v>Перейти</v>
      </c>
      <c r="F378" s="2">
        <v>10001702</v>
      </c>
      <c r="G378" s="4" t="s">
        <v>402</v>
      </c>
      <c r="H378" s="1">
        <v>4</v>
      </c>
      <c r="I378" s="1">
        <v>2</v>
      </c>
      <c r="J378" s="1">
        <v>0</v>
      </c>
      <c r="K378" s="2">
        <v>1.9</v>
      </c>
    </row>
    <row r="379" spans="1:12">
      <c r="A379" s="3" t="s">
        <v>36</v>
      </c>
      <c r="B379" s="3" t="s">
        <v>58</v>
      </c>
      <c r="C379" s="3" t="s">
        <v>391</v>
      </c>
      <c r="D379" s="3"/>
      <c r="E379" s="2" t="str">
        <f>HYPERLINK("https://old.ukr-mobil.com/plenka_zashchitnaya_polimernaya_anti-microbial_dlya_samsung_g973_galaxy_s10_10001703", "Перейти")</f>
        <v>Перейти</v>
      </c>
      <c r="F379" s="2">
        <v>10001703</v>
      </c>
      <c r="G379" s="4" t="s">
        <v>403</v>
      </c>
      <c r="H379" s="1">
        <v>6</v>
      </c>
      <c r="I379" s="1">
        <v>1</v>
      </c>
      <c r="J379" s="1">
        <v>1</v>
      </c>
      <c r="K379" s="2">
        <v>1.9</v>
      </c>
    </row>
    <row r="380" spans="1:12">
      <c r="A380" s="3" t="s">
        <v>36</v>
      </c>
      <c r="B380" s="3" t="s">
        <v>58</v>
      </c>
      <c r="C380" s="3" t="s">
        <v>391</v>
      </c>
      <c r="D380" s="3"/>
      <c r="E380" s="2" t="str">
        <f>HYPERLINK("https://old.ukr-mobil.com/plenka_zashchitnaya_polimernaya_anti-microbial_dlya_samsung_g975_galaxy_s10_plus_10001704", "Перейти")</f>
        <v>Перейти</v>
      </c>
      <c r="F380" s="2">
        <v>10001704</v>
      </c>
      <c r="G380" s="4" t="s">
        <v>404</v>
      </c>
      <c r="H380" s="1">
        <v>0</v>
      </c>
      <c r="I380" s="1">
        <v>0</v>
      </c>
      <c r="J380" s="1">
        <v>0</v>
      </c>
      <c r="K380" s="2">
        <v>1.9</v>
      </c>
    </row>
    <row r="381" spans="1:12">
      <c r="A381" s="3" t="s">
        <v>36</v>
      </c>
      <c r="B381" s="3" t="s">
        <v>58</v>
      </c>
      <c r="C381" s="3" t="s">
        <v>391</v>
      </c>
      <c r="D381" s="3"/>
      <c r="E381" s="2" t="str">
        <f>HYPERLINK("https://old.ukr-mobil.com/plenka_zashchitnaya_polimernaya_anti-microbial_dlya_samsung_g980_galaxy_s20_10001705", "Перейти")</f>
        <v>Перейти</v>
      </c>
      <c r="F381" s="2">
        <v>10001705</v>
      </c>
      <c r="G381" s="4" t="s">
        <v>405</v>
      </c>
      <c r="H381" s="1">
        <v>12</v>
      </c>
      <c r="I381" s="1">
        <v>3</v>
      </c>
      <c r="J381" s="1">
        <v>1</v>
      </c>
      <c r="K381" s="2">
        <v>1.9</v>
      </c>
    </row>
    <row r="382" spans="1:12">
      <c r="A382" s="3" t="s">
        <v>36</v>
      </c>
      <c r="B382" s="3" t="s">
        <v>58</v>
      </c>
      <c r="C382" s="3" t="s">
        <v>391</v>
      </c>
      <c r="D382" s="3"/>
      <c r="E382" s="2" t="str">
        <f>HYPERLINK("https://old.ukr-mobil.com/plenka_zashchitnaya_polimernaya_anti-microbial_dlya_samsung_g985_galaxy_s20_plus_10001706", "Перейти")</f>
        <v>Перейти</v>
      </c>
      <c r="F382" s="2">
        <v>10001706</v>
      </c>
      <c r="G382" s="4" t="s">
        <v>406</v>
      </c>
      <c r="H382" s="1">
        <v>5</v>
      </c>
      <c r="I382" s="1">
        <v>5</v>
      </c>
      <c r="J382" s="1">
        <v>1</v>
      </c>
      <c r="K382" s="2">
        <v>1.9</v>
      </c>
    </row>
    <row r="383" spans="1:12">
      <c r="A383" s="3" t="s">
        <v>36</v>
      </c>
      <c r="B383" s="3" t="s">
        <v>58</v>
      </c>
      <c r="C383" s="3" t="s">
        <v>391</v>
      </c>
      <c r="D383" s="3"/>
      <c r="E383" s="2" t="str">
        <f>HYPERLINK("https://old.ukr-mobil.com/plenka_zashchitnaya_polimernaya_anti-microbial_dlya_samsung_g988_galaxy_s20_ultra_10001707", "Перейти")</f>
        <v>Перейти</v>
      </c>
      <c r="F383" s="2">
        <v>10001707</v>
      </c>
      <c r="G383" s="4" t="s">
        <v>407</v>
      </c>
      <c r="H383" s="1">
        <v>10</v>
      </c>
      <c r="I383" s="1">
        <v>4</v>
      </c>
      <c r="J383" s="1">
        <v>0</v>
      </c>
      <c r="K383" s="2">
        <v>1.9</v>
      </c>
    </row>
    <row r="384" spans="1:12">
      <c r="A384" s="3" t="s">
        <v>36</v>
      </c>
      <c r="B384" s="3" t="s">
        <v>58</v>
      </c>
      <c r="C384" s="3" t="s">
        <v>391</v>
      </c>
      <c r="D384" s="3"/>
      <c r="E384" s="2" t="str">
        <f>HYPERLINK("https://old.ukr-mobil.com/plenka_zashchitnaya_polimernaya_anti-microbial_dlya_samsung_g991_galaxy_s21_10001708", "Перейти")</f>
        <v>Перейти</v>
      </c>
      <c r="F384" s="2">
        <v>10001708</v>
      </c>
      <c r="G384" s="4" t="s">
        <v>408</v>
      </c>
      <c r="H384" s="1">
        <v>2</v>
      </c>
      <c r="I384" s="1">
        <v>0</v>
      </c>
      <c r="J384" s="1">
        <v>0</v>
      </c>
      <c r="K384" s="2">
        <v>1.9</v>
      </c>
    </row>
    <row r="385" spans="1:12">
      <c r="A385" s="3" t="s">
        <v>36</v>
      </c>
      <c r="B385" s="3" t="s">
        <v>58</v>
      </c>
      <c r="C385" s="3" t="s">
        <v>391</v>
      </c>
      <c r="D385" s="3"/>
      <c r="E385" s="2" t="str">
        <f>HYPERLINK("https://old.ukr-mobil.com/plenka_zashchitnaya_polimernaya_anti-microbial_dlya_samsung_g996_galaxy_s21_plus_10001709", "Перейти")</f>
        <v>Перейти</v>
      </c>
      <c r="F385" s="2">
        <v>10001709</v>
      </c>
      <c r="G385" s="4" t="s">
        <v>409</v>
      </c>
      <c r="H385" s="1">
        <v>1</v>
      </c>
      <c r="I385" s="1">
        <v>2</v>
      </c>
      <c r="J385" s="1">
        <v>0</v>
      </c>
      <c r="K385" s="2">
        <v>1.9</v>
      </c>
    </row>
    <row r="386" spans="1:12">
      <c r="A386" s="3" t="s">
        <v>36</v>
      </c>
      <c r="B386" s="3" t="s">
        <v>58</v>
      </c>
      <c r="C386" s="3" t="s">
        <v>391</v>
      </c>
      <c r="D386" s="3"/>
      <c r="E386" s="2" t="str">
        <f>HYPERLINK("https://old.ukr-mobil.com/plenka_zashchitnaya_polimernaya_anti-microbial_dlya_samsung_g998_galaxy_s21_ultra_10001710", "Перейти")</f>
        <v>Перейти</v>
      </c>
      <c r="F386" s="2">
        <v>10001710</v>
      </c>
      <c r="G386" s="4" t="s">
        <v>410</v>
      </c>
      <c r="H386" s="1">
        <v>0</v>
      </c>
      <c r="I386" s="1">
        <v>0</v>
      </c>
      <c r="J386" s="1">
        <v>0</v>
      </c>
      <c r="K386" s="2">
        <v>1.9</v>
      </c>
    </row>
    <row r="387" spans="1:12">
      <c r="A387" s="3" t="s">
        <v>36</v>
      </c>
      <c r="B387" s="3" t="s">
        <v>58</v>
      </c>
      <c r="C387" s="3" t="s">
        <v>391</v>
      </c>
      <c r="D387" s="3"/>
      <c r="E387" s="2" t="str">
        <f>HYPERLINK("https://old.ukr-mobil.com/plenka_zashchitnaya_polimernaya_anti-microbial_dlya_samsung_n950_galaxy_note_8_10001711", "Перейти")</f>
        <v>Перейти</v>
      </c>
      <c r="F387" s="2">
        <v>10001711</v>
      </c>
      <c r="G387" s="4" t="s">
        <v>411</v>
      </c>
      <c r="H387" s="1">
        <v>13</v>
      </c>
      <c r="I387" s="1">
        <v>3</v>
      </c>
      <c r="J387" s="1">
        <v>2</v>
      </c>
      <c r="K387" s="2">
        <v>1.9</v>
      </c>
    </row>
    <row r="388" spans="1:12">
      <c r="A388" s="3" t="s">
        <v>36</v>
      </c>
      <c r="B388" s="3" t="s">
        <v>58</v>
      </c>
      <c r="C388" s="3" t="s">
        <v>391</v>
      </c>
      <c r="D388" s="3"/>
      <c r="E388" s="2" t="str">
        <f>HYPERLINK("https://old.ukr-mobil.com/plenka_zashchitnaya_polimernaya_anti-microbial_dlya_samsung_n960_galaxy_note_9_10001712", "Перейти")</f>
        <v>Перейти</v>
      </c>
      <c r="F388" s="2">
        <v>10001712</v>
      </c>
      <c r="G388" s="4" t="s">
        <v>412</v>
      </c>
      <c r="H388" s="1">
        <v>15</v>
      </c>
      <c r="I388" s="1">
        <v>4</v>
      </c>
      <c r="J388" s="1">
        <v>1</v>
      </c>
      <c r="K388" s="2">
        <v>1.9</v>
      </c>
    </row>
    <row r="389" spans="1:12">
      <c r="A389" s="3" t="s">
        <v>36</v>
      </c>
      <c r="B389" s="3" t="s">
        <v>58</v>
      </c>
      <c r="C389" s="3" t="s">
        <v>391</v>
      </c>
      <c r="D389" s="3"/>
      <c r="E389" s="2" t="str">
        <f>HYPERLINK("https://old.ukr-mobil.com/plenka_zashchitnaya_polimernaya_anti-microbial_dlya_samsung_n970_galaxy_note_10_10001713", "Перейти")</f>
        <v>Перейти</v>
      </c>
      <c r="F389" s="2">
        <v>10001713</v>
      </c>
      <c r="G389" s="4" t="s">
        <v>413</v>
      </c>
      <c r="H389" s="1">
        <v>4</v>
      </c>
      <c r="I389" s="1">
        <v>2</v>
      </c>
      <c r="J389" s="1">
        <v>2</v>
      </c>
      <c r="K389" s="2">
        <v>1.9</v>
      </c>
    </row>
    <row r="390" spans="1:12">
      <c r="A390" s="3" t="s">
        <v>36</v>
      </c>
      <c r="B390" s="3" t="s">
        <v>58</v>
      </c>
      <c r="C390" s="3" t="s">
        <v>391</v>
      </c>
      <c r="D390" s="3"/>
      <c r="E390" s="2" t="str">
        <f>HYPERLINK("https://old.ukr-mobil.com/plenka_zashchitnaya_polimernaya_anti-microbial_dlya_samsung_n975_galaxy_note_10_plus_10001714", "Перейти")</f>
        <v>Перейти</v>
      </c>
      <c r="F390" s="2">
        <v>10001714</v>
      </c>
      <c r="G390" s="4" t="s">
        <v>414</v>
      </c>
      <c r="H390" s="1">
        <v>0</v>
      </c>
      <c r="I390" s="1">
        <v>1</v>
      </c>
      <c r="J390" s="1">
        <v>0</v>
      </c>
      <c r="K390" s="2">
        <v>1.9</v>
      </c>
    </row>
    <row r="391" spans="1:12">
      <c r="A391" s="3" t="s">
        <v>36</v>
      </c>
      <c r="B391" s="3" t="s">
        <v>58</v>
      </c>
      <c r="C391" s="3" t="s">
        <v>391</v>
      </c>
      <c r="D391" s="3"/>
      <c r="E391" s="2" t="str">
        <f>HYPERLINK("https://old.ukr-mobil.com/plenka_zashchitnaya_polimernaya_anti-microbial_dlya_samsung_n980_galaxy_note_20_10001715", "Перейти")</f>
        <v>Перейти</v>
      </c>
      <c r="F391" s="2">
        <v>10001715</v>
      </c>
      <c r="G391" s="4" t="s">
        <v>415</v>
      </c>
      <c r="H391" s="1">
        <v>1</v>
      </c>
      <c r="I391" s="1">
        <v>2</v>
      </c>
      <c r="J391" s="1">
        <v>2</v>
      </c>
      <c r="K391" s="2">
        <v>1.9</v>
      </c>
    </row>
    <row r="392" spans="1:12">
      <c r="A392" s="3" t="s">
        <v>36</v>
      </c>
      <c r="B392" s="3" t="s">
        <v>58</v>
      </c>
      <c r="C392" s="3" t="s">
        <v>391</v>
      </c>
      <c r="D392" s="3"/>
      <c r="E392" s="2" t="str">
        <f>HYPERLINK("https://old.ukr-mobil.com/plenka_zashchitnaya_polimernaya_anti-microbial_dlya_samsung_n985_galaxy_note_20_ultra_10001716", "Перейти")</f>
        <v>Перейти</v>
      </c>
      <c r="F392" s="2">
        <v>10001716</v>
      </c>
      <c r="G392" s="4" t="s">
        <v>416</v>
      </c>
      <c r="H392" s="1">
        <v>0</v>
      </c>
      <c r="I392" s="1">
        <v>0</v>
      </c>
      <c r="J392" s="1">
        <v>0</v>
      </c>
      <c r="K392" s="2">
        <v>1.9</v>
      </c>
    </row>
    <row r="393" spans="1:12">
      <c r="A393" s="3" t="s">
        <v>36</v>
      </c>
      <c r="B393" s="3" t="s">
        <v>58</v>
      </c>
      <c r="C393" s="3" t="s">
        <v>391</v>
      </c>
      <c r="D393" s="3"/>
      <c r="E393" s="2" t="str">
        <f>HYPERLINK("https://old.ukr-mobil.com/plenka_zashchitnaya_polimernaya_anti-microbial_dlya_xiaomi_mi_10_10001724", "Перейти")</f>
        <v>Перейти</v>
      </c>
      <c r="F393" s="2">
        <v>10001724</v>
      </c>
      <c r="G393" s="4" t="s">
        <v>417</v>
      </c>
      <c r="H393" s="1">
        <v>17</v>
      </c>
      <c r="I393" s="1">
        <v>5</v>
      </c>
      <c r="J393" s="1">
        <v>2</v>
      </c>
      <c r="K393" s="2">
        <v>1.9</v>
      </c>
    </row>
    <row r="394" spans="1:12">
      <c r="A394" s="3" t="s">
        <v>36</v>
      </c>
      <c r="B394" s="3" t="s">
        <v>58</v>
      </c>
      <c r="C394" s="3" t="s">
        <v>391</v>
      </c>
      <c r="D394" s="3"/>
      <c r="E394" s="2" t="str">
        <f>HYPERLINK("https://old.ukr-mobil.com/plenka_zashchitnaya_polimernaya_anti-microbial_dlya_xiaomi_mi_10_pro_10001725", "Перейти")</f>
        <v>Перейти</v>
      </c>
      <c r="F394" s="2">
        <v>10001725</v>
      </c>
      <c r="G394" s="4" t="s">
        <v>418</v>
      </c>
      <c r="H394" s="1">
        <v>18</v>
      </c>
      <c r="I394" s="1">
        <v>4</v>
      </c>
      <c r="J394" s="1">
        <v>2</v>
      </c>
      <c r="K394" s="2">
        <v>1.9</v>
      </c>
    </row>
    <row r="395" spans="1:12">
      <c r="A395" s="3" t="s">
        <v>36</v>
      </c>
      <c r="B395" s="3" t="s">
        <v>58</v>
      </c>
      <c r="C395" s="3" t="s">
        <v>391</v>
      </c>
      <c r="D395" s="3"/>
      <c r="E395" s="2" t="str">
        <f>HYPERLINK("https://old.ukr-mobil.com/plenka_zashchitnaya_polimernaya_anti-microbial_dlya_xiaomi_mi_11_10001726", "Перейти")</f>
        <v>Перейти</v>
      </c>
      <c r="F395" s="2">
        <v>10001726</v>
      </c>
      <c r="G395" s="4" t="s">
        <v>419</v>
      </c>
      <c r="H395" s="1">
        <v>17</v>
      </c>
      <c r="I395" s="1">
        <v>4</v>
      </c>
      <c r="J395" s="1">
        <v>2</v>
      </c>
      <c r="K395" s="2">
        <v>1.9</v>
      </c>
    </row>
    <row r="396" spans="1:12">
      <c r="A396" s="3" t="s">
        <v>36</v>
      </c>
      <c r="B396" s="3" t="s">
        <v>58</v>
      </c>
      <c r="C396" s="3" t="s">
        <v>391</v>
      </c>
      <c r="D396" s="3"/>
      <c r="E396" s="2" t="str">
        <f>HYPERLINK("https://old.ukr-mobil.com/plenka_zashchitnaya_polimernaya_anti-microbial_dlya_xiaomi_mi_11_pro_10001728", "Перейти")</f>
        <v>Перейти</v>
      </c>
      <c r="F396" s="2">
        <v>10001728</v>
      </c>
      <c r="G396" s="4" t="s">
        <v>420</v>
      </c>
      <c r="H396" s="1">
        <v>18</v>
      </c>
      <c r="I396" s="1">
        <v>5</v>
      </c>
      <c r="J396" s="1">
        <v>2</v>
      </c>
      <c r="K396" s="2">
        <v>1.9</v>
      </c>
    </row>
    <row r="397" spans="1:12">
      <c r="A397" s="3" t="s">
        <v>36</v>
      </c>
      <c r="B397" s="3" t="s">
        <v>58</v>
      </c>
      <c r="C397" s="3" t="s">
        <v>391</v>
      </c>
      <c r="D397" s="3"/>
      <c r="E397" s="2" t="str">
        <f>HYPERLINK("https://old.ukr-mobil.com/plenka_zashchitnaya_polimernaya_anti-microbial_dlya_xiaomi_mi_11_ultra_10001727", "Перейти")</f>
        <v>Перейти</v>
      </c>
      <c r="F397" s="2">
        <v>10001727</v>
      </c>
      <c r="G397" s="4" t="s">
        <v>421</v>
      </c>
      <c r="H397" s="1">
        <v>18</v>
      </c>
      <c r="I397" s="1">
        <v>5</v>
      </c>
      <c r="J397" s="1">
        <v>1</v>
      </c>
      <c r="K397" s="2">
        <v>1.9</v>
      </c>
    </row>
    <row r="398" spans="1:12">
      <c r="A398" s="3" t="s">
        <v>36</v>
      </c>
      <c r="B398" s="3" t="s">
        <v>422</v>
      </c>
      <c r="C398" s="3" t="s">
        <v>54</v>
      </c>
      <c r="D398" s="3"/>
      <c r="E398" s="2" t="str">
        <f>HYPERLINK("https://old.ukr-mobil.com/kabel_apple_lightning_to_usb_dlya_iphone_ipad_1m_md818_original_prc_10001519", "Перейти")</f>
        <v>Перейти</v>
      </c>
      <c r="F398" s="2">
        <v>10001519</v>
      </c>
      <c r="G398" s="4" t="s">
        <v>423</v>
      </c>
      <c r="H398" s="1">
        <v>0</v>
      </c>
      <c r="I398" s="1">
        <v>0</v>
      </c>
      <c r="J398" s="1">
        <v>0</v>
      </c>
      <c r="K398" s="2">
        <v>3.5</v>
      </c>
    </row>
    <row r="399" spans="1:12">
      <c r="A399" s="3" t="s">
        <v>36</v>
      </c>
      <c r="B399" s="3" t="s">
        <v>422</v>
      </c>
      <c r="C399" s="3" t="s">
        <v>54</v>
      </c>
      <c r="D399" s="3"/>
      <c r="E399" s="2" t="str">
        <f>HYPERLINK("https://old.ukr-mobil.com/kabel_apple_lightning_to_usb_dlya_iphone_ipad_2m_md819_original_prc_10001520", "Перейти")</f>
        <v>Перейти</v>
      </c>
      <c r="F399" s="2">
        <v>10001520</v>
      </c>
      <c r="G399" s="4" t="s">
        <v>424</v>
      </c>
      <c r="H399" s="1">
        <v>0</v>
      </c>
      <c r="I399" s="1">
        <v>0</v>
      </c>
      <c r="J399" s="1">
        <v>0</v>
      </c>
      <c r="K399" s="2">
        <v>4.35</v>
      </c>
    </row>
    <row r="400" spans="1:12">
      <c r="A400" s="3" t="s">
        <v>36</v>
      </c>
      <c r="B400" s="3" t="s">
        <v>422</v>
      </c>
      <c r="C400" s="3" t="s">
        <v>54</v>
      </c>
      <c r="D400" s="3"/>
      <c r="E400" s="2" t="str">
        <f>HYPERLINK("https://old.ukr-mobil.com/kabel_apple_lightning_to_usb-c_dlya_iphone_ipad_1m_mx0k2_bez_upakovki_original_prc_10001476", "Перейти")</f>
        <v>Перейти</v>
      </c>
      <c r="F400" s="2">
        <v>10001476</v>
      </c>
      <c r="G400" s="4" t="s">
        <v>425</v>
      </c>
      <c r="H400" s="1">
        <v>0</v>
      </c>
      <c r="I400" s="1">
        <v>0</v>
      </c>
      <c r="J400" s="1">
        <v>0</v>
      </c>
      <c r="K400" s="2">
        <v>3.5</v>
      </c>
    </row>
    <row r="401" spans="1:12">
      <c r="A401" s="3" t="s">
        <v>36</v>
      </c>
      <c r="B401" s="3" t="s">
        <v>422</v>
      </c>
      <c r="C401" s="3" t="s">
        <v>54</v>
      </c>
      <c r="D401" s="3"/>
      <c r="E401" s="2" t="str">
        <f>HYPERLINK("https://old.ukr-mobil.com/kabel_apple_lightning_to_usb-c_dlya_iphone_ipad_1m_mx0k2_original_prc_10001475", "Перейти")</f>
        <v>Перейти</v>
      </c>
      <c r="F401" s="2">
        <v>10001475</v>
      </c>
      <c r="G401" s="4" t="s">
        <v>426</v>
      </c>
      <c r="H401" s="1">
        <v>0</v>
      </c>
      <c r="I401" s="1">
        <v>0</v>
      </c>
      <c r="J401" s="1">
        <v>0</v>
      </c>
      <c r="K401" s="2">
        <v>4.5</v>
      </c>
    </row>
    <row r="402" spans="1:12">
      <c r="A402" s="3" t="s">
        <v>36</v>
      </c>
      <c r="B402" s="3" t="s">
        <v>422</v>
      </c>
      <c r="C402" s="3" t="s">
        <v>54</v>
      </c>
      <c r="D402" s="3"/>
      <c r="E402" s="2" t="str">
        <f>HYPERLINK("https://old.ukr-mobil.com/kabel_apple_lightning_to_usb-c_dlya_iphone_ipad_2m_md819_bez_upakovki_original_prc_10001478", "Перейти")</f>
        <v>Перейти</v>
      </c>
      <c r="F402" s="2">
        <v>10001478</v>
      </c>
      <c r="G402" s="4" t="s">
        <v>427</v>
      </c>
      <c r="H402" s="1">
        <v>0</v>
      </c>
      <c r="I402" s="1">
        <v>0</v>
      </c>
      <c r="J402" s="1">
        <v>0</v>
      </c>
      <c r="K402" s="2">
        <v>4.5</v>
      </c>
    </row>
    <row r="403" spans="1:12">
      <c r="A403" s="3" t="s">
        <v>36</v>
      </c>
      <c r="B403" s="3" t="s">
        <v>422</v>
      </c>
      <c r="C403" s="3" t="s">
        <v>54</v>
      </c>
      <c r="D403" s="3"/>
      <c r="E403" s="2" t="str">
        <f>HYPERLINK("https://old.ukr-mobil.com/kabel_apple_lightning_to_usb-c_dlya_iphone_ipad_2m_md819_original_prc_10001477", "Перейти")</f>
        <v>Перейти</v>
      </c>
      <c r="F403" s="2">
        <v>10001477</v>
      </c>
      <c r="G403" s="4" t="s">
        <v>428</v>
      </c>
      <c r="H403" s="1">
        <v>0</v>
      </c>
      <c r="I403" s="1">
        <v>0</v>
      </c>
      <c r="J403" s="1">
        <v>0</v>
      </c>
      <c r="K403" s="2">
        <v>5.0</v>
      </c>
    </row>
    <row r="404" spans="1:12">
      <c r="A404" s="3" t="s">
        <v>36</v>
      </c>
      <c r="B404" s="3" t="s">
        <v>422</v>
      </c>
      <c r="C404" s="3" t="s">
        <v>54</v>
      </c>
      <c r="D404" s="3"/>
      <c r="E404" s="2" t="str">
        <f>HYPERLINK("https://old.ukr-mobil.com/perekhodnik_dlya_naushnikov_lightning_to_3_5_jack_a1749_original_10001558", "Перейти")</f>
        <v>Перейти</v>
      </c>
      <c r="F404" s="2">
        <v>10001558</v>
      </c>
      <c r="G404" s="4" t="s">
        <v>429</v>
      </c>
      <c r="H404" s="1">
        <v>0</v>
      </c>
      <c r="I404" s="1">
        <v>0</v>
      </c>
      <c r="J404" s="1">
        <v>0</v>
      </c>
      <c r="K404" s="2">
        <v>12.0</v>
      </c>
    </row>
    <row r="405" spans="1:12">
      <c r="A405" s="3" t="s">
        <v>36</v>
      </c>
      <c r="B405" s="3" t="s">
        <v>422</v>
      </c>
      <c r="C405" s="3" t="s">
        <v>430</v>
      </c>
      <c r="D405" s="3"/>
      <c r="E405" s="2" t="str">
        <f>HYPERLINK("https://old.ukr-mobil.com/kabel_baseus_cafule_cable_special_edition_calklf-g91_usb_to_lightning_2_4a_1m_red_10002684", "Перейти")</f>
        <v>Перейти</v>
      </c>
      <c r="F405" s="2">
        <v>10002684</v>
      </c>
      <c r="G405" s="4" t="s">
        <v>431</v>
      </c>
      <c r="H405" s="1">
        <v>0</v>
      </c>
      <c r="I405" s="1">
        <v>0</v>
      </c>
      <c r="J405" s="1">
        <v>1</v>
      </c>
      <c r="K405" s="2">
        <v>2.6</v>
      </c>
    </row>
    <row r="406" spans="1:12">
      <c r="A406" s="3" t="s">
        <v>36</v>
      </c>
      <c r="B406" s="3" t="s">
        <v>422</v>
      </c>
      <c r="C406" s="3" t="s">
        <v>430</v>
      </c>
      <c r="D406" s="3"/>
      <c r="E406" s="2" t="str">
        <f>HYPERLINK("https://old.ukr-mobil.com/kabel_baseus_cafule_cable_special_edition_calklf-gg1_usb_to_lightning_2_4a_1m_black_10001658", "Перейти")</f>
        <v>Перейти</v>
      </c>
      <c r="F406" s="2">
        <v>10001658</v>
      </c>
      <c r="G406" s="4" t="s">
        <v>432</v>
      </c>
      <c r="H406" s="1">
        <v>0</v>
      </c>
      <c r="I406" s="1">
        <v>0</v>
      </c>
      <c r="J406" s="1">
        <v>0</v>
      </c>
      <c r="K406" s="2">
        <v>2.6</v>
      </c>
    </row>
    <row r="407" spans="1:12">
      <c r="A407" s="3" t="s">
        <v>36</v>
      </c>
      <c r="B407" s="3" t="s">
        <v>422</v>
      </c>
      <c r="C407" s="3" t="s">
        <v>430</v>
      </c>
      <c r="D407" s="3"/>
      <c r="E407" s="2" t="str">
        <f>HYPERLINK("https://old.ukr-mobil.com/kabel_baseus_cafule_flash_charging_catklf-alg1_type-c_to_type-c_100w_5a_pd_2_0_qc_3_0_2m_10001671", "Перейти")</f>
        <v>Перейти</v>
      </c>
      <c r="F407" s="2">
        <v>10001671</v>
      </c>
      <c r="G407" s="4" t="s">
        <v>433</v>
      </c>
      <c r="H407" s="1">
        <v>0</v>
      </c>
      <c r="I407" s="1">
        <v>0</v>
      </c>
      <c r="J407" s="1">
        <v>0</v>
      </c>
      <c r="K407" s="2">
        <v>5.0</v>
      </c>
    </row>
    <row r="408" spans="1:12">
      <c r="A408" s="3" t="s">
        <v>36</v>
      </c>
      <c r="B408" s="3" t="s">
        <v>422</v>
      </c>
      <c r="C408" s="3" t="s">
        <v>430</v>
      </c>
      <c r="D408" s="3"/>
      <c r="E408" s="2" t="str">
        <f>HYPERLINK("https://old.ukr-mobil.com/kabel_baseus_green_u-shaped_lamp_mobile_game_calux-b01_usb_to_lightning_1_5a_2m_black_10001659", "Перейти")</f>
        <v>Перейти</v>
      </c>
      <c r="F408" s="2">
        <v>10001659</v>
      </c>
      <c r="G408" s="4" t="s">
        <v>434</v>
      </c>
      <c r="H408" s="1">
        <v>0</v>
      </c>
      <c r="I408" s="1">
        <v>0</v>
      </c>
      <c r="J408" s="1">
        <v>0</v>
      </c>
      <c r="K408" s="2">
        <v>4.25</v>
      </c>
    </row>
    <row r="409" spans="1:12">
      <c r="A409" s="3" t="s">
        <v>36</v>
      </c>
      <c r="B409" s="3" t="s">
        <v>422</v>
      </c>
      <c r="C409" s="3" t="s">
        <v>430</v>
      </c>
      <c r="D409" s="3"/>
      <c r="E409" s="2" t="str">
        <f>HYPERLINK("https://old.ukr-mobil.com/kabel_baseus_high_definition_series_wkgq010001_type-c_to_hdmi_4k_60hz_1m_black_10003440", "Перейти")</f>
        <v>Перейти</v>
      </c>
      <c r="F409" s="2">
        <v>10003440</v>
      </c>
      <c r="G409" s="4" t="s">
        <v>435</v>
      </c>
      <c r="H409" s="1">
        <v>10</v>
      </c>
      <c r="I409" s="1">
        <v>4</v>
      </c>
      <c r="J409" s="1">
        <v>4</v>
      </c>
      <c r="K409" s="2">
        <v>24.0</v>
      </c>
    </row>
    <row r="410" spans="1:12">
      <c r="A410" s="3" t="s">
        <v>36</v>
      </c>
      <c r="B410" s="3" t="s">
        <v>422</v>
      </c>
      <c r="C410" s="3" t="s">
        <v>430</v>
      </c>
      <c r="D410" s="3"/>
      <c r="E410" s="2" t="str">
        <f>HYPERLINK("https://old.ukr-mobil.com/kabel_baseus_high_definition_series_wkgq020001_hdmi_to_hdmi_4k_60hz_1m_black_10003438", "Перейти")</f>
        <v>Перейти</v>
      </c>
      <c r="F410" s="2">
        <v>10003438</v>
      </c>
      <c r="G410" s="4" t="s">
        <v>436</v>
      </c>
      <c r="H410" s="1">
        <v>13</v>
      </c>
      <c r="I410" s="1">
        <v>9</v>
      </c>
      <c r="J410" s="1">
        <v>5</v>
      </c>
      <c r="K410" s="2">
        <v>8.45</v>
      </c>
    </row>
    <row r="411" spans="1:12">
      <c r="A411" s="3" t="s">
        <v>36</v>
      </c>
      <c r="B411" s="3" t="s">
        <v>422</v>
      </c>
      <c r="C411" s="3" t="s">
        <v>430</v>
      </c>
      <c r="D411" s="3"/>
      <c r="E411" s="2" t="str">
        <f>HYPERLINK("https://old.ukr-mobil.com/kabel_baseus_high_definition_series_wkgq020201_hdmi_to_hdmi_4k_60hz_2m_black_10003439", "Перейти")</f>
        <v>Перейти</v>
      </c>
      <c r="F411" s="2">
        <v>10003439</v>
      </c>
      <c r="G411" s="4" t="s">
        <v>437</v>
      </c>
      <c r="H411" s="1">
        <v>17</v>
      </c>
      <c r="I411" s="1">
        <v>2</v>
      </c>
      <c r="J411" s="1">
        <v>5</v>
      </c>
      <c r="K411" s="2">
        <v>9.0</v>
      </c>
    </row>
    <row r="412" spans="1:12">
      <c r="A412" s="3" t="s">
        <v>36</v>
      </c>
      <c r="B412" s="3" t="s">
        <v>422</v>
      </c>
      <c r="C412" s="3" t="s">
        <v>430</v>
      </c>
      <c r="D412" s="3"/>
      <c r="E412" s="2" t="str">
        <f>HYPERLINK("https://old.ukr-mobil.com/kabel_baseus_high_definition_series_wkgq020401_hdmi_to_hdmi_4k_60hz_5m_black_10003455", "Перейти")</f>
        <v>Перейти</v>
      </c>
      <c r="F412" s="2">
        <v>10003455</v>
      </c>
      <c r="G412" s="4" t="s">
        <v>438</v>
      </c>
      <c r="H412" s="1">
        <v>6</v>
      </c>
      <c r="I412" s="1">
        <v>4</v>
      </c>
      <c r="J412" s="1">
        <v>4</v>
      </c>
      <c r="K412" s="2">
        <v>15.0</v>
      </c>
    </row>
    <row r="413" spans="1:12">
      <c r="A413" s="3" t="s">
        <v>36</v>
      </c>
      <c r="B413" s="3" t="s">
        <v>422</v>
      </c>
      <c r="C413" s="3" t="s">
        <v>430</v>
      </c>
      <c r="D413" s="3"/>
      <c r="E413" s="2" t="str">
        <f>HYPERLINK("https://old.ukr-mobil.com/kabel_baseus_iridescent_lamp_mobile_game_cat7c-b01_usb_to_type-c_40w_4a_1m_10001660", "Перейти")</f>
        <v>Перейти</v>
      </c>
      <c r="F413" s="2">
        <v>10001660</v>
      </c>
      <c r="G413" s="4" t="s">
        <v>439</v>
      </c>
      <c r="H413" s="1">
        <v>0</v>
      </c>
      <c r="I413" s="1">
        <v>0</v>
      </c>
      <c r="J413" s="1">
        <v>0</v>
      </c>
      <c r="K413" s="2">
        <v>3.9</v>
      </c>
    </row>
    <row r="414" spans="1:12">
      <c r="A414" s="3" t="s">
        <v>36</v>
      </c>
      <c r="B414" s="3" t="s">
        <v>422</v>
      </c>
      <c r="C414" s="3" t="s">
        <v>430</v>
      </c>
      <c r="D414" s="3"/>
      <c r="E414" s="2" t="str">
        <f>HYPERLINK("https://old.ukr-mobil.com/kabel_baseus_sharp-bird_mobile_game_calmvp-d01_usb_to_lightning_2_4a_1m_black_10001663", "Перейти")</f>
        <v>Перейти</v>
      </c>
      <c r="F414" s="2">
        <v>10001663</v>
      </c>
      <c r="G414" s="4" t="s">
        <v>440</v>
      </c>
      <c r="H414" s="1">
        <v>0</v>
      </c>
      <c r="I414" s="1">
        <v>0</v>
      </c>
      <c r="J414" s="1">
        <v>0</v>
      </c>
      <c r="K414" s="2">
        <v>3.85</v>
      </c>
    </row>
    <row r="415" spans="1:12">
      <c r="A415" s="3" t="s">
        <v>36</v>
      </c>
      <c r="B415" s="3" t="s">
        <v>422</v>
      </c>
      <c r="C415" s="3" t="s">
        <v>430</v>
      </c>
      <c r="D415" s="3"/>
      <c r="E415" s="2" t="str">
        <f>HYPERLINK("https://old.ukr-mobil.com/kabel_baseus_sharp-bird_mobile_game_catmvp-d01_usb_to_type-c_3a_1m_10001661", "Перейти")</f>
        <v>Перейти</v>
      </c>
      <c r="F415" s="2">
        <v>10001661</v>
      </c>
      <c r="G415" s="4" t="s">
        <v>441</v>
      </c>
      <c r="H415" s="1">
        <v>0</v>
      </c>
      <c r="I415" s="1">
        <v>0</v>
      </c>
      <c r="J415" s="1">
        <v>0</v>
      </c>
      <c r="K415" s="2">
        <v>3.8</v>
      </c>
    </row>
    <row r="416" spans="1:12">
      <c r="A416" s="3" t="s">
        <v>36</v>
      </c>
      <c r="B416" s="3" t="s">
        <v>422</v>
      </c>
      <c r="C416" s="3" t="s">
        <v>430</v>
      </c>
      <c r="D416" s="3"/>
      <c r="E416" s="2" t="str">
        <f>HYPERLINK("https://old.ukr-mobil.com/kabel_baseus_calys-02_usb_to_lightning_2_4a_0_25m_white_10001667", "Перейти")</f>
        <v>Перейти</v>
      </c>
      <c r="F416" s="2">
        <v>10001667</v>
      </c>
      <c r="G416" s="4" t="s">
        <v>442</v>
      </c>
      <c r="H416" s="1">
        <v>16</v>
      </c>
      <c r="I416" s="1">
        <v>11</v>
      </c>
      <c r="J416" s="1">
        <v>7</v>
      </c>
      <c r="K416" s="2">
        <v>2.75</v>
      </c>
    </row>
    <row r="417" spans="1:12">
      <c r="A417" s="3" t="s">
        <v>36</v>
      </c>
      <c r="B417" s="3" t="s">
        <v>422</v>
      </c>
      <c r="C417" s="3" t="s">
        <v>430</v>
      </c>
      <c r="D417" s="3"/>
      <c r="E417" s="2" t="str">
        <f>HYPERLINK("https://old.ukr-mobil.com/kabel_baseus_calys-a02_usb_to_lightning_2_4a_1m_white_10001666", "Перейти")</f>
        <v>Перейти</v>
      </c>
      <c r="F417" s="2">
        <v>10001666</v>
      </c>
      <c r="G417" s="4" t="s">
        <v>443</v>
      </c>
      <c r="H417" s="1">
        <v>0</v>
      </c>
      <c r="I417" s="1">
        <v>0</v>
      </c>
      <c r="J417" s="1">
        <v>0</v>
      </c>
      <c r="K417" s="2">
        <v>3.25</v>
      </c>
    </row>
    <row r="418" spans="1:12">
      <c r="A418" s="3" t="s">
        <v>36</v>
      </c>
      <c r="B418" s="3" t="s">
        <v>422</v>
      </c>
      <c r="C418" s="3" t="s">
        <v>430</v>
      </c>
      <c r="D418" s="3"/>
      <c r="E418" s="2" t="str">
        <f>HYPERLINK("https://old.ukr-mobil.com/kabel_baseus_catlys-02_type-c_to_lightning_20w_0_25m_white_10001664", "Перейти")</f>
        <v>Перейти</v>
      </c>
      <c r="F418" s="2">
        <v>10001664</v>
      </c>
      <c r="G418" s="4" t="s">
        <v>444</v>
      </c>
      <c r="H418" s="1">
        <v>0</v>
      </c>
      <c r="I418" s="1">
        <v>0</v>
      </c>
      <c r="J418" s="1">
        <v>0</v>
      </c>
      <c r="K418" s="2">
        <v>2.6</v>
      </c>
    </row>
    <row r="419" spans="1:12">
      <c r="A419" s="3" t="s">
        <v>36</v>
      </c>
      <c r="B419" s="3" t="s">
        <v>422</v>
      </c>
      <c r="C419" s="3" t="s">
        <v>430</v>
      </c>
      <c r="D419" s="3"/>
      <c r="E419" s="2" t="str">
        <f>HYPERLINK("https://old.ukr-mobil.com/kabel_baseus_catlys-a02_type-c_to_lightning_20w_1m_white_10001665", "Перейти")</f>
        <v>Перейти</v>
      </c>
      <c r="F419" s="2">
        <v>10001665</v>
      </c>
      <c r="G419" s="4" t="s">
        <v>445</v>
      </c>
      <c r="H419" s="1">
        <v>0</v>
      </c>
      <c r="I419" s="1">
        <v>0</v>
      </c>
      <c r="J419" s="1">
        <v>0</v>
      </c>
      <c r="K419" s="2">
        <v>3.5</v>
      </c>
    </row>
    <row r="420" spans="1:12">
      <c r="A420" s="3" t="s">
        <v>36</v>
      </c>
      <c r="B420" s="3" t="s">
        <v>422</v>
      </c>
      <c r="C420" s="3" t="s">
        <v>430</v>
      </c>
      <c r="D420" s="3"/>
      <c r="E420" s="2" t="str">
        <f>HYPERLINK("https://old.ukr-mobil.com/kabel_baseus_superior_series_fast_charging_data_cable_camys-01_usb_to_micro_usb_2a_1m_black_10002714", "Перейти")</f>
        <v>Перейти</v>
      </c>
      <c r="F420" s="2">
        <v>10002714</v>
      </c>
      <c r="G420" s="4" t="s">
        <v>446</v>
      </c>
      <c r="H420" s="1">
        <v>0</v>
      </c>
      <c r="I420" s="1">
        <v>0</v>
      </c>
      <c r="J420" s="1">
        <v>0</v>
      </c>
      <c r="K420" s="2">
        <v>2.85</v>
      </c>
    </row>
    <row r="421" spans="1:12">
      <c r="A421" s="3" t="s">
        <v>36</v>
      </c>
      <c r="B421" s="3" t="s">
        <v>422</v>
      </c>
      <c r="C421" s="3" t="s">
        <v>430</v>
      </c>
      <c r="D421" s="3"/>
      <c r="E421" s="2" t="str">
        <f>HYPERLINK("https://old.ukr-mobil.com/kabel_baseus_catys-02_usb_to_type-c_66w_1m_white_10001657", "Перейти")</f>
        <v>Перейти</v>
      </c>
      <c r="F421" s="2">
        <v>10001657</v>
      </c>
      <c r="G421" s="4" t="s">
        <v>447</v>
      </c>
      <c r="H421" s="1">
        <v>0</v>
      </c>
      <c r="I421" s="1">
        <v>0</v>
      </c>
      <c r="J421" s="1">
        <v>0</v>
      </c>
      <c r="K421" s="2">
        <v>4.0</v>
      </c>
    </row>
    <row r="422" spans="1:12">
      <c r="A422" s="3" t="s">
        <v>36</v>
      </c>
      <c r="B422" s="3" t="s">
        <v>422</v>
      </c>
      <c r="C422" s="3" t="s">
        <v>430</v>
      </c>
      <c r="D422" s="3"/>
      <c r="E422" s="2" t="str">
        <f>HYPERLINK("https://old.ukr-mobil.com/kabel_baseus_tough_series_cable_camzy-b01_usb_to_micro_usb_2a_1m_black_10001672", "Перейти")</f>
        <v>Перейти</v>
      </c>
      <c r="F422" s="2">
        <v>10001672</v>
      </c>
      <c r="G422" s="4" t="s">
        <v>448</v>
      </c>
      <c r="H422" s="1">
        <v>0</v>
      </c>
      <c r="I422" s="1">
        <v>0</v>
      </c>
      <c r="J422" s="1">
        <v>0</v>
      </c>
      <c r="K422" s="2">
        <v>2.15</v>
      </c>
    </row>
    <row r="423" spans="1:12">
      <c r="A423" s="3" t="s">
        <v>36</v>
      </c>
      <c r="B423" s="3" t="s">
        <v>422</v>
      </c>
      <c r="C423" s="3" t="s">
        <v>430</v>
      </c>
      <c r="D423" s="3"/>
      <c r="E423" s="2" t="str">
        <f>HYPERLINK("https://old.ukr-mobil.com/kabel_baseus_twins_2_in_1_cable_catlyw-h01_type-c_to_type-c_60w_type-c_to_lighting_20w_1m_black_10001662", "Перейти")</f>
        <v>Перейти</v>
      </c>
      <c r="F423" s="2">
        <v>10001662</v>
      </c>
      <c r="G423" s="4" t="s">
        <v>449</v>
      </c>
      <c r="H423" s="1">
        <v>0</v>
      </c>
      <c r="I423" s="1">
        <v>0</v>
      </c>
      <c r="J423" s="1">
        <v>0</v>
      </c>
      <c r="K423" s="2">
        <v>5.5</v>
      </c>
    </row>
    <row r="424" spans="1:12">
      <c r="A424" s="3" t="s">
        <v>36</v>
      </c>
      <c r="B424" s="3" t="s">
        <v>422</v>
      </c>
      <c r="C424" s="3" t="s">
        <v>46</v>
      </c>
      <c r="D424" s="3"/>
      <c r="E424" s="2" t="str">
        <f>HYPERLINK("https://old.ukr-mobil.com/kabel_moxom_mx-cb52_2_4a_1m_lightning_10001591", "Перейти")</f>
        <v>Перейти</v>
      </c>
      <c r="F424" s="2">
        <v>10001591</v>
      </c>
      <c r="G424" s="4" t="s">
        <v>450</v>
      </c>
      <c r="H424" s="1">
        <v>0</v>
      </c>
      <c r="I424" s="1">
        <v>3</v>
      </c>
      <c r="J424" s="1">
        <v>0</v>
      </c>
      <c r="K424" s="2">
        <v>2.25</v>
      </c>
    </row>
    <row r="425" spans="1:12">
      <c r="A425" s="3" t="s">
        <v>36</v>
      </c>
      <c r="B425" s="3" t="s">
        <v>422</v>
      </c>
      <c r="C425" s="3" t="s">
        <v>46</v>
      </c>
      <c r="D425" s="3"/>
      <c r="E425" s="2" t="str">
        <f>HYPERLINK("https://old.ukr-mobil.com/kabel_moxom_mx-cb52_2_4a_1m_micro_usb_10001592", "Перейти")</f>
        <v>Перейти</v>
      </c>
      <c r="F425" s="2">
        <v>10001592</v>
      </c>
      <c r="G425" s="4" t="s">
        <v>451</v>
      </c>
      <c r="H425" s="1">
        <v>0</v>
      </c>
      <c r="I425" s="1">
        <v>0</v>
      </c>
      <c r="J425" s="1">
        <v>0</v>
      </c>
      <c r="K425" s="2">
        <v>2.1</v>
      </c>
    </row>
    <row r="426" spans="1:12">
      <c r="A426" s="3" t="s">
        <v>36</v>
      </c>
      <c r="B426" s="3" t="s">
        <v>422</v>
      </c>
      <c r="C426" s="3" t="s">
        <v>46</v>
      </c>
      <c r="D426" s="3"/>
      <c r="E426" s="2" t="str">
        <f>HYPERLINK("https://old.ukr-mobil.com/kabel_moxom_mx-cb52_2_4a_1m_type-c_10001593", "Перейти")</f>
        <v>Перейти</v>
      </c>
      <c r="F426" s="2">
        <v>10001593</v>
      </c>
      <c r="G426" s="4" t="s">
        <v>452</v>
      </c>
      <c r="H426" s="1">
        <v>0</v>
      </c>
      <c r="I426" s="1">
        <v>0</v>
      </c>
      <c r="J426" s="1">
        <v>0</v>
      </c>
      <c r="K426" s="2">
        <v>2.25</v>
      </c>
    </row>
    <row r="427" spans="1:12">
      <c r="A427" s="3" t="s">
        <v>36</v>
      </c>
      <c r="B427" s="3" t="s">
        <v>422</v>
      </c>
      <c r="C427" s="3" t="s">
        <v>46</v>
      </c>
      <c r="D427" s="3"/>
      <c r="E427" s="2" t="str">
        <f>HYPERLINK("https://old.ukr-mobil.com/kabel_moxom_mx-cb72_led_indikaciya_zaryada_1m_lightning_10001584", "Перейти")</f>
        <v>Перейти</v>
      </c>
      <c r="F427" s="2">
        <v>10001584</v>
      </c>
      <c r="G427" s="4" t="s">
        <v>453</v>
      </c>
      <c r="H427" s="1">
        <v>31</v>
      </c>
      <c r="I427" s="1">
        <v>16</v>
      </c>
      <c r="J427" s="1">
        <v>10</v>
      </c>
      <c r="K427" s="2">
        <v>1.95</v>
      </c>
    </row>
    <row r="428" spans="1:12">
      <c r="A428" s="3" t="s">
        <v>36</v>
      </c>
      <c r="B428" s="3" t="s">
        <v>422</v>
      </c>
      <c r="C428" s="3" t="s">
        <v>46</v>
      </c>
      <c r="D428" s="3"/>
      <c r="E428" s="2" t="str">
        <f>HYPERLINK("https://old.ukr-mobil.com/kabel_moxom_mx-cb72_led_indikaciya_zaryada_1m_micro_usb_10001582", "Перейти")</f>
        <v>Перейти</v>
      </c>
      <c r="F428" s="2">
        <v>10001582</v>
      </c>
      <c r="G428" s="4" t="s">
        <v>454</v>
      </c>
      <c r="H428" s="1">
        <v>0</v>
      </c>
      <c r="I428" s="1">
        <v>0</v>
      </c>
      <c r="J428" s="1">
        <v>0</v>
      </c>
      <c r="K428" s="2">
        <v>1.95</v>
      </c>
    </row>
    <row r="429" spans="1:12">
      <c r="A429" s="3" t="s">
        <v>36</v>
      </c>
      <c r="B429" s="3" t="s">
        <v>422</v>
      </c>
      <c r="C429" s="3" t="s">
        <v>46</v>
      </c>
      <c r="D429" s="3"/>
      <c r="E429" s="2" t="str">
        <f>HYPERLINK("https://old.ukr-mobil.com/kabel_moxom_mx-cb72_led_indikaciya_zaryada_1m_type-c_10001583", "Перейти")</f>
        <v>Перейти</v>
      </c>
      <c r="F429" s="2">
        <v>10001583</v>
      </c>
      <c r="G429" s="4" t="s">
        <v>455</v>
      </c>
      <c r="H429" s="1">
        <v>0</v>
      </c>
      <c r="I429" s="1">
        <v>0</v>
      </c>
      <c r="J429" s="1">
        <v>0</v>
      </c>
      <c r="K429" s="2">
        <v>1.95</v>
      </c>
    </row>
    <row r="430" spans="1:12">
      <c r="A430" s="3" t="s">
        <v>36</v>
      </c>
      <c r="B430" s="3" t="s">
        <v>422</v>
      </c>
      <c r="C430" s="3" t="s">
        <v>46</v>
      </c>
      <c r="D430" s="3"/>
      <c r="E430" s="2" t="str">
        <f>HYPERLINK("https://old.ukr-mobil.com/kabel_moxom_mx-cb73_led_indikaciya_zaryada_1m_lightning_10001585", "Перейти")</f>
        <v>Перейти</v>
      </c>
      <c r="F430" s="2">
        <v>10001585</v>
      </c>
      <c r="G430" s="4" t="s">
        <v>456</v>
      </c>
      <c r="H430" s="1">
        <v>0</v>
      </c>
      <c r="I430" s="1">
        <v>1</v>
      </c>
      <c r="J430" s="1">
        <v>9</v>
      </c>
      <c r="K430" s="2">
        <v>2.6</v>
      </c>
    </row>
    <row r="431" spans="1:12">
      <c r="A431" s="3" t="s">
        <v>36</v>
      </c>
      <c r="B431" s="3" t="s">
        <v>422</v>
      </c>
      <c r="C431" s="3" t="s">
        <v>46</v>
      </c>
      <c r="D431" s="3"/>
      <c r="E431" s="2" t="str">
        <f>HYPERLINK("https://old.ukr-mobil.com/kabel_moxom_mx-cb73_led_indikaciya_zaryada_1m_micro_usb_10001586", "Перейти")</f>
        <v>Перейти</v>
      </c>
      <c r="F431" s="2">
        <v>10001586</v>
      </c>
      <c r="G431" s="4" t="s">
        <v>457</v>
      </c>
      <c r="H431" s="1">
        <v>0</v>
      </c>
      <c r="I431" s="1">
        <v>0</v>
      </c>
      <c r="J431" s="1">
        <v>0</v>
      </c>
      <c r="K431" s="2">
        <v>2.6</v>
      </c>
    </row>
    <row r="432" spans="1:12">
      <c r="A432" s="3" t="s">
        <v>36</v>
      </c>
      <c r="B432" s="3" t="s">
        <v>422</v>
      </c>
      <c r="C432" s="3" t="s">
        <v>46</v>
      </c>
      <c r="D432" s="3"/>
      <c r="E432" s="2" t="str">
        <f>HYPERLINK("https://old.ukr-mobil.com/kabel_moxom_mx-cb73_led_indikaciya_zaryada_1m_type-c_10001587", "Перейти")</f>
        <v>Перейти</v>
      </c>
      <c r="F432" s="2">
        <v>10001587</v>
      </c>
      <c r="G432" s="4" t="s">
        <v>458</v>
      </c>
      <c r="H432" s="1">
        <v>0</v>
      </c>
      <c r="I432" s="1">
        <v>0</v>
      </c>
      <c r="J432" s="1">
        <v>0</v>
      </c>
      <c r="K432" s="2">
        <v>2.6</v>
      </c>
    </row>
    <row r="433" spans="1:12">
      <c r="A433" s="3" t="s">
        <v>36</v>
      </c>
      <c r="B433" s="3" t="s">
        <v>422</v>
      </c>
      <c r="C433" s="3" t="s">
        <v>46</v>
      </c>
      <c r="D433" s="3"/>
      <c r="E433" s="2" t="str">
        <f>HYPERLINK("https://old.ukr-mobil.com/kabel_moxom_mx-cb75_3a_1m_lightning_10001588", "Перейти")</f>
        <v>Перейти</v>
      </c>
      <c r="F433" s="2">
        <v>10001588</v>
      </c>
      <c r="G433" s="4" t="s">
        <v>459</v>
      </c>
      <c r="H433" s="1">
        <v>0</v>
      </c>
      <c r="I433" s="1">
        <v>0</v>
      </c>
      <c r="J433" s="1">
        <v>0</v>
      </c>
      <c r="K433" s="2">
        <v>2.9</v>
      </c>
    </row>
    <row r="434" spans="1:12">
      <c r="A434" s="3" t="s">
        <v>36</v>
      </c>
      <c r="B434" s="3" t="s">
        <v>422</v>
      </c>
      <c r="C434" s="3" t="s">
        <v>46</v>
      </c>
      <c r="D434" s="3"/>
      <c r="E434" s="2" t="str">
        <f>HYPERLINK("https://old.ukr-mobil.com/kabel_moxom_mx-cb75_3a_1m_micro_usb_10001589", "Перейти")</f>
        <v>Перейти</v>
      </c>
      <c r="F434" s="2">
        <v>10001589</v>
      </c>
      <c r="G434" s="4" t="s">
        <v>460</v>
      </c>
      <c r="H434" s="1">
        <v>0</v>
      </c>
      <c r="I434" s="1">
        <v>0</v>
      </c>
      <c r="J434" s="1">
        <v>0</v>
      </c>
      <c r="K434" s="2">
        <v>2.85</v>
      </c>
    </row>
    <row r="435" spans="1:12">
      <c r="A435" s="3" t="s">
        <v>36</v>
      </c>
      <c r="B435" s="3" t="s">
        <v>422</v>
      </c>
      <c r="C435" s="3" t="s">
        <v>46</v>
      </c>
      <c r="D435" s="3"/>
      <c r="E435" s="2" t="str">
        <f>HYPERLINK("https://old.ukr-mobil.com/kabel_moxom_mx-cb75_3a_1m_type-c_10001590", "Перейти")</f>
        <v>Перейти</v>
      </c>
      <c r="F435" s="2">
        <v>10001590</v>
      </c>
      <c r="G435" s="4" t="s">
        <v>461</v>
      </c>
      <c r="H435" s="1">
        <v>0</v>
      </c>
      <c r="I435" s="1">
        <v>0</v>
      </c>
      <c r="J435" s="1">
        <v>0</v>
      </c>
      <c r="K435" s="2">
        <v>3.0</v>
      </c>
    </row>
    <row r="436" spans="1:12">
      <c r="A436" s="3" t="s">
        <v>36</v>
      </c>
      <c r="B436" s="3" t="s">
        <v>422</v>
      </c>
      <c r="C436" s="3" t="s">
        <v>46</v>
      </c>
      <c r="D436" s="3"/>
      <c r="E436" s="2" t="str">
        <f>HYPERLINK("https://old.ukr-mobil.com/kabel_moxom_mx-cb77_power_delivery_3_0_20w_1m_usb-c_to_lightning_10001594", "Перейти")</f>
        <v>Перейти</v>
      </c>
      <c r="F436" s="2">
        <v>10001594</v>
      </c>
      <c r="G436" s="4" t="s">
        <v>462</v>
      </c>
      <c r="H436" s="1">
        <v>42</v>
      </c>
      <c r="I436" s="1">
        <v>48</v>
      </c>
      <c r="J436" s="1">
        <v>43</v>
      </c>
      <c r="K436" s="2">
        <v>2.0</v>
      </c>
    </row>
    <row r="437" spans="1:12">
      <c r="A437" s="3" t="s">
        <v>36</v>
      </c>
      <c r="B437" s="3" t="s">
        <v>422</v>
      </c>
      <c r="C437" s="3" t="s">
        <v>46</v>
      </c>
      <c r="D437" s="3"/>
      <c r="E437" s="2" t="str">
        <f>HYPERLINK("https://old.ukr-mobil.com/perekhodnik_razvetvitel_moxom_mx-ax18_lightning_to_2_lightning_10001652", "Перейти")</f>
        <v>Перейти</v>
      </c>
      <c r="F437" s="2">
        <v>10001652</v>
      </c>
      <c r="G437" s="4" t="s">
        <v>463</v>
      </c>
      <c r="H437" s="1">
        <v>0</v>
      </c>
      <c r="I437" s="1">
        <v>0</v>
      </c>
      <c r="J437" s="1">
        <v>0</v>
      </c>
      <c r="K437" s="2">
        <v>2.0</v>
      </c>
    </row>
    <row r="438" spans="1:12">
      <c r="A438" s="3" t="s">
        <v>36</v>
      </c>
      <c r="B438" s="3" t="s">
        <v>464</v>
      </c>
      <c r="C438" s="3" t="s">
        <v>430</v>
      </c>
      <c r="D438" s="3"/>
      <c r="E438" s="2" t="str">
        <f>HYPERLINK("https://old.ukr-mobil.com/poverbank_umb_baseus_adaman_metal_quick_charge_ppad000001_10000_mah_22_5w_3a_2usb_type-c_lighting_micro-usb_black_10002553", "Перейти")</f>
        <v>Перейти</v>
      </c>
      <c r="F438" s="2">
        <v>10002553</v>
      </c>
      <c r="G438" s="4" t="s">
        <v>465</v>
      </c>
      <c r="H438" s="1">
        <v>0</v>
      </c>
      <c r="I438" s="1">
        <v>0</v>
      </c>
      <c r="J438" s="1">
        <v>0</v>
      </c>
      <c r="K438" s="2">
        <v>27.0</v>
      </c>
    </row>
    <row r="439" spans="1:12">
      <c r="A439" s="3" t="s">
        <v>36</v>
      </c>
      <c r="B439" s="3" t="s">
        <v>464</v>
      </c>
      <c r="C439" s="3" t="s">
        <v>430</v>
      </c>
      <c r="D439" s="3"/>
      <c r="E439" s="2" t="str">
        <f>HYPERLINK("https://old.ukr-mobil.com/poverbank_umb_baseus_adaman_metal_quick_charge_ppad000101_20000_mah_22_5w_3a_2usb_type-c_lighting_micro-usb_black_10002554", "Перейти")</f>
        <v>Перейти</v>
      </c>
      <c r="F439" s="2">
        <v>10002554</v>
      </c>
      <c r="G439" s="4" t="s">
        <v>466</v>
      </c>
      <c r="H439" s="1">
        <v>0</v>
      </c>
      <c r="I439" s="1">
        <v>0</v>
      </c>
      <c r="J439" s="1">
        <v>0</v>
      </c>
      <c r="K439" s="2">
        <v>29.0</v>
      </c>
    </row>
    <row r="440" spans="1:12">
      <c r="A440" s="3" t="s">
        <v>36</v>
      </c>
      <c r="B440" s="3" t="s">
        <v>464</v>
      </c>
      <c r="C440" s="3" t="s">
        <v>430</v>
      </c>
      <c r="D440" s="3"/>
      <c r="E440" s="2" t="str">
        <f>HYPERLINK("https://old.ukr-mobil.com/poverbank_umb_baseus_airpow_ppap20k_20000_mah_20w_white_10002938", "Перейти")</f>
        <v>Перейти</v>
      </c>
      <c r="F440" s="2">
        <v>10002938</v>
      </c>
      <c r="G440" s="4" t="s">
        <v>467</v>
      </c>
      <c r="H440" s="1">
        <v>0</v>
      </c>
      <c r="I440" s="1">
        <v>0</v>
      </c>
      <c r="J440" s="1">
        <v>0</v>
      </c>
      <c r="K440" s="2">
        <v>40.0</v>
      </c>
    </row>
    <row r="441" spans="1:12">
      <c r="A441" s="3" t="s">
        <v>36</v>
      </c>
      <c r="B441" s="3" t="s">
        <v>464</v>
      </c>
      <c r="C441" s="3" t="s">
        <v>430</v>
      </c>
      <c r="D441" s="3"/>
      <c r="E441" s="2" t="str">
        <f>HYPERLINK("https://old.ukr-mobil.com/poverbank_umb_baseus_amblight_digital_display_quick_charge_pplg-a01_30000_mah_65w_v_komplekte_kabel_type-c_type-c_black_10003456", "Перейти")</f>
        <v>Перейти</v>
      </c>
      <c r="F441" s="2">
        <v>10003456</v>
      </c>
      <c r="G441" s="4" t="s">
        <v>468</v>
      </c>
      <c r="H441" s="1">
        <v>0</v>
      </c>
      <c r="I441" s="1">
        <v>0</v>
      </c>
      <c r="J441" s="1">
        <v>0</v>
      </c>
      <c r="K441" s="2">
        <v>62.0</v>
      </c>
    </row>
    <row r="442" spans="1:12">
      <c r="A442" s="3" t="s">
        <v>36</v>
      </c>
      <c r="B442" s="3" t="s">
        <v>464</v>
      </c>
      <c r="C442" s="3" t="s">
        <v>430</v>
      </c>
      <c r="D442" s="3"/>
      <c r="E442" s="2" t="str">
        <f>HYPERLINK("https://old.ukr-mobil.com/poverbank_umb_baseus_amblight_digital_display_quick_charge_pplg-a02_30000_mah_65w_v_komplekte_kabel_type-c_type-c_white_10003457", "Перейти")</f>
        <v>Перейти</v>
      </c>
      <c r="F442" s="2">
        <v>10003457</v>
      </c>
      <c r="G442" s="4" t="s">
        <v>469</v>
      </c>
      <c r="H442" s="1">
        <v>263</v>
      </c>
      <c r="I442" s="1">
        <v>29</v>
      </c>
      <c r="J442" s="1">
        <v>41</v>
      </c>
      <c r="K442" s="2">
        <v>42.0</v>
      </c>
    </row>
    <row r="443" spans="1:12">
      <c r="A443" s="3" t="s">
        <v>36</v>
      </c>
      <c r="B443" s="3" t="s">
        <v>464</v>
      </c>
      <c r="C443" s="3" t="s">
        <v>430</v>
      </c>
      <c r="D443" s="3"/>
      <c r="E443" s="2" t="str">
        <f>HYPERLINK("https://old.ukr-mobil.com/index.php?route=product&amp;product_id=10005784", "Перейти")</f>
        <v>Перейти</v>
      </c>
      <c r="F443" s="2">
        <v>10005784</v>
      </c>
      <c r="G443" s="4" t="s">
        <v>470</v>
      </c>
      <c r="H443" s="1">
        <v>0</v>
      </c>
      <c r="I443" s="1">
        <v>0</v>
      </c>
      <c r="J443" s="1">
        <v>3</v>
      </c>
      <c r="K443" s="2">
        <v>28.0</v>
      </c>
    </row>
    <row r="444" spans="1:12">
      <c r="A444" s="3" t="s">
        <v>36</v>
      </c>
      <c r="B444" s="3" t="s">
        <v>464</v>
      </c>
      <c r="C444" s="3" t="s">
        <v>430</v>
      </c>
      <c r="D444" s="3"/>
      <c r="E444" s="2" t="str">
        <f>HYPERLINK("https://old.ukr-mobil.com/poverbank_umb_baseus_bipow_digital_display_ppdml-i02_10000_mah_15w_3a_2usb_type-c_white_10002543", "Перейти")</f>
        <v>Перейти</v>
      </c>
      <c r="F444" s="2">
        <v>10002543</v>
      </c>
      <c r="G444" s="4" t="s">
        <v>471</v>
      </c>
      <c r="H444" s="1">
        <v>0</v>
      </c>
      <c r="I444" s="1">
        <v>0</v>
      </c>
      <c r="J444" s="1">
        <v>0</v>
      </c>
      <c r="K444" s="2">
        <v>26.5</v>
      </c>
    </row>
    <row r="445" spans="1:12">
      <c r="A445" s="3" t="s">
        <v>36</v>
      </c>
      <c r="B445" s="3" t="s">
        <v>464</v>
      </c>
      <c r="C445" s="3" t="s">
        <v>430</v>
      </c>
      <c r="D445" s="3"/>
      <c r="E445" s="2" t="str">
        <f>HYPERLINK("https://old.ukr-mobil.com/poverbank_umb_baseus_bipow_digital_display_ppdml-j02_20000_mah_15w_3a_2usb_type-c_white_10002542", "Перейти")</f>
        <v>Перейти</v>
      </c>
      <c r="F445" s="2">
        <v>10002542</v>
      </c>
      <c r="G445" s="4" t="s">
        <v>472</v>
      </c>
      <c r="H445" s="1">
        <v>0</v>
      </c>
      <c r="I445" s="1">
        <v>0</v>
      </c>
      <c r="J445" s="1">
        <v>0</v>
      </c>
      <c r="K445" s="2">
        <v>28.0</v>
      </c>
    </row>
    <row r="446" spans="1:12">
      <c r="A446" s="3" t="s">
        <v>36</v>
      </c>
      <c r="B446" s="3" t="s">
        <v>464</v>
      </c>
      <c r="C446" s="3" t="s">
        <v>430</v>
      </c>
      <c r="D446" s="3"/>
      <c r="E446" s="2" t="str">
        <f>HYPERLINK("https://old.ukr-mobil.com/poverbank_umb_baseus_bipow_digital_display_ppdml-k01_30000_mah_15w_3a_2usb_type-c_black_10002547", "Перейти")</f>
        <v>Перейти</v>
      </c>
      <c r="F446" s="2">
        <v>10002547</v>
      </c>
      <c r="G446" s="4" t="s">
        <v>473</v>
      </c>
      <c r="H446" s="1">
        <v>0</v>
      </c>
      <c r="I446" s="1">
        <v>0</v>
      </c>
      <c r="J446" s="1">
        <v>0</v>
      </c>
      <c r="K446" s="2">
        <v>55.0</v>
      </c>
    </row>
    <row r="447" spans="1:12">
      <c r="A447" s="3" t="s">
        <v>36</v>
      </c>
      <c r="B447" s="3" t="s">
        <v>464</v>
      </c>
      <c r="C447" s="3" t="s">
        <v>430</v>
      </c>
      <c r="D447" s="3"/>
      <c r="E447" s="2" t="str">
        <f>HYPERLINK("https://old.ukr-mobil.com/poverbank_umb_baseus_bipow_digital_display_ppdml-k02_30000_mah_15w_3a_2usb_type-c_white_10002544", "Перейти")</f>
        <v>Перейти</v>
      </c>
      <c r="F447" s="2">
        <v>10002544</v>
      </c>
      <c r="G447" s="4" t="s">
        <v>474</v>
      </c>
      <c r="H447" s="1">
        <v>0</v>
      </c>
      <c r="I447" s="1">
        <v>0</v>
      </c>
      <c r="J447" s="1">
        <v>0</v>
      </c>
      <c r="K447" s="2">
        <v>37.0</v>
      </c>
    </row>
    <row r="448" spans="1:12">
      <c r="A448" s="3" t="s">
        <v>36</v>
      </c>
      <c r="B448" s="3" t="s">
        <v>464</v>
      </c>
      <c r="C448" s="3" t="s">
        <v>430</v>
      </c>
      <c r="D448" s="3"/>
      <c r="E448" s="2" t="str">
        <f>HYPERLINK("https://old.ukr-mobil.com/poverbank_umb_baseus_bipow_digital_display_ppdml-m01_20000_mah_20w_3a_2usb_type-c_black_10002545", "Перейти")</f>
        <v>Перейти</v>
      </c>
      <c r="F448" s="2">
        <v>10002545</v>
      </c>
      <c r="G448" s="4" t="s">
        <v>475</v>
      </c>
      <c r="H448" s="1">
        <v>0</v>
      </c>
      <c r="I448" s="1">
        <v>0</v>
      </c>
      <c r="J448" s="1">
        <v>0</v>
      </c>
      <c r="K448" s="2">
        <v>26.0</v>
      </c>
    </row>
    <row r="449" spans="1:12">
      <c r="A449" s="3" t="s">
        <v>36</v>
      </c>
      <c r="B449" s="3" t="s">
        <v>464</v>
      </c>
      <c r="C449" s="3" t="s">
        <v>430</v>
      </c>
      <c r="D449" s="3"/>
      <c r="E449" s="2" t="str">
        <f>HYPERLINK("https://old.ukr-mobil.com/poverbank_umb_baseus_bipow_digital_display_ppdml-m02_20000_mah_20w_3a_2usb_type-c_white_10002548", "Перейти")</f>
        <v>Перейти</v>
      </c>
      <c r="F449" s="2">
        <v>10002548</v>
      </c>
      <c r="G449" s="4" t="s">
        <v>476</v>
      </c>
      <c r="H449" s="1">
        <v>0</v>
      </c>
      <c r="I449" s="1">
        <v>0</v>
      </c>
      <c r="J449" s="1">
        <v>0</v>
      </c>
      <c r="K449" s="2">
        <v>28.0</v>
      </c>
    </row>
    <row r="450" spans="1:12">
      <c r="A450" s="3" t="s">
        <v>36</v>
      </c>
      <c r="B450" s="3" t="s">
        <v>464</v>
      </c>
      <c r="C450" s="3" t="s">
        <v>430</v>
      </c>
      <c r="D450" s="3"/>
      <c r="E450" s="2" t="str">
        <f>HYPERLINK("https://old.ukr-mobil.com/poverbank_umb_baseus_bipow_digital_display_ppdml-n01_30000_mah_20w_3a_2usb_type-c_black_10002546", "Перейти")</f>
        <v>Перейти</v>
      </c>
      <c r="F450" s="2">
        <v>10002546</v>
      </c>
      <c r="G450" s="4" t="s">
        <v>477</v>
      </c>
      <c r="H450" s="1">
        <v>270</v>
      </c>
      <c r="I450" s="1">
        <v>30</v>
      </c>
      <c r="J450" s="1">
        <v>0</v>
      </c>
      <c r="K450" s="2">
        <v>34.0</v>
      </c>
    </row>
    <row r="451" spans="1:12">
      <c r="A451" s="3" t="s">
        <v>36</v>
      </c>
      <c r="B451" s="3" t="s">
        <v>464</v>
      </c>
      <c r="C451" s="3" t="s">
        <v>430</v>
      </c>
      <c r="D451" s="3"/>
      <c r="E451" s="2" t="str">
        <f>HYPERLINK("https://old.ukr-mobil.com/poverbank_umb_baseus_magnetic_wireless_fast_charging_ppcx010102_10000_mah_20w_2_4a_1usb_type-c_white_10002549", "Перейти")</f>
        <v>Перейти</v>
      </c>
      <c r="F451" s="2">
        <v>10002549</v>
      </c>
      <c r="G451" s="4" t="s">
        <v>478</v>
      </c>
      <c r="H451" s="1">
        <v>0</v>
      </c>
      <c r="I451" s="1">
        <v>0</v>
      </c>
      <c r="J451" s="1">
        <v>0</v>
      </c>
      <c r="K451" s="2">
        <v>42.0</v>
      </c>
    </row>
    <row r="452" spans="1:12">
      <c r="A452" s="3" t="s">
        <v>36</v>
      </c>
      <c r="B452" s="3" t="s">
        <v>464</v>
      </c>
      <c r="C452" s="3" t="s">
        <v>430</v>
      </c>
      <c r="D452" s="3"/>
      <c r="E452" s="2" t="str">
        <f>HYPERLINK("https://old.ukr-mobil.com/poverbank_umb_baseus_magnetic_wireless_fast_charging_ppcx010103_10000_mah_20w_2_4a_1usb_type-c_blue_10002550", "Перейти")</f>
        <v>Перейти</v>
      </c>
      <c r="F452" s="2">
        <v>10002550</v>
      </c>
      <c r="G452" s="4" t="s">
        <v>479</v>
      </c>
      <c r="H452" s="1">
        <v>0</v>
      </c>
      <c r="I452" s="1">
        <v>0</v>
      </c>
      <c r="J452" s="1">
        <v>0</v>
      </c>
      <c r="K452" s="2">
        <v>44.0</v>
      </c>
    </row>
    <row r="453" spans="1:12">
      <c r="A453" s="3" t="s">
        <v>36</v>
      </c>
      <c r="B453" s="3" t="s">
        <v>464</v>
      </c>
      <c r="C453" s="3" t="s">
        <v>430</v>
      </c>
      <c r="D453" s="3"/>
      <c r="E453" s="2" t="str">
        <f>HYPERLINK("https://old.ukr-mobil.com/poverbank_umb_baseus_magnetic_wireless_fast_charging_ppcx010105_10000_mah_20w_2_4a_1usb_type-c_purple_10002551", "Перейти")</f>
        <v>Перейти</v>
      </c>
      <c r="F453" s="2">
        <v>10002551</v>
      </c>
      <c r="G453" s="4" t="s">
        <v>480</v>
      </c>
      <c r="H453" s="1">
        <v>0</v>
      </c>
      <c r="I453" s="1">
        <v>0</v>
      </c>
      <c r="J453" s="1">
        <v>0</v>
      </c>
      <c r="K453" s="2">
        <v>44.0</v>
      </c>
    </row>
    <row r="454" spans="1:12">
      <c r="A454" s="3" t="s">
        <v>36</v>
      </c>
      <c r="B454" s="3" t="s">
        <v>464</v>
      </c>
      <c r="C454" s="3" t="s">
        <v>430</v>
      </c>
      <c r="D454" s="3"/>
      <c r="E454" s="2" t="str">
        <f>HYPERLINK("https://old.ukr-mobil.com/poverbank_umb_baseus_mini_ja_fast_charge_ppjan-c01_30000_mah_15w_3a_2usb_type-c_black_10002683", "Перейти")</f>
        <v>Перейти</v>
      </c>
      <c r="F454" s="2">
        <v>10002683</v>
      </c>
      <c r="G454" s="4" t="s">
        <v>481</v>
      </c>
      <c r="H454" s="1">
        <v>0</v>
      </c>
      <c r="I454" s="1">
        <v>0</v>
      </c>
      <c r="J454" s="1">
        <v>0</v>
      </c>
      <c r="K454" s="2">
        <v>33.0</v>
      </c>
    </row>
    <row r="455" spans="1:12">
      <c r="A455" s="3" t="s">
        <v>36</v>
      </c>
      <c r="B455" s="3" t="s">
        <v>464</v>
      </c>
      <c r="C455" s="3" t="s">
        <v>430</v>
      </c>
      <c r="D455" s="3"/>
      <c r="E455" s="2" t="str">
        <f>HYPERLINK("https://old.ukr-mobil.com/index.php?route=product&amp;product_id=10005785", "Перейти")</f>
        <v>Перейти</v>
      </c>
      <c r="F455" s="2">
        <v>10005785</v>
      </c>
      <c r="G455" s="4" t="s">
        <v>482</v>
      </c>
      <c r="H455" s="1">
        <v>0</v>
      </c>
      <c r="I455" s="1">
        <v>12</v>
      </c>
      <c r="J455" s="1">
        <v>0</v>
      </c>
      <c r="K455" s="2">
        <v>28.0</v>
      </c>
    </row>
    <row r="456" spans="1:12">
      <c r="A456" s="3" t="s">
        <v>36</v>
      </c>
      <c r="B456" s="3" t="s">
        <v>464</v>
      </c>
      <c r="C456" s="3" t="s">
        <v>483</v>
      </c>
      <c r="D456" s="3"/>
      <c r="E456" s="2" t="str">
        <f>HYPERLINK("https://old.ukr-mobil.com/index.php?route=product&amp;product_id=10005783", "Перейти")</f>
        <v>Перейти</v>
      </c>
      <c r="F456" s="2">
        <v>10005783</v>
      </c>
      <c r="G456" s="4" t="s">
        <v>484</v>
      </c>
      <c r="H456" s="1">
        <v>0</v>
      </c>
      <c r="I456" s="1">
        <v>0</v>
      </c>
      <c r="J456" s="1">
        <v>1</v>
      </c>
      <c r="K456" s="2">
        <v>15.0</v>
      </c>
    </row>
    <row r="457" spans="1:12">
      <c r="A457" s="3" t="s">
        <v>36</v>
      </c>
      <c r="B457" s="3" t="s">
        <v>464</v>
      </c>
      <c r="C457" s="3" t="s">
        <v>483</v>
      </c>
      <c r="D457" s="3"/>
      <c r="E457" s="2" t="str">
        <f>HYPERLINK("https://old.ukr-mobil.com/poverbank_umb_xo_pr122_20000_mah_2usb_type-c_black_10002973", "Перейти")</f>
        <v>Перейти</v>
      </c>
      <c r="F457" s="2">
        <v>10002973</v>
      </c>
      <c r="G457" s="4" t="s">
        <v>485</v>
      </c>
      <c r="H457" s="1">
        <v>0</v>
      </c>
      <c r="I457" s="1">
        <v>0</v>
      </c>
      <c r="J457" s="1">
        <v>0</v>
      </c>
      <c r="K457" s="2">
        <v>16.0</v>
      </c>
    </row>
    <row r="458" spans="1:12">
      <c r="A458" s="3" t="s">
        <v>36</v>
      </c>
      <c r="B458" s="3" t="s">
        <v>464</v>
      </c>
      <c r="C458" s="3" t="s">
        <v>483</v>
      </c>
      <c r="D458" s="3"/>
      <c r="E458" s="2" t="str">
        <f>HYPERLINK("https://old.ukr-mobil.com/poverbank_umb_xo_pr123_30000_mah_4usb_type-c_quick_charge_power_delivery_22_5w_s_fonarikom_black_10003002", "Перейти")</f>
        <v>Перейти</v>
      </c>
      <c r="F458" s="2">
        <v>10003002</v>
      </c>
      <c r="G458" s="4" t="s">
        <v>486</v>
      </c>
      <c r="H458" s="1">
        <v>1</v>
      </c>
      <c r="I458" s="1">
        <v>3</v>
      </c>
      <c r="J458" s="1">
        <v>0</v>
      </c>
      <c r="K458" s="2">
        <v>24.0</v>
      </c>
    </row>
    <row r="459" spans="1:12">
      <c r="A459" s="3" t="s">
        <v>36</v>
      </c>
      <c r="B459" s="3" t="s">
        <v>464</v>
      </c>
      <c r="C459" s="3" t="s">
        <v>483</v>
      </c>
      <c r="D459" s="3"/>
      <c r="E459" s="2" t="str">
        <f>HYPERLINK("https://old.ukr-mobil.com/poverbank_umb_xo_pr124_40000_mah_4usb_type-c_s_fonarikom_black_10002960", "Перейти")</f>
        <v>Перейти</v>
      </c>
      <c r="F459" s="2">
        <v>10002960</v>
      </c>
      <c r="G459" s="4" t="s">
        <v>487</v>
      </c>
      <c r="H459" s="1">
        <v>1</v>
      </c>
      <c r="I459" s="1">
        <v>0</v>
      </c>
      <c r="J459" s="1">
        <v>0</v>
      </c>
      <c r="K459" s="2">
        <v>26.0</v>
      </c>
    </row>
    <row r="460" spans="1:12">
      <c r="A460" s="3" t="s">
        <v>36</v>
      </c>
      <c r="B460" s="3" t="s">
        <v>464</v>
      </c>
      <c r="C460" s="3" t="s">
        <v>483</v>
      </c>
      <c r="D460" s="3"/>
      <c r="E460" s="2" t="str">
        <f>HYPERLINK("https://old.ukr-mobil.com/poverbank_umb_xo_pr125_50000_mah_4usb_type-c_185_wh_s_fonarikom_black_10003001", "Перейти")</f>
        <v>Перейти</v>
      </c>
      <c r="F460" s="2">
        <v>10003001</v>
      </c>
      <c r="G460" s="4" t="s">
        <v>488</v>
      </c>
      <c r="H460" s="1">
        <v>0</v>
      </c>
      <c r="I460" s="1">
        <v>0</v>
      </c>
      <c r="J460" s="1">
        <v>0</v>
      </c>
      <c r="K460" s="2">
        <v>31.0</v>
      </c>
    </row>
    <row r="461" spans="1:12">
      <c r="A461" s="3" t="s">
        <v>36</v>
      </c>
      <c r="B461" s="3" t="s">
        <v>464</v>
      </c>
      <c r="C461" s="3" t="s">
        <v>483</v>
      </c>
      <c r="D461" s="3"/>
      <c r="E461" s="2" t="str">
        <f>HYPERLINK("https://old.ukr-mobil.com/poverbank_umb_xo_pr127_20000_mah_2usb_type-c_quick_charge_power_delivery_22_5w_black_10002992", "Перейти")</f>
        <v>Перейти</v>
      </c>
      <c r="F461" s="2">
        <v>10002992</v>
      </c>
      <c r="G461" s="4" t="s">
        <v>489</v>
      </c>
      <c r="H461" s="1">
        <v>0</v>
      </c>
      <c r="I461" s="1">
        <v>0</v>
      </c>
      <c r="J461" s="1">
        <v>0</v>
      </c>
      <c r="K461" s="2">
        <v>17.0</v>
      </c>
    </row>
    <row r="462" spans="1:12">
      <c r="A462" s="3" t="s">
        <v>36</v>
      </c>
      <c r="B462" s="3" t="s">
        <v>464</v>
      </c>
      <c r="C462" s="3" t="s">
        <v>483</v>
      </c>
      <c r="D462" s="3"/>
      <c r="E462" s="2" t="str">
        <f>HYPERLINK("https://old.ukr-mobil.com/poverbank_umb_xo_pr127_20000_mah_2usb_type-c_quick_charge_power_delivery_22_5w_white_10002993", "Перейти")</f>
        <v>Перейти</v>
      </c>
      <c r="F462" s="2">
        <v>10002993</v>
      </c>
      <c r="G462" s="4" t="s">
        <v>490</v>
      </c>
      <c r="H462" s="1">
        <v>0</v>
      </c>
      <c r="I462" s="1">
        <v>0</v>
      </c>
      <c r="J462" s="1">
        <v>0</v>
      </c>
      <c r="K462" s="2">
        <v>17.0</v>
      </c>
    </row>
    <row r="463" spans="1:12">
      <c r="A463" s="3" t="s">
        <v>36</v>
      </c>
      <c r="B463" s="3" t="s">
        <v>464</v>
      </c>
      <c r="C463" s="3" t="s">
        <v>483</v>
      </c>
      <c r="D463" s="3"/>
      <c r="E463" s="2" t="str">
        <f>HYPERLINK("https://old.ukr-mobil.com/poverbank_umb_xo_pr129_20000_mah_2usb_type-c_quick_charge_power_delivery_22_5w_s_fonarikom_black_10002990", "Перейти")</f>
        <v>Перейти</v>
      </c>
      <c r="F463" s="2">
        <v>10002990</v>
      </c>
      <c r="G463" s="4" t="s">
        <v>491</v>
      </c>
      <c r="H463" s="1">
        <v>0</v>
      </c>
      <c r="I463" s="1">
        <v>0</v>
      </c>
      <c r="J463" s="1">
        <v>0</v>
      </c>
      <c r="K463" s="2">
        <v>17.0</v>
      </c>
    </row>
    <row r="464" spans="1:12">
      <c r="A464" s="3" t="s">
        <v>36</v>
      </c>
      <c r="B464" s="3" t="s">
        <v>464</v>
      </c>
      <c r="C464" s="3" t="s">
        <v>483</v>
      </c>
      <c r="D464" s="3"/>
      <c r="E464" s="2" t="str">
        <f>HYPERLINK("https://old.ukr-mobil.com/poverbank_umb_xo_pr129_20000_mah_2usb_type-c_quick_charge_power_delivery_22_5w_s_fonarikom_white_10002991", "Перейти")</f>
        <v>Перейти</v>
      </c>
      <c r="F464" s="2">
        <v>10002991</v>
      </c>
      <c r="G464" s="4" t="s">
        <v>492</v>
      </c>
      <c r="H464" s="1">
        <v>0</v>
      </c>
      <c r="I464" s="1">
        <v>0</v>
      </c>
      <c r="J464" s="1">
        <v>0</v>
      </c>
      <c r="K464" s="2">
        <v>17.0</v>
      </c>
    </row>
    <row r="465" spans="1:12">
      <c r="A465" s="3" t="s">
        <v>36</v>
      </c>
      <c r="B465" s="3" t="s">
        <v>464</v>
      </c>
      <c r="C465" s="3" t="s">
        <v>483</v>
      </c>
      <c r="D465" s="3"/>
      <c r="E465" s="2" t="str">
        <f>HYPERLINK("https://old.ukr-mobil.com/poverbank_umb_xo_pr130_40000_mah_2usb_type-c_quick_charge_power_delivery_22_5w_s_fonarikom_black_10002989", "Перейти")</f>
        <v>Перейти</v>
      </c>
      <c r="F465" s="2">
        <v>10002989</v>
      </c>
      <c r="G465" s="4" t="s">
        <v>493</v>
      </c>
      <c r="H465" s="1">
        <v>0</v>
      </c>
      <c r="I465" s="1">
        <v>0</v>
      </c>
      <c r="J465" s="1">
        <v>0</v>
      </c>
      <c r="K465" s="2">
        <v>30.0</v>
      </c>
    </row>
    <row r="466" spans="1:12">
      <c r="A466" s="3" t="s">
        <v>36</v>
      </c>
      <c r="B466" s="3" t="s">
        <v>464</v>
      </c>
      <c r="C466" s="3" t="s">
        <v>483</v>
      </c>
      <c r="D466" s="3"/>
      <c r="E466" s="2" t="str">
        <f>HYPERLINK("https://old.ukr-mobil.com/poverbank_umb_xo_pr142_30000_mah_2usb_type-c_micro_usb_s_fonarikom_s_kabelyami_type-c_micro_usb_lighting_black_10003000", "Перейти")</f>
        <v>Перейти</v>
      </c>
      <c r="F466" s="2">
        <v>10003000</v>
      </c>
      <c r="G466" s="4" t="s">
        <v>494</v>
      </c>
      <c r="H466" s="1">
        <v>0</v>
      </c>
      <c r="I466" s="1">
        <v>0</v>
      </c>
      <c r="J466" s="1">
        <v>0</v>
      </c>
      <c r="K466" s="2">
        <v>25.0</v>
      </c>
    </row>
    <row r="467" spans="1:12">
      <c r="A467" s="3" t="s">
        <v>36</v>
      </c>
      <c r="B467" s="3" t="s">
        <v>464</v>
      </c>
      <c r="C467" s="3" t="s">
        <v>483</v>
      </c>
      <c r="D467" s="3"/>
      <c r="E467" s="2" t="str">
        <f>HYPERLINK("https://old.ukr-mobil.com/poverbank_umb_xo_pr143_10000_mah_usb_type-c_pd_20w_qc_3_0_22_5w_white_10004494", "Перейти")</f>
        <v>Перейти</v>
      </c>
      <c r="F467" s="2">
        <v>10004494</v>
      </c>
      <c r="G467" s="4" t="s">
        <v>495</v>
      </c>
      <c r="H467" s="1">
        <v>45</v>
      </c>
      <c r="I467" s="1">
        <v>13</v>
      </c>
      <c r="J467" s="1">
        <v>9</v>
      </c>
      <c r="K467" s="2">
        <v>11.5</v>
      </c>
    </row>
    <row r="468" spans="1:12">
      <c r="A468" s="3" t="s">
        <v>36</v>
      </c>
      <c r="B468" s="3" t="s">
        <v>464</v>
      </c>
      <c r="C468" s="3" t="s">
        <v>483</v>
      </c>
      <c r="D468" s="3"/>
      <c r="E468" s="2" t="str">
        <f>HYPERLINK("https://old.ukr-mobil.com/poverbank_umb_xo_pr150_20000_mah_usb_type-c_quick_charge_18w_power_delivery_20w_black_10002987", "Перейти")</f>
        <v>Перейти</v>
      </c>
      <c r="F468" s="2">
        <v>10002987</v>
      </c>
      <c r="G468" s="4" t="s">
        <v>496</v>
      </c>
      <c r="H468" s="1">
        <v>0</v>
      </c>
      <c r="I468" s="1">
        <v>0</v>
      </c>
      <c r="J468" s="1">
        <v>0</v>
      </c>
      <c r="K468" s="2">
        <v>16.0</v>
      </c>
    </row>
    <row r="469" spans="1:12">
      <c r="A469" s="3" t="s">
        <v>36</v>
      </c>
      <c r="B469" s="3" t="s">
        <v>464</v>
      </c>
      <c r="C469" s="3" t="s">
        <v>483</v>
      </c>
      <c r="D469" s="3"/>
      <c r="E469" s="2" t="str">
        <f>HYPERLINK("https://old.ukr-mobil.com/poverbank_umb_xo_pr150_20000_mah_usb_type-c_quick_charge_18w_power_delivery_20w_white_10002988", "Перейти")</f>
        <v>Перейти</v>
      </c>
      <c r="F469" s="2">
        <v>10002988</v>
      </c>
      <c r="G469" s="4" t="s">
        <v>497</v>
      </c>
      <c r="H469" s="1">
        <v>0</v>
      </c>
      <c r="I469" s="1">
        <v>0</v>
      </c>
      <c r="J469" s="1">
        <v>0</v>
      </c>
      <c r="K469" s="2">
        <v>16.0</v>
      </c>
    </row>
    <row r="470" spans="1:12">
      <c r="A470" s="3" t="s">
        <v>36</v>
      </c>
      <c r="B470" s="3" t="s">
        <v>464</v>
      </c>
      <c r="C470" s="3" t="s">
        <v>483</v>
      </c>
      <c r="D470" s="3"/>
      <c r="E470" s="2" t="str">
        <f>HYPERLINK("https://old.ukr-mobil.com/poverbank_umb_xo_pr151_2_sht_po_10000_mah_zaryadnaya_stanciya_usb_type-c_white_10004495", "Перейти")</f>
        <v>Перейти</v>
      </c>
      <c r="F470" s="2">
        <v>10004495</v>
      </c>
      <c r="G470" s="4" t="s">
        <v>498</v>
      </c>
      <c r="H470" s="1">
        <v>63</v>
      </c>
      <c r="I470" s="1">
        <v>14</v>
      </c>
      <c r="J470" s="1">
        <v>8</v>
      </c>
      <c r="K470" s="2">
        <v>36.0</v>
      </c>
    </row>
    <row r="471" spans="1:12">
      <c r="A471" s="3" t="s">
        <v>36</v>
      </c>
      <c r="B471" s="3" t="s">
        <v>464</v>
      </c>
      <c r="C471" s="3" t="s">
        <v>483</v>
      </c>
      <c r="D471" s="3"/>
      <c r="E471" s="2" t="str">
        <f>HYPERLINK("https://old.ukr-mobil.com/poverbank_umb_xo_pr156_30000_mah_3usb_type-c_lighting_quick_charge_power_delivery_22_5w_black_10003003", "Перейти")</f>
        <v>Перейти</v>
      </c>
      <c r="F471" s="2">
        <v>10003003</v>
      </c>
      <c r="G471" s="4" t="s">
        <v>499</v>
      </c>
      <c r="H471" s="1">
        <v>0</v>
      </c>
      <c r="I471" s="1">
        <v>0</v>
      </c>
      <c r="J471" s="1">
        <v>0</v>
      </c>
      <c r="K471" s="2">
        <v>26.0</v>
      </c>
    </row>
    <row r="472" spans="1:12">
      <c r="A472" s="3" t="s">
        <v>36</v>
      </c>
      <c r="B472" s="3" t="s">
        <v>464</v>
      </c>
      <c r="C472" s="3" t="s">
        <v>483</v>
      </c>
      <c r="D472" s="3"/>
      <c r="E472" s="2" t="str">
        <f>HYPERLINK("https://old.ukr-mobil.com/poverbank_umb_xo_pr163_20000_mah_2usb_type-c_micro_usb_s_fonarikom_s_kabelyami_type-c_micro_usb_lighting_black_10002996", "Перейти")</f>
        <v>Перейти</v>
      </c>
      <c r="F472" s="2">
        <v>10002996</v>
      </c>
      <c r="G472" s="4" t="s">
        <v>500</v>
      </c>
      <c r="H472" s="1">
        <v>0</v>
      </c>
      <c r="I472" s="1">
        <v>0</v>
      </c>
      <c r="J472" s="1">
        <v>0</v>
      </c>
      <c r="K472" s="2">
        <v>15.0</v>
      </c>
    </row>
    <row r="473" spans="1:12">
      <c r="A473" s="3" t="s">
        <v>36</v>
      </c>
      <c r="B473" s="3" t="s">
        <v>464</v>
      </c>
      <c r="C473" s="3" t="s">
        <v>483</v>
      </c>
      <c r="D473" s="3"/>
      <c r="E473" s="2" t="str">
        <f>HYPERLINK("https://old.ukr-mobil.com/poverbank_umb_xo_pr163_20000_mah_2usb_type-c_micro_usb_s_fonarikom_s_kabelyami_type-c_micro_usb_lighting_white_10002997", "Перейти")</f>
        <v>Перейти</v>
      </c>
      <c r="F473" s="2">
        <v>10002997</v>
      </c>
      <c r="G473" s="4" t="s">
        <v>501</v>
      </c>
      <c r="H473" s="1">
        <v>0</v>
      </c>
      <c r="I473" s="1">
        <v>0</v>
      </c>
      <c r="J473" s="1">
        <v>0</v>
      </c>
      <c r="K473" s="2">
        <v>15.0</v>
      </c>
    </row>
    <row r="474" spans="1:12">
      <c r="A474" s="3" t="s">
        <v>36</v>
      </c>
      <c r="B474" s="3" t="s">
        <v>464</v>
      </c>
      <c r="C474" s="3" t="s">
        <v>483</v>
      </c>
      <c r="D474" s="3"/>
      <c r="E474" s="2" t="str">
        <f>HYPERLINK("https://old.ukr-mobil.com/poverbank_umb_xo_pr164_30000_mah_2usb_type-c_micro_usb_s_fonarikom_s_kabelyami_type-c_micro_usb_lighting_black_10002998", "Перейти")</f>
        <v>Перейти</v>
      </c>
      <c r="F474" s="2">
        <v>10002998</v>
      </c>
      <c r="G474" s="4" t="s">
        <v>502</v>
      </c>
      <c r="H474" s="1">
        <v>0</v>
      </c>
      <c r="I474" s="1">
        <v>0</v>
      </c>
      <c r="J474" s="1">
        <v>26</v>
      </c>
      <c r="K474" s="2">
        <v>22.0</v>
      </c>
    </row>
    <row r="475" spans="1:12">
      <c r="A475" s="3" t="s">
        <v>36</v>
      </c>
      <c r="B475" s="3" t="s">
        <v>464</v>
      </c>
      <c r="C475" s="3" t="s">
        <v>483</v>
      </c>
      <c r="D475" s="3"/>
      <c r="E475" s="2" t="str">
        <f>HYPERLINK("https://old.ukr-mobil.com/poverbank_umb_xo_pr164_30000_mah_2usb_type-c_micro_usb_s_fonarikom_s_kabelyami_type-c_micro_usb_lighting_white_10002999", "Перейти")</f>
        <v>Перейти</v>
      </c>
      <c r="F475" s="2">
        <v>10002999</v>
      </c>
      <c r="G475" s="4" t="s">
        <v>503</v>
      </c>
      <c r="H475" s="1">
        <v>43</v>
      </c>
      <c r="I475" s="1">
        <v>4</v>
      </c>
      <c r="J475" s="1">
        <v>4</v>
      </c>
      <c r="K475" s="2">
        <v>22.0</v>
      </c>
    </row>
    <row r="476" spans="1:12">
      <c r="A476" s="3" t="s">
        <v>36</v>
      </c>
      <c r="B476" s="3" t="s">
        <v>464</v>
      </c>
      <c r="C476" s="3" t="s">
        <v>483</v>
      </c>
      <c r="D476" s="3"/>
      <c r="E476" s="2" t="str">
        <f>HYPERLINK("https://old.ukr-mobil.com/poverbank_umb_xo_pr183_20000_mah_2usb_type-c_black_10002995", "Перейти")</f>
        <v>Перейти</v>
      </c>
      <c r="F476" s="2">
        <v>10002995</v>
      </c>
      <c r="G476" s="4" t="s">
        <v>504</v>
      </c>
      <c r="H476" s="1">
        <v>0</v>
      </c>
      <c r="I476" s="1">
        <v>0</v>
      </c>
      <c r="J476" s="1">
        <v>0</v>
      </c>
      <c r="K476" s="2">
        <v>14.0</v>
      </c>
    </row>
    <row r="477" spans="1:12">
      <c r="A477" s="3" t="s">
        <v>36</v>
      </c>
      <c r="B477" s="3" t="s">
        <v>464</v>
      </c>
      <c r="C477" s="3" t="s">
        <v>483</v>
      </c>
      <c r="D477" s="3"/>
      <c r="E477" s="2" t="str">
        <f>HYPERLINK("https://old.ukr-mobil.com/poverbank_umb_xo_pr183_20000_mah_2usb_type-c_white_10002994", "Перейти")</f>
        <v>Перейти</v>
      </c>
      <c r="F477" s="2">
        <v>10002994</v>
      </c>
      <c r="G477" s="4" t="s">
        <v>505</v>
      </c>
      <c r="H477" s="1">
        <v>0</v>
      </c>
      <c r="I477" s="1">
        <v>0</v>
      </c>
      <c r="J477" s="1">
        <v>0</v>
      </c>
      <c r="K477" s="2">
        <v>14.0</v>
      </c>
    </row>
    <row r="478" spans="1:12">
      <c r="A478" s="3" t="s">
        <v>36</v>
      </c>
      <c r="B478" s="3" t="s">
        <v>464</v>
      </c>
      <c r="C478" s="3" t="s">
        <v>483</v>
      </c>
      <c r="D478" s="3"/>
      <c r="E478" s="2" t="str">
        <f>HYPERLINK("https://old.ukr-mobil.com/index.php?route=product&amp;product_id=10005749", "Перейти")</f>
        <v>Перейти</v>
      </c>
      <c r="F478" s="2">
        <v>10005749</v>
      </c>
      <c r="G478" s="4" t="s">
        <v>506</v>
      </c>
      <c r="H478" s="1">
        <v>13</v>
      </c>
      <c r="I478" s="1">
        <v>9</v>
      </c>
      <c r="J478" s="1">
        <v>1</v>
      </c>
      <c r="K478" s="2">
        <v>18.0</v>
      </c>
    </row>
    <row r="479" spans="1:12">
      <c r="A479" s="3" t="s">
        <v>36</v>
      </c>
      <c r="B479" s="3" t="s">
        <v>507</v>
      </c>
      <c r="C479" s="3" t="s">
        <v>54</v>
      </c>
      <c r="D479" s="3"/>
      <c r="E479" s="2" t="str">
        <f>HYPERLINK("https://old.ukr-mobil.com/setevoe_zaryadnoe_ustrojstvo_apple_usb-c_power_adapter_20w_original_prc_10001406", "Перейти")</f>
        <v>Перейти</v>
      </c>
      <c r="F479" s="2">
        <v>10001406</v>
      </c>
      <c r="G479" s="4" t="s">
        <v>508</v>
      </c>
      <c r="H479" s="1">
        <v>0</v>
      </c>
      <c r="I479" s="1">
        <v>0</v>
      </c>
      <c r="J479" s="1">
        <v>0</v>
      </c>
      <c r="K479" s="2">
        <v>12.0</v>
      </c>
    </row>
    <row r="480" spans="1:12">
      <c r="A480" s="3" t="s">
        <v>36</v>
      </c>
      <c r="B480" s="3" t="s">
        <v>507</v>
      </c>
      <c r="C480" s="3" t="s">
        <v>430</v>
      </c>
      <c r="D480" s="3"/>
      <c r="E480" s="2" t="str">
        <f>HYPERLINK("https://old.ukr-mobil.com/setevoe_zaryadnoe_ustrojstvo_baseus_compact_charger_ccxj010201_10_5w_2xusb-a_black_10003446", "Перейти")</f>
        <v>Перейти</v>
      </c>
      <c r="F480" s="2">
        <v>10003446</v>
      </c>
      <c r="G480" s="4" t="s">
        <v>509</v>
      </c>
      <c r="H480" s="1">
        <v>0</v>
      </c>
      <c r="I480" s="1">
        <v>0</v>
      </c>
      <c r="J480" s="1">
        <v>0</v>
      </c>
      <c r="K480" s="2">
        <v>3.3</v>
      </c>
    </row>
    <row r="481" spans="1:12">
      <c r="A481" s="3" t="s">
        <v>36</v>
      </c>
      <c r="B481" s="3" t="s">
        <v>507</v>
      </c>
      <c r="C481" s="3" t="s">
        <v>430</v>
      </c>
      <c r="D481" s="3"/>
      <c r="E481" s="2" t="str">
        <f>HYPERLINK("https://old.ukr-mobil.com/setevoe_zaryadnoe_ustrojstvo_baseus_compact_charger_ccxj010202_10_5w_2xusb-a_white_10003445", "Перейти")</f>
        <v>Перейти</v>
      </c>
      <c r="F481" s="2">
        <v>10003445</v>
      </c>
      <c r="G481" s="4" t="s">
        <v>510</v>
      </c>
      <c r="H481" s="1">
        <v>0</v>
      </c>
      <c r="I481" s="1">
        <v>0</v>
      </c>
      <c r="J481" s="1">
        <v>0</v>
      </c>
      <c r="K481" s="2">
        <v>3.3</v>
      </c>
    </row>
    <row r="482" spans="1:12">
      <c r="A482" s="3" t="s">
        <v>36</v>
      </c>
      <c r="B482" s="3" t="s">
        <v>507</v>
      </c>
      <c r="C482" s="3" t="s">
        <v>430</v>
      </c>
      <c r="D482" s="3"/>
      <c r="E482" s="2" t="str">
        <f>HYPERLINK("https://old.ukr-mobil.com/setevoe_zaryadnoe_ustrojstvo_baseus_compact_charger_ccxj020101_17w_3xusb-a_black_10003447", "Перейти")</f>
        <v>Перейти</v>
      </c>
      <c r="F482" s="2">
        <v>10003447</v>
      </c>
      <c r="G482" s="4" t="s">
        <v>511</v>
      </c>
      <c r="H482" s="1">
        <v>0</v>
      </c>
      <c r="I482" s="1">
        <v>0</v>
      </c>
      <c r="J482" s="1">
        <v>0</v>
      </c>
      <c r="K482" s="2">
        <v>5.5</v>
      </c>
    </row>
    <row r="483" spans="1:12">
      <c r="A483" s="3" t="s">
        <v>36</v>
      </c>
      <c r="B483" s="3" t="s">
        <v>507</v>
      </c>
      <c r="C483" s="3" t="s">
        <v>430</v>
      </c>
      <c r="D483" s="3"/>
      <c r="E483" s="2" t="str">
        <f>HYPERLINK("https://old.ukr-mobil.com/setevoe_zaryadnoe_ustrojstvo_baseus_compact_charger_ccxj020102_17w_3xusb-a_white_10003448", "Перейти")</f>
        <v>Перейти</v>
      </c>
      <c r="F483" s="2">
        <v>10003448</v>
      </c>
      <c r="G483" s="4" t="s">
        <v>512</v>
      </c>
      <c r="H483" s="1">
        <v>0</v>
      </c>
      <c r="I483" s="1">
        <v>0</v>
      </c>
      <c r="J483" s="1">
        <v>0</v>
      </c>
      <c r="K483" s="2">
        <v>5.5</v>
      </c>
    </row>
    <row r="484" spans="1:12">
      <c r="A484" s="3" t="s">
        <v>36</v>
      </c>
      <c r="B484" s="3" t="s">
        <v>507</v>
      </c>
      <c r="C484" s="3" t="s">
        <v>430</v>
      </c>
      <c r="D484" s="3"/>
      <c r="E484" s="2" t="str">
        <f>HYPERLINK("https://old.ukr-mobil.com/setevoe_zaryadnoe_ustrojstvo_baseus_compact_quick_charger_ccxj-b01_20w_1xusb-a_1xtype-c_black_10003462", "Перейти")</f>
        <v>Перейти</v>
      </c>
      <c r="F484" s="2">
        <v>10003462</v>
      </c>
      <c r="G484" s="4" t="s">
        <v>513</v>
      </c>
      <c r="H484" s="1">
        <v>0</v>
      </c>
      <c r="I484" s="1">
        <v>0</v>
      </c>
      <c r="J484" s="1">
        <v>0</v>
      </c>
      <c r="K484" s="2">
        <v>7.5</v>
      </c>
    </row>
    <row r="485" spans="1:12">
      <c r="A485" s="3" t="s">
        <v>36</v>
      </c>
      <c r="B485" s="3" t="s">
        <v>507</v>
      </c>
      <c r="C485" s="3" t="s">
        <v>430</v>
      </c>
      <c r="D485" s="3"/>
      <c r="E485" s="2" t="str">
        <f>HYPERLINK("https://old.ukr-mobil.com/setevoe_zaryadnoe_ustrojstvo_baseus_compact_quick_charger_ccxj-b02_20w_1xusb-a_1xtype-c_white_10003461", "Перейти")</f>
        <v>Перейти</v>
      </c>
      <c r="F485" s="2">
        <v>10003461</v>
      </c>
      <c r="G485" s="4" t="s">
        <v>514</v>
      </c>
      <c r="H485" s="1">
        <v>0</v>
      </c>
      <c r="I485" s="1">
        <v>0</v>
      </c>
      <c r="J485" s="1">
        <v>0</v>
      </c>
      <c r="K485" s="2">
        <v>7.5</v>
      </c>
    </row>
    <row r="486" spans="1:12">
      <c r="A486" s="3" t="s">
        <v>36</v>
      </c>
      <c r="B486" s="3" t="s">
        <v>507</v>
      </c>
      <c r="C486" s="3" t="s">
        <v>430</v>
      </c>
      <c r="D486" s="3"/>
      <c r="E486" s="2" t="str">
        <f>HYPERLINK("https://old.ukr-mobil.com/setevoe_zaryadnoe_ustrojstvo_baseus_fast_charger_ccxj-e01_30w_2xusb-a_1xtype-c_black_10003444", "Перейти")</f>
        <v>Перейти</v>
      </c>
      <c r="F486" s="2">
        <v>10003444</v>
      </c>
      <c r="G486" s="4" t="s">
        <v>515</v>
      </c>
      <c r="H486" s="1">
        <v>0</v>
      </c>
      <c r="I486" s="1">
        <v>0</v>
      </c>
      <c r="J486" s="1">
        <v>0</v>
      </c>
      <c r="K486" s="2">
        <v>9.5</v>
      </c>
    </row>
    <row r="487" spans="1:12">
      <c r="A487" s="3" t="s">
        <v>36</v>
      </c>
      <c r="B487" s="3" t="s">
        <v>507</v>
      </c>
      <c r="C487" s="3" t="s">
        <v>430</v>
      </c>
      <c r="D487" s="3"/>
      <c r="E487" s="2" t="str">
        <f>HYPERLINK("https://old.ukr-mobil.com/setevoe_zaryadnoe_ustrojstvo_baseus_fast_charger_ccxj-e02_30w_2xusb-a_1xtype-c_white_10003443", "Перейти")</f>
        <v>Перейти</v>
      </c>
      <c r="F487" s="2">
        <v>10003443</v>
      </c>
      <c r="G487" s="4" t="s">
        <v>516</v>
      </c>
      <c r="H487" s="1">
        <v>0</v>
      </c>
      <c r="I487" s="1">
        <v>0</v>
      </c>
      <c r="J487" s="1">
        <v>0</v>
      </c>
      <c r="K487" s="2">
        <v>9.5</v>
      </c>
    </row>
    <row r="488" spans="1:12">
      <c r="A488" s="3" t="s">
        <v>36</v>
      </c>
      <c r="B488" s="3" t="s">
        <v>507</v>
      </c>
      <c r="C488" s="3" t="s">
        <v>430</v>
      </c>
      <c r="D488" s="3"/>
      <c r="E488" s="2" t="str">
        <f>HYPERLINK("https://old.ukr-mobil.com/setevoe_zaryadnoe_ustrojstvo_baseus_gan2_lite_quick_charger_ccgan2l-b01_65w_type-c_usb_black_10001669", "Перейти")</f>
        <v>Перейти</v>
      </c>
      <c r="F488" s="2">
        <v>10001669</v>
      </c>
      <c r="G488" s="4" t="s">
        <v>517</v>
      </c>
      <c r="H488" s="1">
        <v>0</v>
      </c>
      <c r="I488" s="1">
        <v>0</v>
      </c>
      <c r="J488" s="1">
        <v>0</v>
      </c>
      <c r="K488" s="2">
        <v>22.0</v>
      </c>
    </row>
    <row r="489" spans="1:12">
      <c r="A489" s="3" t="s">
        <v>36</v>
      </c>
      <c r="B489" s="3" t="s">
        <v>507</v>
      </c>
      <c r="C489" s="3" t="s">
        <v>430</v>
      </c>
      <c r="D489" s="3"/>
      <c r="E489" s="2" t="str">
        <f>HYPERLINK("https://old.ukr-mobil.com/setevoe_zaryadnoe_ustrojstvo_baseus_gan2_lite_quick_charger_ccgan2l-b02_65w_type-c_usb_white_10001668", "Перейти")</f>
        <v>Перейти</v>
      </c>
      <c r="F489" s="2">
        <v>10001668</v>
      </c>
      <c r="G489" s="4" t="s">
        <v>518</v>
      </c>
      <c r="H489" s="1">
        <v>0</v>
      </c>
      <c r="I489" s="1">
        <v>0</v>
      </c>
      <c r="J489" s="1">
        <v>0</v>
      </c>
      <c r="K489" s="2">
        <v>22.0</v>
      </c>
    </row>
    <row r="490" spans="1:12">
      <c r="A490" s="3" t="s">
        <v>36</v>
      </c>
      <c r="B490" s="3" t="s">
        <v>507</v>
      </c>
      <c r="C490" s="3" t="s">
        <v>430</v>
      </c>
      <c r="D490" s="3"/>
      <c r="E490" s="2" t="str">
        <f>HYPERLINK("https://old.ukr-mobil.com/setevoe_zaryadnoe_ustrojstvo_baseus_gan2_pro_quick_charger_ccgan-j01_120w_2_type-c_usb_v_komplekte_kabel_type-c_black_10001653", "Перейти")</f>
        <v>Перейти</v>
      </c>
      <c r="F490" s="2">
        <v>10001653</v>
      </c>
      <c r="G490" s="4" t="s">
        <v>519</v>
      </c>
      <c r="H490" s="1">
        <v>0</v>
      </c>
      <c r="I490" s="1">
        <v>0</v>
      </c>
      <c r="J490" s="1">
        <v>0</v>
      </c>
      <c r="K490" s="2">
        <v>49.0</v>
      </c>
    </row>
    <row r="491" spans="1:12">
      <c r="A491" s="3" t="s">
        <v>36</v>
      </c>
      <c r="B491" s="3" t="s">
        <v>507</v>
      </c>
      <c r="C491" s="3" t="s">
        <v>430</v>
      </c>
      <c r="D491" s="3"/>
      <c r="E491" s="2" t="str">
        <f>HYPERLINK("https://old.ukr-mobil.com/setevoe_zaryadnoe_ustrojstvo_baseus_gan2_pro_quick_charger_ccgan-j02_120w_2_type-c_usb_v_komplekte_kabel_type-c_white_10001656", "Перейти")</f>
        <v>Перейти</v>
      </c>
      <c r="F491" s="2">
        <v>10001656</v>
      </c>
      <c r="G491" s="4" t="s">
        <v>520</v>
      </c>
      <c r="H491" s="1">
        <v>0</v>
      </c>
      <c r="I491" s="1">
        <v>0</v>
      </c>
      <c r="J491" s="1">
        <v>0</v>
      </c>
      <c r="K491" s="2">
        <v>49.0</v>
      </c>
    </row>
    <row r="492" spans="1:12">
      <c r="A492" s="3" t="s">
        <v>36</v>
      </c>
      <c r="B492" s="3" t="s">
        <v>507</v>
      </c>
      <c r="C492" s="3" t="s">
        <v>430</v>
      </c>
      <c r="D492" s="3"/>
      <c r="E492" s="2" t="str">
        <f>HYPERLINK("https://old.ukr-mobil.com/setevoe_zaryadnoe_ustrojstvo_baseus_gan3_pro_desktop_fast_charger_ccgp000101_100w_2xusb-a_2xtype-c_black_10003460", "Перейти")</f>
        <v>Перейти</v>
      </c>
      <c r="F492" s="2">
        <v>10003460</v>
      </c>
      <c r="G492" s="4" t="s">
        <v>521</v>
      </c>
      <c r="H492" s="1">
        <v>0</v>
      </c>
      <c r="I492" s="1">
        <v>0</v>
      </c>
      <c r="J492" s="1">
        <v>0</v>
      </c>
      <c r="K492" s="2">
        <v>36.0</v>
      </c>
    </row>
    <row r="493" spans="1:12">
      <c r="A493" s="3" t="s">
        <v>36</v>
      </c>
      <c r="B493" s="3" t="s">
        <v>507</v>
      </c>
      <c r="C493" s="3" t="s">
        <v>430</v>
      </c>
      <c r="D493" s="3"/>
      <c r="E493" s="2" t="str">
        <f>HYPERLINK("https://old.ukr-mobil.com/setevoe_zaryadnoe_ustrojstvo_baseus_gan5_pro_fast_charger_ccgp090201_100w_v_komplekte_kabel_type-c_x_type-c_100w_20v_5a_dlya_macbook_black_10003464", "Перейти")</f>
        <v>Перейти</v>
      </c>
      <c r="F493" s="2">
        <v>10003464</v>
      </c>
      <c r="G493" s="4" t="s">
        <v>522</v>
      </c>
      <c r="H493" s="1">
        <v>0</v>
      </c>
      <c r="I493" s="1">
        <v>0</v>
      </c>
      <c r="J493" s="1">
        <v>3</v>
      </c>
      <c r="K493" s="2">
        <v>34.0</v>
      </c>
    </row>
    <row r="494" spans="1:12">
      <c r="A494" s="3" t="s">
        <v>36</v>
      </c>
      <c r="B494" s="3" t="s">
        <v>507</v>
      </c>
      <c r="C494" s="3" t="s">
        <v>430</v>
      </c>
      <c r="D494" s="3"/>
      <c r="E494" s="2" t="str">
        <f>HYPERLINK("https://old.ukr-mobil.com/setevoe_zaryadnoe_ustrojstvo_baseus_gan5_pro_fast_charger_ccgp090202_100w_v_komplekte_kabel_type-c_x_type-c_100w_20v_5a_dlya_macbook_white_10003463", "Перейти")</f>
        <v>Перейти</v>
      </c>
      <c r="F494" s="2">
        <v>10003463</v>
      </c>
      <c r="G494" s="4" t="s">
        <v>523</v>
      </c>
      <c r="H494" s="1">
        <v>15</v>
      </c>
      <c r="I494" s="1">
        <v>4</v>
      </c>
      <c r="J494" s="1">
        <v>5</v>
      </c>
      <c r="K494" s="2">
        <v>34.0</v>
      </c>
    </row>
    <row r="495" spans="1:12">
      <c r="A495" s="3" t="s">
        <v>36</v>
      </c>
      <c r="B495" s="3" t="s">
        <v>507</v>
      </c>
      <c r="C495" s="3" t="s">
        <v>430</v>
      </c>
      <c r="D495" s="3"/>
      <c r="E495" s="2" t="str">
        <f>HYPERLINK("https://old.ukr-mobil.com/setevoe_zaryadnoe_ustrojstvo_baseus_gan5_pro_fast_charger_ccgp100201_140w_v_komplekte_kabel_type-c_x_type-c_240w_48v_5a_dlya_macbook_black_10003458", "Перейти")</f>
        <v>Перейти</v>
      </c>
      <c r="F495" s="2">
        <v>10003458</v>
      </c>
      <c r="G495" s="4" t="s">
        <v>524</v>
      </c>
      <c r="H495" s="1">
        <v>0</v>
      </c>
      <c r="I495" s="1">
        <v>0</v>
      </c>
      <c r="J495" s="1">
        <v>0</v>
      </c>
      <c r="K495" s="2">
        <v>54.0</v>
      </c>
    </row>
    <row r="496" spans="1:12">
      <c r="A496" s="3" t="s">
        <v>36</v>
      </c>
      <c r="B496" s="3" t="s">
        <v>507</v>
      </c>
      <c r="C496" s="3" t="s">
        <v>430</v>
      </c>
      <c r="D496" s="3"/>
      <c r="E496" s="2" t="str">
        <f>HYPERLINK("https://old.ukr-mobil.com/setevoe_zaryadnoe_ustrojstvo_baseus_gan5_pro_fast_charger_ccgp100202_140w_v_komplekte_kabel_type-c_x_type-c_240w_48v_5a_dlya_macbook_white_10003459", "Перейти")</f>
        <v>Перейти</v>
      </c>
      <c r="F496" s="2">
        <v>10003459</v>
      </c>
      <c r="G496" s="4" t="s">
        <v>525</v>
      </c>
      <c r="H496" s="1">
        <v>7</v>
      </c>
      <c r="I496" s="1">
        <v>4</v>
      </c>
      <c r="J496" s="1">
        <v>4</v>
      </c>
      <c r="K496" s="2">
        <v>54.0</v>
      </c>
    </row>
    <row r="497" spans="1:12">
      <c r="A497" s="3" t="s">
        <v>36</v>
      </c>
      <c r="B497" s="3" t="s">
        <v>507</v>
      </c>
      <c r="C497" s="3" t="s">
        <v>430</v>
      </c>
      <c r="D497" s="3"/>
      <c r="E497" s="2" t="str">
        <f>HYPERLINK("https://old.ukr-mobil.com/setevoe_zaryadnoe_ustrojstvo_baseus_gan5_pro_fast_charger_ccgp120201_65w_1xusb-a_2xtype-c_v_komplekte_kabel_type-c_type-c_black_10003441", "Перейти")</f>
        <v>Перейти</v>
      </c>
      <c r="F497" s="2">
        <v>10003441</v>
      </c>
      <c r="G497" s="4" t="s">
        <v>526</v>
      </c>
      <c r="H497" s="1">
        <v>0</v>
      </c>
      <c r="I497" s="1">
        <v>0</v>
      </c>
      <c r="J497" s="1">
        <v>0</v>
      </c>
      <c r="K497" s="2">
        <v>24.0</v>
      </c>
    </row>
    <row r="498" spans="1:12">
      <c r="A498" s="3" t="s">
        <v>36</v>
      </c>
      <c r="B498" s="3" t="s">
        <v>507</v>
      </c>
      <c r="C498" s="3" t="s">
        <v>430</v>
      </c>
      <c r="D498" s="3"/>
      <c r="E498" s="2" t="str">
        <f>HYPERLINK("https://old.ukr-mobil.com/setevoe_zaryadnoe_ustrojstvo_baseus_gan5_pro_fast_charger_ccgp120202_65w_1xusb-a_2xtype-c_v_komplekte_kabel_type-c_type-c_white_10003442", "Перейти")</f>
        <v>Перейти</v>
      </c>
      <c r="F498" s="2">
        <v>10003442</v>
      </c>
      <c r="G498" s="4" t="s">
        <v>527</v>
      </c>
      <c r="H498" s="1">
        <v>0</v>
      </c>
      <c r="I498" s="1">
        <v>0</v>
      </c>
      <c r="J498" s="1">
        <v>0</v>
      </c>
      <c r="K498" s="2">
        <v>24.0</v>
      </c>
    </row>
    <row r="499" spans="1:12">
      <c r="A499" s="3" t="s">
        <v>36</v>
      </c>
      <c r="B499" s="3" t="s">
        <v>507</v>
      </c>
      <c r="C499" s="3" t="s">
        <v>430</v>
      </c>
      <c r="D499" s="3"/>
      <c r="E499" s="2" t="str">
        <f>HYPERLINK("https://old.ukr-mobil.com/setevoe_zaryadnoe_ustrojstvo_baseus_mini_dual-u_charger_ccall-mn02_2_1a_10_5w_2_usb_white_10001655", "Перейти")</f>
        <v>Перейти</v>
      </c>
      <c r="F499" s="2">
        <v>10001655</v>
      </c>
      <c r="G499" s="4" t="s">
        <v>528</v>
      </c>
      <c r="H499" s="1">
        <v>0</v>
      </c>
      <c r="I499" s="1">
        <v>0</v>
      </c>
      <c r="J499" s="1">
        <v>0</v>
      </c>
      <c r="K499" s="2">
        <v>3.5</v>
      </c>
    </row>
    <row r="500" spans="1:12">
      <c r="A500" s="3" t="s">
        <v>36</v>
      </c>
      <c r="B500" s="3" t="s">
        <v>507</v>
      </c>
      <c r="C500" s="3" t="s">
        <v>430</v>
      </c>
      <c r="D500" s="3"/>
      <c r="E500" s="2" t="str">
        <f>HYPERLINK("https://old.ukr-mobil.com/setevoe_zaryadnoe_ustrojstvo_baseus_speed_dual_qc3_0_quick_charger_ccfs-e01_30w_2_usb_black_10001670", "Перейти")</f>
        <v>Перейти</v>
      </c>
      <c r="F500" s="2">
        <v>10001670</v>
      </c>
      <c r="G500" s="4" t="s">
        <v>529</v>
      </c>
      <c r="H500" s="1">
        <v>0</v>
      </c>
      <c r="I500" s="1">
        <v>0</v>
      </c>
      <c r="J500" s="1">
        <v>0</v>
      </c>
      <c r="K500" s="2">
        <v>15.0</v>
      </c>
    </row>
    <row r="501" spans="1:12">
      <c r="A501" s="3" t="s">
        <v>36</v>
      </c>
      <c r="B501" s="3" t="s">
        <v>507</v>
      </c>
      <c r="C501" s="3" t="s">
        <v>430</v>
      </c>
      <c r="D501" s="3"/>
      <c r="E501" s="2" t="str">
        <f>HYPERLINK("https://old.ukr-mobil.com/setevoe_zaryadnoe_ustrojstvo_baseus_super_si_quick_charger_ccsp020101_25w_1xtype-c_black_10003467", "Перейти")</f>
        <v>Перейти</v>
      </c>
      <c r="F501" s="2">
        <v>10003467</v>
      </c>
      <c r="G501" s="4" t="s">
        <v>530</v>
      </c>
      <c r="H501" s="1">
        <v>0</v>
      </c>
      <c r="I501" s="1">
        <v>0</v>
      </c>
      <c r="J501" s="1">
        <v>0</v>
      </c>
      <c r="K501" s="2">
        <v>8.0</v>
      </c>
    </row>
    <row r="502" spans="1:12">
      <c r="A502" s="3" t="s">
        <v>36</v>
      </c>
      <c r="B502" s="3" t="s">
        <v>507</v>
      </c>
      <c r="C502" s="3" t="s">
        <v>430</v>
      </c>
      <c r="D502" s="3"/>
      <c r="E502" s="2" t="str">
        <f>HYPERLINK("https://old.ukr-mobil.com/setevoe_zaryadnoe_ustrojstvo_baseus_super_si_quick_charger_ccsup-b01_20w_type-c_black_10001654", "Перейти")</f>
        <v>Перейти</v>
      </c>
      <c r="F502" s="2">
        <v>10001654</v>
      </c>
      <c r="G502" s="4" t="s">
        <v>531</v>
      </c>
      <c r="H502" s="1">
        <v>0</v>
      </c>
      <c r="I502" s="1">
        <v>0</v>
      </c>
      <c r="J502" s="1">
        <v>0</v>
      </c>
      <c r="K502" s="2">
        <v>8.5</v>
      </c>
    </row>
    <row r="503" spans="1:12">
      <c r="A503" s="3" t="s">
        <v>36</v>
      </c>
      <c r="B503" s="3" t="s">
        <v>507</v>
      </c>
      <c r="C503" s="3" t="s">
        <v>46</v>
      </c>
      <c r="D503" s="3"/>
      <c r="E503" s="2" t="str">
        <f>HYPERLINK("https://old.ukr-mobil.com/setevoe_zaryadnoe_ustrojstvo_moxom_kh-31y_lightning_qc_3_0_v_komplekte_kabel_lightning_10001571", "Перейти")</f>
        <v>Перейти</v>
      </c>
      <c r="F503" s="2">
        <v>10001571</v>
      </c>
      <c r="G503" s="4" t="s">
        <v>532</v>
      </c>
      <c r="H503" s="1">
        <v>22</v>
      </c>
      <c r="I503" s="1">
        <v>8</v>
      </c>
      <c r="J503" s="1">
        <v>21</v>
      </c>
      <c r="K503" s="2">
        <v>5.0</v>
      </c>
    </row>
    <row r="504" spans="1:12">
      <c r="A504" s="3" t="s">
        <v>36</v>
      </c>
      <c r="B504" s="3" t="s">
        <v>507</v>
      </c>
      <c r="C504" s="3" t="s">
        <v>46</v>
      </c>
      <c r="D504" s="3"/>
      <c r="E504" s="2" t="str">
        <f>HYPERLINK("https://old.ukr-mobil.com/setevoe_zaryadnoe_ustrojstvo_moxom_kh-31y_micro_usb_qc_3_0_v_komplekte_kabel_micro_usb_10001570", "Перейти")</f>
        <v>Перейти</v>
      </c>
      <c r="F504" s="2">
        <v>10001570</v>
      </c>
      <c r="G504" s="4" t="s">
        <v>533</v>
      </c>
      <c r="H504" s="1">
        <v>28</v>
      </c>
      <c r="I504" s="1">
        <v>0</v>
      </c>
      <c r="J504" s="1">
        <v>16</v>
      </c>
      <c r="K504" s="2">
        <v>5.0</v>
      </c>
    </row>
    <row r="505" spans="1:12">
      <c r="A505" s="3" t="s">
        <v>36</v>
      </c>
      <c r="B505" s="3" t="s">
        <v>507</v>
      </c>
      <c r="C505" s="3" t="s">
        <v>46</v>
      </c>
      <c r="D505" s="3"/>
      <c r="E505" s="2" t="str">
        <f>HYPERLINK("https://old.ukr-mobil.com/setevoe_zaryadnoe_ustrojstvo_moxom_kh-31y_type-c_qc_3_0_v_komplekte_kabel_type-c_10001572", "Перейти")</f>
        <v>Перейти</v>
      </c>
      <c r="F505" s="2">
        <v>10001572</v>
      </c>
      <c r="G505" s="4" t="s">
        <v>534</v>
      </c>
      <c r="H505" s="1">
        <v>12</v>
      </c>
      <c r="I505" s="1">
        <v>3</v>
      </c>
      <c r="J505" s="1">
        <v>9</v>
      </c>
      <c r="K505" s="2">
        <v>5.0</v>
      </c>
    </row>
    <row r="506" spans="1:12">
      <c r="A506" s="3" t="s">
        <v>36</v>
      </c>
      <c r="B506" s="3" t="s">
        <v>507</v>
      </c>
      <c r="C506" s="3" t="s">
        <v>46</v>
      </c>
      <c r="D506" s="3"/>
      <c r="E506" s="2" t="str">
        <f>HYPERLINK("https://old.ukr-mobil.com/setevoe_zaryadnoe_ustrojstvo_moxom_kh-67y_lightning_qc_3_0_v_komplekte_kabel_lightning_10001565", "Перейти")</f>
        <v>Перейти</v>
      </c>
      <c r="F506" s="2">
        <v>10001565</v>
      </c>
      <c r="G506" s="4" t="s">
        <v>535</v>
      </c>
      <c r="H506" s="1">
        <v>27</v>
      </c>
      <c r="I506" s="1">
        <v>1</v>
      </c>
      <c r="J506" s="1">
        <v>20</v>
      </c>
      <c r="K506" s="2">
        <v>5.5</v>
      </c>
    </row>
    <row r="507" spans="1:12">
      <c r="A507" s="3" t="s">
        <v>36</v>
      </c>
      <c r="B507" s="3" t="s">
        <v>507</v>
      </c>
      <c r="C507" s="3" t="s">
        <v>46</v>
      </c>
      <c r="D507" s="3"/>
      <c r="E507" s="2" t="str">
        <f>HYPERLINK("https://old.ukr-mobil.com/setevoe_zaryadnoe_ustrojstvo_moxom_kh-67y_micro_usb_qc_3_0_v_komplekte_kabel_micro_usb_10001566", "Перейти")</f>
        <v>Перейти</v>
      </c>
      <c r="F507" s="2">
        <v>10001566</v>
      </c>
      <c r="G507" s="4" t="s">
        <v>536</v>
      </c>
      <c r="H507" s="1">
        <v>6</v>
      </c>
      <c r="I507" s="1">
        <v>6</v>
      </c>
      <c r="J507" s="1">
        <v>2</v>
      </c>
      <c r="K507" s="2">
        <v>5.5</v>
      </c>
    </row>
    <row r="508" spans="1:12">
      <c r="A508" s="3" t="s">
        <v>36</v>
      </c>
      <c r="B508" s="3" t="s">
        <v>507</v>
      </c>
      <c r="C508" s="3" t="s">
        <v>46</v>
      </c>
      <c r="D508" s="3"/>
      <c r="E508" s="2" t="str">
        <f>HYPERLINK("https://old.ukr-mobil.com/setevoe_zaryadnoe_ustrojstvo_moxom_kh-67y_type-c_qc_3_0_v_komplekte_kabel_type-c_10001567", "Перейти")</f>
        <v>Перейти</v>
      </c>
      <c r="F508" s="2">
        <v>10001567</v>
      </c>
      <c r="G508" s="4" t="s">
        <v>537</v>
      </c>
      <c r="H508" s="1">
        <v>0</v>
      </c>
      <c r="I508" s="1">
        <v>0</v>
      </c>
      <c r="J508" s="1">
        <v>0</v>
      </c>
      <c r="K508" s="2">
        <v>5.5</v>
      </c>
    </row>
    <row r="509" spans="1:12">
      <c r="A509" s="3" t="s">
        <v>36</v>
      </c>
      <c r="B509" s="3" t="s">
        <v>507</v>
      </c>
      <c r="C509" s="3" t="s">
        <v>46</v>
      </c>
      <c r="D509" s="3"/>
      <c r="E509" s="2" t="str">
        <f>HYPERLINK("https://old.ukr-mobil.com/setevoe_zaryadnoe_ustrojstvo_moxom_mx-hc12_lightning_qc_3_0_2usb_v_komplekte_kabel_lightning_10001562", "Перейти")</f>
        <v>Перейти</v>
      </c>
      <c r="F509" s="2">
        <v>10001562</v>
      </c>
      <c r="G509" s="4" t="s">
        <v>538</v>
      </c>
      <c r="H509" s="1">
        <v>40</v>
      </c>
      <c r="I509" s="1">
        <v>20</v>
      </c>
      <c r="J509" s="1">
        <v>14</v>
      </c>
      <c r="K509" s="2">
        <v>5.5</v>
      </c>
    </row>
    <row r="510" spans="1:12">
      <c r="A510" s="3" t="s">
        <v>36</v>
      </c>
      <c r="B510" s="3" t="s">
        <v>507</v>
      </c>
      <c r="C510" s="3" t="s">
        <v>46</v>
      </c>
      <c r="D510" s="3"/>
      <c r="E510" s="2" t="str">
        <f>HYPERLINK("https://old.ukr-mobil.com/setevoe_zaryadnoe_ustrojstvo_moxom_mx-hc12_micro_usb_qc_3_0_2usb_v_komplekte_kabel_micro_usb_10001561", "Перейти")</f>
        <v>Перейти</v>
      </c>
      <c r="F510" s="2">
        <v>10001561</v>
      </c>
      <c r="G510" s="4" t="s">
        <v>539</v>
      </c>
      <c r="H510" s="1">
        <v>32</v>
      </c>
      <c r="I510" s="1">
        <v>10</v>
      </c>
      <c r="J510" s="1">
        <v>12</v>
      </c>
      <c r="K510" s="2">
        <v>5.5</v>
      </c>
    </row>
    <row r="511" spans="1:12">
      <c r="A511" s="3" t="s">
        <v>36</v>
      </c>
      <c r="B511" s="3" t="s">
        <v>507</v>
      </c>
      <c r="C511" s="3" t="s">
        <v>46</v>
      </c>
      <c r="D511" s="3"/>
      <c r="E511" s="2" t="str">
        <f>HYPERLINK("https://old.ukr-mobil.com/setevoe_zaryadnoe_ustrojstvo_moxom_mx-hc12_type-c_qc_3_0_2usb_v_komplekte_kabel_type-c_10001560", "Перейти")</f>
        <v>Перейти</v>
      </c>
      <c r="F511" s="2">
        <v>10001560</v>
      </c>
      <c r="G511" s="4" t="s">
        <v>540</v>
      </c>
      <c r="H511" s="1">
        <v>45</v>
      </c>
      <c r="I511" s="1">
        <v>11</v>
      </c>
      <c r="J511" s="1">
        <v>9</v>
      </c>
      <c r="K511" s="2">
        <v>5.5</v>
      </c>
    </row>
    <row r="512" spans="1:12">
      <c r="A512" s="3" t="s">
        <v>36</v>
      </c>
      <c r="B512" s="3" t="s">
        <v>507</v>
      </c>
      <c r="C512" s="3" t="s">
        <v>46</v>
      </c>
      <c r="D512" s="3"/>
      <c r="E512" s="2" t="str">
        <f>HYPERLINK("https://old.ukr-mobil.com/setevoe_zaryadnoe_ustrojstvo_moxom_mx-hc22_lightning_2usb_v_komplekte_kabel_lightning_10001573", "Перейти")</f>
        <v>Перейти</v>
      </c>
      <c r="F512" s="2">
        <v>10001573</v>
      </c>
      <c r="G512" s="4" t="s">
        <v>541</v>
      </c>
      <c r="H512" s="1">
        <v>18</v>
      </c>
      <c r="I512" s="1">
        <v>17</v>
      </c>
      <c r="J512" s="1">
        <v>7</v>
      </c>
      <c r="K512" s="2">
        <v>3.5</v>
      </c>
    </row>
    <row r="513" spans="1:12">
      <c r="A513" s="3" t="s">
        <v>36</v>
      </c>
      <c r="B513" s="3" t="s">
        <v>507</v>
      </c>
      <c r="C513" s="3" t="s">
        <v>46</v>
      </c>
      <c r="D513" s="3"/>
      <c r="E513" s="2" t="str">
        <f>HYPERLINK("https://old.ukr-mobil.com/setevoe_zaryadnoe_ustrojstvo_moxom_mx-hc22_micro_usb_2usb_v_komplekte_kabel_micro_usb_10001574", "Перейти")</f>
        <v>Перейти</v>
      </c>
      <c r="F513" s="2">
        <v>10001574</v>
      </c>
      <c r="G513" s="4" t="s">
        <v>542</v>
      </c>
      <c r="H513" s="1">
        <v>0</v>
      </c>
      <c r="I513" s="1">
        <v>0</v>
      </c>
      <c r="J513" s="1">
        <v>0</v>
      </c>
      <c r="K513" s="2">
        <v>4.75</v>
      </c>
    </row>
    <row r="514" spans="1:12">
      <c r="A514" s="3" t="s">
        <v>36</v>
      </c>
      <c r="B514" s="3" t="s">
        <v>507</v>
      </c>
      <c r="C514" s="3" t="s">
        <v>46</v>
      </c>
      <c r="D514" s="3"/>
      <c r="E514" s="2" t="str">
        <f>HYPERLINK("https://old.ukr-mobil.com/setevoe_zaryadnoe_ustrojstvo_moxom_mx-hc22_type-c_2usb_v_komplekte_kabel_type-c_10001575", "Перейти")</f>
        <v>Перейти</v>
      </c>
      <c r="F514" s="2">
        <v>10001575</v>
      </c>
      <c r="G514" s="4" t="s">
        <v>543</v>
      </c>
      <c r="H514" s="1">
        <v>0</v>
      </c>
      <c r="I514" s="1">
        <v>6</v>
      </c>
      <c r="J514" s="1">
        <v>9</v>
      </c>
      <c r="K514" s="2">
        <v>3.5</v>
      </c>
    </row>
    <row r="515" spans="1:12">
      <c r="A515" s="3" t="s">
        <v>36</v>
      </c>
      <c r="B515" s="3" t="s">
        <v>507</v>
      </c>
      <c r="C515" s="3" t="s">
        <v>46</v>
      </c>
      <c r="D515" s="3"/>
      <c r="E515" s="2" t="str">
        <f>HYPERLINK("https://old.ukr-mobil.com/setevoe_zaryadnoe_ustrojstvo_moxom_mx-hc27_qc_3_0_22_5w_power_delivery_3_0_18w_10001564", "Перейти")</f>
        <v>Перейти</v>
      </c>
      <c r="F515" s="2">
        <v>10001564</v>
      </c>
      <c r="G515" s="4" t="s">
        <v>544</v>
      </c>
      <c r="H515" s="1">
        <v>15</v>
      </c>
      <c r="I515" s="1">
        <v>13</v>
      </c>
      <c r="J515" s="1">
        <v>6</v>
      </c>
      <c r="K515" s="2">
        <v>4.5</v>
      </c>
    </row>
    <row r="516" spans="1:12">
      <c r="A516" s="3" t="s">
        <v>36</v>
      </c>
      <c r="B516" s="3" t="s">
        <v>507</v>
      </c>
      <c r="C516" s="3" t="s">
        <v>46</v>
      </c>
      <c r="D516" s="3"/>
      <c r="E516" s="2" t="str">
        <f>HYPERLINK("https://old.ukr-mobil.com/setevoe_zaryadnoe_ustrojstvo_moxom_mx-hc29_qc_3_0_22_5w_power_delivery_3_0_45w_10001563", "Перейти")</f>
        <v>Перейти</v>
      </c>
      <c r="F516" s="2">
        <v>10001563</v>
      </c>
      <c r="G516" s="4" t="s">
        <v>545</v>
      </c>
      <c r="H516" s="1">
        <v>4</v>
      </c>
      <c r="I516" s="1">
        <v>9</v>
      </c>
      <c r="J516" s="1">
        <v>2</v>
      </c>
      <c r="K516" s="2">
        <v>14.0</v>
      </c>
    </row>
    <row r="517" spans="1:12">
      <c r="A517" s="3" t="s">
        <v>546</v>
      </c>
      <c r="B517" s="3" t="s">
        <v>547</v>
      </c>
      <c r="C517" s="3"/>
      <c r="D517" s="3"/>
      <c r="E517" s="2" t="str">
        <f>HYPERLINK("https://old.ukr-mobil.com/usb_lampa_xo-y1_5v_belyj_svet_10004704", "Перейти")</f>
        <v>Перейти</v>
      </c>
      <c r="F517" s="2">
        <v>10004704</v>
      </c>
      <c r="G517" s="4" t="s">
        <v>548</v>
      </c>
      <c r="H517" s="1">
        <v>153</v>
      </c>
      <c r="I517" s="1">
        <v>54</v>
      </c>
      <c r="J517" s="1">
        <v>13</v>
      </c>
      <c r="K517" s="2">
        <v>1.0</v>
      </c>
    </row>
    <row r="518" spans="1:12">
      <c r="A518" s="3" t="s">
        <v>546</v>
      </c>
      <c r="B518" s="3" t="s">
        <v>547</v>
      </c>
      <c r="C518" s="3"/>
      <c r="D518" s="3"/>
      <c r="E518" s="2" t="str">
        <f>HYPERLINK("https://old.ukr-mobil.com/lampa_svetodiodnaya_xo-yh04_s_akkumulyatorom_18650_na_1200_mah_micro_usb_10004609", "Перейти")</f>
        <v>Перейти</v>
      </c>
      <c r="F518" s="2">
        <v>10004609</v>
      </c>
      <c r="G518" s="4" t="s">
        <v>549</v>
      </c>
      <c r="H518" s="1">
        <v>0</v>
      </c>
      <c r="I518" s="1">
        <v>0</v>
      </c>
      <c r="J518" s="1">
        <v>0</v>
      </c>
      <c r="K518" s="2">
        <v>3.65</v>
      </c>
    </row>
    <row r="519" spans="1:12">
      <c r="A519" s="3" t="s">
        <v>546</v>
      </c>
      <c r="B519" s="3" t="s">
        <v>550</v>
      </c>
      <c r="C519" s="3"/>
      <c r="D519" s="3"/>
      <c r="E519" s="2" t="str">
        <f>HYPERLINK("https://old.ukr-mobil.com/index.php?route=product&amp;product_id=10005763", "Перейти")</f>
        <v>Перейти</v>
      </c>
      <c r="F519" s="2">
        <v>10005763</v>
      </c>
      <c r="G519" s="4" t="s">
        <v>551</v>
      </c>
      <c r="H519" s="1">
        <v>3</v>
      </c>
      <c r="I519" s="1">
        <v>0</v>
      </c>
      <c r="J519" s="1">
        <v>0</v>
      </c>
      <c r="K519" s="2">
        <v>715.0</v>
      </c>
    </row>
    <row r="520" spans="1:12">
      <c r="A520" s="3" t="s">
        <v>546</v>
      </c>
      <c r="B520" s="3" t="s">
        <v>550</v>
      </c>
      <c r="C520" s="3"/>
      <c r="D520" s="3"/>
      <c r="E520" s="2" t="str">
        <f>HYPERLINK("https://old.ukr-mobil.com/index.php?route=product&amp;product_id=10005762", "Перейти")</f>
        <v>Перейти</v>
      </c>
      <c r="F520" s="2">
        <v>10005762</v>
      </c>
      <c r="G520" s="4" t="s">
        <v>552</v>
      </c>
      <c r="H520" s="1">
        <v>3</v>
      </c>
      <c r="I520" s="1">
        <v>0</v>
      </c>
      <c r="J520" s="1">
        <v>0</v>
      </c>
      <c r="K520" s="2">
        <v>2270.0</v>
      </c>
    </row>
    <row r="521" spans="1:12">
      <c r="A521" s="3" t="s">
        <v>546</v>
      </c>
      <c r="B521" s="3" t="s">
        <v>550</v>
      </c>
      <c r="C521" s="3"/>
      <c r="D521" s="3"/>
      <c r="E521" s="2" t="str">
        <f>HYPERLINK("https://old.ukr-mobil.com/index.php?route=product&amp;product_id=10005761", "Перейти")</f>
        <v>Перейти</v>
      </c>
      <c r="F521" s="2">
        <v>10005761</v>
      </c>
      <c r="G521" s="4" t="s">
        <v>553</v>
      </c>
      <c r="H521" s="1">
        <v>1</v>
      </c>
      <c r="I521" s="1">
        <v>0</v>
      </c>
      <c r="J521" s="1">
        <v>0</v>
      </c>
      <c r="K521" s="2">
        <v>935.0</v>
      </c>
    </row>
    <row r="522" spans="1:12">
      <c r="A522" s="3" t="s">
        <v>546</v>
      </c>
      <c r="B522" s="3" t="s">
        <v>554</v>
      </c>
      <c r="C522" s="3"/>
      <c r="D522" s="3"/>
      <c r="E522" s="2" t="str">
        <f>HYPERLINK("https://old.ukr-mobil.com/index.php?route=product&amp;product_id=10005773", "Перейти")</f>
        <v>Перейти</v>
      </c>
      <c r="F522" s="2">
        <v>10005773</v>
      </c>
      <c r="G522" s="4" t="s">
        <v>555</v>
      </c>
      <c r="H522" s="1">
        <v>25</v>
      </c>
      <c r="I522" s="1">
        <v>0</v>
      </c>
      <c r="J522" s="1">
        <v>0</v>
      </c>
      <c r="K522" s="2">
        <v>235.0</v>
      </c>
    </row>
    <row r="523" spans="1:12">
      <c r="A523" s="3" t="s">
        <v>546</v>
      </c>
      <c r="B523" s="3" t="s">
        <v>554</v>
      </c>
      <c r="C523" s="3"/>
      <c r="D523" s="3"/>
      <c r="E523" s="2" t="str">
        <f>HYPERLINK("https://old.ukr-mobil.com/index.php?route=product&amp;product_id=10005776", "Перейти")</f>
        <v>Перейти</v>
      </c>
      <c r="F523" s="2">
        <v>10005776</v>
      </c>
      <c r="G523" s="4" t="s">
        <v>556</v>
      </c>
      <c r="H523" s="1">
        <v>10</v>
      </c>
      <c r="I523" s="1">
        <v>0</v>
      </c>
      <c r="J523" s="1">
        <v>0</v>
      </c>
      <c r="K523" s="2">
        <v>375.0</v>
      </c>
    </row>
    <row r="524" spans="1:12">
      <c r="A524" s="3" t="s">
        <v>546</v>
      </c>
      <c r="B524" s="3" t="s">
        <v>554</v>
      </c>
      <c r="C524" s="3"/>
      <c r="D524" s="3"/>
      <c r="E524" s="2" t="str">
        <f>HYPERLINK("https://old.ukr-mobil.com/index.php?route=product&amp;product_id=10005774", "Перейти")</f>
        <v>Перейти</v>
      </c>
      <c r="F524" s="2">
        <v>10005774</v>
      </c>
      <c r="G524" s="4" t="s">
        <v>557</v>
      </c>
      <c r="H524" s="1">
        <v>3</v>
      </c>
      <c r="I524" s="1">
        <v>0</v>
      </c>
      <c r="J524" s="1">
        <v>0</v>
      </c>
      <c r="K524" s="2">
        <v>223.0</v>
      </c>
    </row>
    <row r="525" spans="1:12">
      <c r="A525" s="3" t="s">
        <v>546</v>
      </c>
      <c r="B525" s="3" t="s">
        <v>554</v>
      </c>
      <c r="C525" s="3"/>
      <c r="D525" s="3"/>
      <c r="E525" s="2" t="str">
        <f>HYPERLINK("https://old.ukr-mobil.com/akkumulyator_gelevyj_gel_sunpal_100_ah_12_v_god_proizvodstva_2023_10003192", "Перейти")</f>
        <v>Перейти</v>
      </c>
      <c r="F525" s="2">
        <v>10003192</v>
      </c>
      <c r="G525" s="4" t="s">
        <v>558</v>
      </c>
      <c r="H525" s="1">
        <v>0</v>
      </c>
      <c r="I525" s="1">
        <v>0</v>
      </c>
      <c r="J525" s="1">
        <v>0</v>
      </c>
      <c r="K525" s="2">
        <v>222.0</v>
      </c>
    </row>
    <row r="526" spans="1:12">
      <c r="A526" s="3" t="s">
        <v>546</v>
      </c>
      <c r="B526" s="3" t="s">
        <v>554</v>
      </c>
      <c r="C526" s="3"/>
      <c r="D526" s="3"/>
      <c r="E526" s="2" t="str">
        <f>HYPERLINK("https://old.ukr-mobil.com/akkumulyator_gelevyj_gel_sunpal_150_ah_12_v_god_proizvodstva_2023_10003193", "Перейти")</f>
        <v>Перейти</v>
      </c>
      <c r="F526" s="2">
        <v>10003193</v>
      </c>
      <c r="G526" s="4" t="s">
        <v>559</v>
      </c>
      <c r="H526" s="1">
        <v>0</v>
      </c>
      <c r="I526" s="1">
        <v>0</v>
      </c>
      <c r="J526" s="1">
        <v>0</v>
      </c>
      <c r="K526" s="2">
        <v>275.0</v>
      </c>
    </row>
    <row r="527" spans="1:12">
      <c r="A527" s="3" t="s">
        <v>546</v>
      </c>
      <c r="B527" s="3" t="s">
        <v>554</v>
      </c>
      <c r="C527" s="3"/>
      <c r="D527" s="3"/>
      <c r="E527" s="2" t="str">
        <f>HYPERLINK("https://old.ukr-mobil.com/akkumulyator_gelevyj_gel_sunpal_200_ah_12_v_god_proizvodstva_2023_10003194", "Перейти")</f>
        <v>Перейти</v>
      </c>
      <c r="F527" s="2">
        <v>10003194</v>
      </c>
      <c r="G527" s="4" t="s">
        <v>560</v>
      </c>
      <c r="H527" s="1">
        <v>0</v>
      </c>
      <c r="I527" s="1">
        <v>0</v>
      </c>
      <c r="J527" s="1">
        <v>0</v>
      </c>
      <c r="K527" s="2">
        <v>225.0</v>
      </c>
    </row>
    <row r="528" spans="1:12">
      <c r="A528" s="3" t="s">
        <v>546</v>
      </c>
      <c r="B528" s="3" t="s">
        <v>554</v>
      </c>
      <c r="C528" s="3"/>
      <c r="D528" s="3"/>
      <c r="E528" s="2" t="str">
        <f>HYPERLINK("https://old.ukr-mobil.com/akkumulyator_gelevyj_gel_sunpal_250_ah_12_v_god_proizvodstva_2023_10003195", "Перейти")</f>
        <v>Перейти</v>
      </c>
      <c r="F528" s="2">
        <v>10003195</v>
      </c>
      <c r="G528" s="4" t="s">
        <v>561</v>
      </c>
      <c r="H528" s="1">
        <v>0</v>
      </c>
      <c r="I528" s="1">
        <v>0</v>
      </c>
      <c r="J528" s="1">
        <v>0</v>
      </c>
      <c r="K528" s="2">
        <v>268.0</v>
      </c>
    </row>
    <row r="529" spans="1:12">
      <c r="A529" s="3" t="s">
        <v>546</v>
      </c>
      <c r="B529" s="3" t="s">
        <v>562</v>
      </c>
      <c r="C529" s="3"/>
      <c r="D529" s="3"/>
      <c r="E529" s="2" t="str">
        <f>HYPERLINK("https://old.ukr-mobil.com/index.php?route=product&amp;product_id=10006039", "Перейти")</f>
        <v>Перейти</v>
      </c>
      <c r="F529" s="2">
        <v>10006039</v>
      </c>
      <c r="G529" s="4" t="s">
        <v>563</v>
      </c>
      <c r="H529" s="1">
        <v>1</v>
      </c>
      <c r="I529" s="1">
        <v>0</v>
      </c>
      <c r="J529" s="1">
        <v>0</v>
      </c>
      <c r="K529" s="2">
        <v>7950.0</v>
      </c>
    </row>
    <row r="530" spans="1:12">
      <c r="A530" s="3" t="s">
        <v>546</v>
      </c>
      <c r="B530" s="3" t="s">
        <v>562</v>
      </c>
      <c r="C530" s="3"/>
      <c r="D530" s="3"/>
      <c r="E530" s="2" t="str">
        <f>HYPERLINK("https://old.ukr-mobil.com/index.php?route=product&amp;product_id=10006038", "Перейти")</f>
        <v>Перейти</v>
      </c>
      <c r="F530" s="2">
        <v>10006038</v>
      </c>
      <c r="G530" s="4" t="s">
        <v>564</v>
      </c>
      <c r="H530" s="1">
        <v>1</v>
      </c>
      <c r="I530" s="1">
        <v>0</v>
      </c>
      <c r="J530" s="1">
        <v>0</v>
      </c>
      <c r="K530" s="2">
        <v>5997.0</v>
      </c>
    </row>
    <row r="531" spans="1:12">
      <c r="A531" s="3" t="s">
        <v>546</v>
      </c>
      <c r="B531" s="3" t="s">
        <v>562</v>
      </c>
      <c r="C531" s="3"/>
      <c r="D531" s="3"/>
      <c r="E531" s="2" t="str">
        <f>HYPERLINK("https://old.ukr-mobil.com/index.php?route=product&amp;product_id=10006040", "Перейти")</f>
        <v>Перейти</v>
      </c>
      <c r="F531" s="2">
        <v>10006040</v>
      </c>
      <c r="G531" s="4" t="s">
        <v>565</v>
      </c>
      <c r="H531" s="1">
        <v>0</v>
      </c>
      <c r="I531" s="1">
        <v>0</v>
      </c>
      <c r="J531" s="1">
        <v>0</v>
      </c>
      <c r="K531" s="2">
        <v>13280.0</v>
      </c>
    </row>
    <row r="532" spans="1:12">
      <c r="A532" s="3" t="s">
        <v>546</v>
      </c>
      <c r="B532" s="3" t="s">
        <v>566</v>
      </c>
      <c r="C532" s="3"/>
      <c r="D532" s="3"/>
      <c r="E532" s="2" t="str">
        <f>HYPERLINK("https://old.ukr-mobil.com/index.php?route=product&amp;product_id=10005880", "Перейти")</f>
        <v>Перейти</v>
      </c>
      <c r="F532" s="2">
        <v>10005880</v>
      </c>
      <c r="G532" s="4" t="s">
        <v>567</v>
      </c>
      <c r="H532" s="1">
        <v>4</v>
      </c>
      <c r="I532" s="1">
        <v>0</v>
      </c>
      <c r="J532" s="1">
        <v>0</v>
      </c>
      <c r="K532" s="2">
        <v>1100.0</v>
      </c>
    </row>
    <row r="533" spans="1:12">
      <c r="A533" s="3" t="s">
        <v>546</v>
      </c>
      <c r="B533" s="3" t="s">
        <v>566</v>
      </c>
      <c r="C533" s="3"/>
      <c r="D533" s="3"/>
      <c r="E533" s="2" t="str">
        <f>HYPERLINK("https://old.ukr-mobil.com/index.php?route=product&amp;product_id=10005855", "Перейти")</f>
        <v>Перейти</v>
      </c>
      <c r="F533" s="2">
        <v>10005855</v>
      </c>
      <c r="G533" s="4" t="s">
        <v>568</v>
      </c>
      <c r="H533" s="1">
        <v>34</v>
      </c>
      <c r="I533" s="1">
        <v>0</v>
      </c>
      <c r="J533" s="1">
        <v>0</v>
      </c>
      <c r="K533" s="2">
        <v>890.0</v>
      </c>
    </row>
    <row r="534" spans="1:12">
      <c r="A534" s="3" t="s">
        <v>546</v>
      </c>
      <c r="B534" s="3" t="s">
        <v>566</v>
      </c>
      <c r="C534" s="3"/>
      <c r="D534" s="3"/>
      <c r="E534" s="2" t="str">
        <f>HYPERLINK("https://old.ukr-mobil.com/zaryadnaya_stanciya_souop_sp-upp-1200_1200w_lifepo4_310000_mah_992_wh_10002981", "Перейти")</f>
        <v>Перейти</v>
      </c>
      <c r="F534" s="2">
        <v>10002981</v>
      </c>
      <c r="G534" s="4" t="s">
        <v>569</v>
      </c>
      <c r="H534" s="1">
        <v>0</v>
      </c>
      <c r="I534" s="1">
        <v>0</v>
      </c>
      <c r="J534" s="1">
        <v>0</v>
      </c>
      <c r="K534" s="2">
        <v>640.0</v>
      </c>
    </row>
    <row r="535" spans="1:12">
      <c r="A535" s="3" t="s">
        <v>546</v>
      </c>
      <c r="B535" s="3" t="s">
        <v>566</v>
      </c>
      <c r="C535" s="3"/>
      <c r="D535" s="3"/>
      <c r="E535" s="2" t="str">
        <f>HYPERLINK("https://old.ukr-mobil.com/index.php?route=product&amp;product_id=10005879", "Перейти")</f>
        <v>Перейти</v>
      </c>
      <c r="F535" s="2">
        <v>10005879</v>
      </c>
      <c r="G535" s="4" t="s">
        <v>570</v>
      </c>
      <c r="H535" s="1">
        <v>0</v>
      </c>
      <c r="I535" s="1">
        <v>0</v>
      </c>
      <c r="J535" s="1">
        <v>0</v>
      </c>
      <c r="K535" s="2">
        <v>1300.0</v>
      </c>
    </row>
    <row r="536" spans="1:12">
      <c r="A536" s="3" t="s">
        <v>546</v>
      </c>
      <c r="B536" s="3" t="s">
        <v>566</v>
      </c>
      <c r="C536" s="3"/>
      <c r="D536" s="3"/>
      <c r="E536" s="2" t="str">
        <f>HYPERLINK("https://old.ukr-mobil.com/index.php?route=product&amp;product_id=10005860", "Перейти")</f>
        <v>Перейти</v>
      </c>
      <c r="F536" s="2">
        <v>10005860</v>
      </c>
      <c r="G536" s="4" t="s">
        <v>571</v>
      </c>
      <c r="H536" s="1">
        <v>7</v>
      </c>
      <c r="I536" s="1">
        <v>0</v>
      </c>
      <c r="J536" s="1">
        <v>0</v>
      </c>
      <c r="K536" s="2">
        <v>2050.0</v>
      </c>
    </row>
    <row r="537" spans="1:12">
      <c r="A537" s="3" t="s">
        <v>546</v>
      </c>
      <c r="B537" s="3" t="s">
        <v>566</v>
      </c>
      <c r="C537" s="3"/>
      <c r="D537" s="3"/>
      <c r="E537" s="2" t="str">
        <f>HYPERLINK("https://old.ukr-mobil.com/zaryadnaya_stanciya_souop_sp-upp-1800_1800w_lifepo4_465000_mah_1488_wh_10002982", "Перейти")</f>
        <v>Перейти</v>
      </c>
      <c r="F537" s="2">
        <v>10002982</v>
      </c>
      <c r="G537" s="4" t="s">
        <v>572</v>
      </c>
      <c r="H537" s="1">
        <v>0</v>
      </c>
      <c r="I537" s="1">
        <v>0</v>
      </c>
      <c r="J537" s="1">
        <v>0</v>
      </c>
      <c r="K537" s="2">
        <v>800.0</v>
      </c>
    </row>
    <row r="538" spans="1:12">
      <c r="A538" s="3" t="s">
        <v>546</v>
      </c>
      <c r="B538" s="3" t="s">
        <v>566</v>
      </c>
      <c r="C538" s="3"/>
      <c r="D538" s="3"/>
      <c r="E538" s="2" t="str">
        <f>HYPERLINK("https://old.ukr-mobil.com/zaryadnaya_stanciya_souop_sp-upp-2400_2400w_lifepo4_697500_mah_2232_wh_10002983", "Перейти")</f>
        <v>Перейти</v>
      </c>
      <c r="F538" s="2">
        <v>10002983</v>
      </c>
      <c r="G538" s="4" t="s">
        <v>573</v>
      </c>
      <c r="H538" s="1">
        <v>0</v>
      </c>
      <c r="I538" s="1">
        <v>0</v>
      </c>
      <c r="J538" s="1">
        <v>0</v>
      </c>
      <c r="K538" s="2">
        <v>1190.0</v>
      </c>
    </row>
    <row r="539" spans="1:12">
      <c r="A539" s="3" t="s">
        <v>546</v>
      </c>
      <c r="B539" s="3" t="s">
        <v>566</v>
      </c>
      <c r="C539" s="3"/>
      <c r="D539" s="3"/>
      <c r="E539" s="2" t="str">
        <f>HYPERLINK("https://old.ukr-mobil.com/zaryadnaya_stanciya_suoup_sp-upp-600_600w_lifepo4_186000_mah_19_2v_595_wh_10002974", "Перейти")</f>
        <v>Перейти</v>
      </c>
      <c r="F539" s="2">
        <v>10002974</v>
      </c>
      <c r="G539" s="4" t="s">
        <v>574</v>
      </c>
      <c r="H539" s="1">
        <v>0</v>
      </c>
      <c r="I539" s="1">
        <v>0</v>
      </c>
      <c r="J539" s="1">
        <v>0</v>
      </c>
      <c r="K539" s="2">
        <v>450.0</v>
      </c>
    </row>
    <row r="540" spans="1:12">
      <c r="A540" s="3" t="s">
        <v>546</v>
      </c>
      <c r="B540" s="3" t="s">
        <v>566</v>
      </c>
      <c r="C540" s="3"/>
      <c r="D540" s="3"/>
      <c r="E540" s="2" t="str">
        <f>HYPERLINK("https://old.ukr-mobil.com/portativnaya_zaryadnaya_stanciya_xo_psa-1000_210000_mah_756wh_lifepo4_10004493", "Перейти")</f>
        <v>Перейти</v>
      </c>
      <c r="F540" s="2">
        <v>10004493</v>
      </c>
      <c r="G540" s="4" t="s">
        <v>575</v>
      </c>
      <c r="H540" s="1">
        <v>0</v>
      </c>
      <c r="I540" s="1">
        <v>0</v>
      </c>
      <c r="J540" s="1">
        <v>0</v>
      </c>
      <c r="K540" s="2">
        <v>500.0</v>
      </c>
    </row>
    <row r="541" spans="1:12">
      <c r="A541" s="3" t="s">
        <v>546</v>
      </c>
      <c r="B541" s="3" t="s">
        <v>566</v>
      </c>
      <c r="C541" s="3"/>
      <c r="D541" s="3"/>
      <c r="E541" s="2" t="str">
        <f>HYPERLINK("https://old.ukr-mobil.com/portativnaya_zaryadnaya_stanciya_xo_psa-1200_1229_wh_lifepo4_10003247", "Перейти")</f>
        <v>Перейти</v>
      </c>
      <c r="F541" s="2">
        <v>10003247</v>
      </c>
      <c r="G541" s="4" t="s">
        <v>576</v>
      </c>
      <c r="H541" s="1">
        <v>0</v>
      </c>
      <c r="I541" s="1">
        <v>0</v>
      </c>
      <c r="J541" s="1">
        <v>0</v>
      </c>
      <c r="K541" s="2">
        <v>780.0</v>
      </c>
    </row>
    <row r="542" spans="1:12">
      <c r="A542" s="3" t="s">
        <v>546</v>
      </c>
      <c r="B542" s="3" t="s">
        <v>566</v>
      </c>
      <c r="C542" s="3"/>
      <c r="D542" s="3"/>
      <c r="E542" s="2" t="str">
        <f>HYPERLINK("https://old.ukr-mobil.com/portativnaya_zaryadnaya_stanciya_xo_psa-1200q_1080_wh_lifepo4_10003248", "Перейти")</f>
        <v>Перейти</v>
      </c>
      <c r="F542" s="2">
        <v>10003248</v>
      </c>
      <c r="G542" s="4" t="s">
        <v>577</v>
      </c>
      <c r="H542" s="1">
        <v>0</v>
      </c>
      <c r="I542" s="1">
        <v>0</v>
      </c>
      <c r="J542" s="1">
        <v>0</v>
      </c>
      <c r="K542" s="2">
        <v>780.0</v>
      </c>
    </row>
    <row r="543" spans="1:12">
      <c r="A543" s="3" t="s">
        <v>546</v>
      </c>
      <c r="B543" s="3" t="s">
        <v>566</v>
      </c>
      <c r="C543" s="3"/>
      <c r="D543" s="3"/>
      <c r="E543" s="2" t="str">
        <f>HYPERLINK("https://old.ukr-mobil.com/portativnaya_zaryadnaya_stanciya_xo_psa-700_614_wh_lifepo4_10003255", "Перейти")</f>
        <v>Перейти</v>
      </c>
      <c r="F543" s="2">
        <v>10003255</v>
      </c>
      <c r="G543" s="4" t="s">
        <v>578</v>
      </c>
      <c r="H543" s="1">
        <v>0</v>
      </c>
      <c r="I543" s="1">
        <v>0</v>
      </c>
      <c r="J543" s="1">
        <v>0</v>
      </c>
      <c r="K543" s="2">
        <v>460.0</v>
      </c>
    </row>
    <row r="544" spans="1:12">
      <c r="A544" s="3" t="s">
        <v>546</v>
      </c>
      <c r="B544" s="3" t="s">
        <v>566</v>
      </c>
      <c r="C544" s="3"/>
      <c r="D544" s="3"/>
      <c r="E544" s="2" t="str">
        <f>HYPERLINK("https://old.ukr-mobil.com/solnechnaya_panel_pv-220_portativnaya_220w_19_8v_10002986", "Перейти")</f>
        <v>Перейти</v>
      </c>
      <c r="F544" s="2">
        <v>10002986</v>
      </c>
      <c r="G544" s="4" t="s">
        <v>579</v>
      </c>
      <c r="H544" s="1">
        <v>1</v>
      </c>
      <c r="I544" s="1">
        <v>0</v>
      </c>
      <c r="J544" s="1">
        <v>0</v>
      </c>
      <c r="K544" s="2">
        <v>380.0</v>
      </c>
    </row>
    <row r="545" spans="1:12">
      <c r="A545" s="3" t="s">
        <v>546</v>
      </c>
      <c r="B545" s="3" t="s">
        <v>566</v>
      </c>
      <c r="C545" s="3"/>
      <c r="D545" s="3"/>
      <c r="E545" s="2" t="str">
        <f>HYPERLINK("https://old.ukr-mobil.com/index.php?route=product&amp;product_id=10005862", "Перейти")</f>
        <v>Перейти</v>
      </c>
      <c r="F545" s="2">
        <v>10005862</v>
      </c>
      <c r="G545" s="4" t="s">
        <v>580</v>
      </c>
      <c r="H545" s="1">
        <v>10</v>
      </c>
      <c r="I545" s="1">
        <v>0</v>
      </c>
      <c r="J545" s="1">
        <v>0</v>
      </c>
      <c r="K545" s="2">
        <v>250.0</v>
      </c>
    </row>
    <row r="546" spans="1:12">
      <c r="A546" s="3" t="s">
        <v>546</v>
      </c>
      <c r="B546" s="3" t="s">
        <v>566</v>
      </c>
      <c r="C546" s="3"/>
      <c r="D546" s="3"/>
      <c r="E546" s="2" t="str">
        <f>HYPERLINK("https://old.ukr-mobil.com/index.php?route=product&amp;product_id=10005861", "Перейти")</f>
        <v>Перейти</v>
      </c>
      <c r="F546" s="2">
        <v>10005861</v>
      </c>
      <c r="G546" s="4" t="s">
        <v>581</v>
      </c>
      <c r="H546" s="1">
        <v>9</v>
      </c>
      <c r="I546" s="1">
        <v>0</v>
      </c>
      <c r="J546" s="1">
        <v>0</v>
      </c>
      <c r="K546" s="2">
        <v>399.0</v>
      </c>
    </row>
    <row r="547" spans="1:12">
      <c r="A547" s="3" t="s">
        <v>546</v>
      </c>
      <c r="B547" s="3" t="s">
        <v>582</v>
      </c>
      <c r="C547" s="3"/>
      <c r="D547" s="3"/>
      <c r="E547" s="2" t="str">
        <f>HYPERLINK("https://old.ukr-mobil.com/index.php?route=product&amp;product_id=10006079", "Перейти")</f>
        <v>Перейти</v>
      </c>
      <c r="F547" s="2">
        <v>10006079</v>
      </c>
      <c r="G547" s="4" t="s">
        <v>583</v>
      </c>
      <c r="H547" s="1">
        <v>394</v>
      </c>
      <c r="I547" s="1">
        <v>0</v>
      </c>
      <c r="J547" s="1">
        <v>0</v>
      </c>
      <c r="K547" s="2">
        <v>0.9</v>
      </c>
    </row>
    <row r="548" spans="1:12">
      <c r="A548" s="3" t="s">
        <v>546</v>
      </c>
      <c r="B548" s="3" t="s">
        <v>582</v>
      </c>
      <c r="C548" s="3"/>
      <c r="D548" s="3"/>
      <c r="E548" s="2" t="str">
        <f>HYPERLINK("https://old.ukr-mobil.com/index.php?route=product&amp;product_id=10006080", "Перейти")</f>
        <v>Перейти</v>
      </c>
      <c r="F548" s="2">
        <v>10006080</v>
      </c>
      <c r="G548" s="4" t="s">
        <v>584</v>
      </c>
      <c r="H548" s="1">
        <v>396</v>
      </c>
      <c r="I548" s="1">
        <v>0</v>
      </c>
      <c r="J548" s="1">
        <v>0</v>
      </c>
      <c r="K548" s="2">
        <v>0.9</v>
      </c>
    </row>
    <row r="549" spans="1:12">
      <c r="A549" s="3" t="s">
        <v>546</v>
      </c>
      <c r="B549" s="3" t="s">
        <v>582</v>
      </c>
      <c r="C549" s="3"/>
      <c r="D549" s="3"/>
      <c r="E549" s="2" t="str">
        <f>HYPERLINK("https://old.ukr-mobil.com/index.php?route=product&amp;product_id=10006081", "Перейти")</f>
        <v>Перейти</v>
      </c>
      <c r="F549" s="2">
        <v>10006081</v>
      </c>
      <c r="G549" s="4" t="s">
        <v>585</v>
      </c>
      <c r="H549" s="1">
        <v>4421</v>
      </c>
      <c r="I549" s="1">
        <v>0</v>
      </c>
      <c r="J549" s="1">
        <v>0</v>
      </c>
      <c r="K549" s="2">
        <v>1.05</v>
      </c>
    </row>
    <row r="550" spans="1:12">
      <c r="A550" s="3" t="s">
        <v>546</v>
      </c>
      <c r="B550" s="3" t="s">
        <v>582</v>
      </c>
      <c r="C550" s="3"/>
      <c r="D550" s="3"/>
      <c r="E550" s="2" t="str">
        <f>HYPERLINK("https://old.ukr-mobil.com/index.php?route=product&amp;product_id=10006082", "Перейти")</f>
        <v>Перейти</v>
      </c>
      <c r="F550" s="2">
        <v>10006082</v>
      </c>
      <c r="G550" s="4" t="s">
        <v>586</v>
      </c>
      <c r="H550" s="1">
        <v>4338</v>
      </c>
      <c r="I550" s="1">
        <v>0</v>
      </c>
      <c r="J550" s="1">
        <v>0</v>
      </c>
      <c r="K550" s="2">
        <v>1.05</v>
      </c>
    </row>
    <row r="551" spans="1:12">
      <c r="A551" s="3" t="s">
        <v>546</v>
      </c>
      <c r="B551" s="3" t="s">
        <v>582</v>
      </c>
      <c r="C551" s="3"/>
      <c r="D551" s="3"/>
      <c r="E551" s="2" t="str">
        <f>HYPERLINK("https://old.ukr-mobil.com/index.php?route=product&amp;product_id=10006066", "Перейти")</f>
        <v>Перейти</v>
      </c>
      <c r="F551" s="2">
        <v>10006066</v>
      </c>
      <c r="G551" s="4" t="s">
        <v>587</v>
      </c>
      <c r="H551" s="1">
        <v>4229</v>
      </c>
      <c r="I551" s="1">
        <v>0</v>
      </c>
      <c r="J551" s="1">
        <v>0</v>
      </c>
      <c r="K551" s="2">
        <v>1.0</v>
      </c>
    </row>
    <row r="552" spans="1:12">
      <c r="A552" s="3" t="s">
        <v>546</v>
      </c>
      <c r="B552" s="3" t="s">
        <v>582</v>
      </c>
      <c r="C552" s="3"/>
      <c r="D552" s="3"/>
      <c r="E552" s="2" t="str">
        <f>HYPERLINK("https://old.ukr-mobil.com/index.php?route=product&amp;product_id=10006065", "Перейти")</f>
        <v>Перейти</v>
      </c>
      <c r="F552" s="2">
        <v>10006065</v>
      </c>
      <c r="G552" s="4" t="s">
        <v>588</v>
      </c>
      <c r="H552" s="1">
        <v>402</v>
      </c>
      <c r="I552" s="1">
        <v>0</v>
      </c>
      <c r="J552" s="1">
        <v>0</v>
      </c>
      <c r="K552" s="2">
        <v>0.85</v>
      </c>
    </row>
    <row r="553" spans="1:12">
      <c r="A553" s="3" t="s">
        <v>546</v>
      </c>
      <c r="B553" s="3" t="s">
        <v>582</v>
      </c>
      <c r="C553" s="3"/>
      <c r="D553" s="3"/>
      <c r="E553" s="2" t="str">
        <f>HYPERLINK("https://old.ukr-mobil.com/index.php?route=product&amp;product_id=10006076", "Перейти")</f>
        <v>Перейти</v>
      </c>
      <c r="F553" s="2">
        <v>10006076</v>
      </c>
      <c r="G553" s="4" t="s">
        <v>589</v>
      </c>
      <c r="H553" s="1">
        <v>74</v>
      </c>
      <c r="I553" s="1">
        <v>0</v>
      </c>
      <c r="J553" s="1">
        <v>0</v>
      </c>
      <c r="K553" s="2">
        <v>4.15</v>
      </c>
    </row>
    <row r="554" spans="1:12">
      <c r="A554" s="3" t="s">
        <v>546</v>
      </c>
      <c r="B554" s="3" t="s">
        <v>582</v>
      </c>
      <c r="C554" s="3"/>
      <c r="D554" s="3"/>
      <c r="E554" s="2" t="str">
        <f>HYPERLINK("https://old.ukr-mobil.com/index.php?route=product&amp;product_id=10006077", "Перейти")</f>
        <v>Перейти</v>
      </c>
      <c r="F554" s="2">
        <v>10006077</v>
      </c>
      <c r="G554" s="4" t="s">
        <v>590</v>
      </c>
      <c r="H554" s="1">
        <v>45</v>
      </c>
      <c r="I554" s="1">
        <v>0</v>
      </c>
      <c r="J554" s="1">
        <v>0</v>
      </c>
      <c r="K554" s="2">
        <v>5.5</v>
      </c>
    </row>
    <row r="555" spans="1:12">
      <c r="A555" s="3" t="s">
        <v>546</v>
      </c>
      <c r="B555" s="3" t="s">
        <v>582</v>
      </c>
      <c r="C555" s="3"/>
      <c r="D555" s="3"/>
      <c r="E555" s="2" t="str">
        <f>HYPERLINK("https://old.ukr-mobil.com/index.php?route=product&amp;product_id=10006078", "Перейти")</f>
        <v>Перейти</v>
      </c>
      <c r="F555" s="2">
        <v>10006078</v>
      </c>
      <c r="G555" s="4" t="s">
        <v>591</v>
      </c>
      <c r="H555" s="1">
        <v>100</v>
      </c>
      <c r="I555" s="1">
        <v>0</v>
      </c>
      <c r="J555" s="1">
        <v>0</v>
      </c>
      <c r="K555" s="2">
        <v>19.0</v>
      </c>
    </row>
    <row r="556" spans="1:12">
      <c r="A556" s="3" t="s">
        <v>546</v>
      </c>
      <c r="B556" s="3" t="s">
        <v>582</v>
      </c>
      <c r="C556" s="3"/>
      <c r="D556" s="3"/>
      <c r="E556" s="2" t="str">
        <f>HYPERLINK("https://old.ukr-mobil.com/index.php?route=product&amp;product_id=10006075", "Перейти")</f>
        <v>Перейти</v>
      </c>
      <c r="F556" s="2">
        <v>10006075</v>
      </c>
      <c r="G556" s="4" t="s">
        <v>592</v>
      </c>
      <c r="H556" s="1">
        <v>0</v>
      </c>
      <c r="I556" s="1">
        <v>0</v>
      </c>
      <c r="J556" s="1">
        <v>0</v>
      </c>
      <c r="K556" s="2">
        <v>1.3</v>
      </c>
    </row>
    <row r="557" spans="1:12">
      <c r="A557" s="3" t="s">
        <v>546</v>
      </c>
      <c r="B557" s="3" t="s">
        <v>593</v>
      </c>
      <c r="C557" s="3"/>
      <c r="D557" s="3"/>
      <c r="E557" s="2" t="str">
        <f>HYPERLINK("https://old.ukr-mobil.com/index.php?route=product&amp;product_id=10005752", "Перейти")</f>
        <v>Перейти</v>
      </c>
      <c r="F557" s="2">
        <v>10005752</v>
      </c>
      <c r="G557" s="4" t="s">
        <v>594</v>
      </c>
      <c r="H557" s="1">
        <v>5</v>
      </c>
      <c r="I557" s="1">
        <v>0</v>
      </c>
      <c r="J557" s="1">
        <v>0</v>
      </c>
      <c r="K557" s="2">
        <v>3000.0</v>
      </c>
    </row>
    <row r="558" spans="1:12">
      <c r="A558" s="3" t="s">
        <v>546</v>
      </c>
      <c r="B558" s="3" t="s">
        <v>593</v>
      </c>
      <c r="C558" s="3"/>
      <c r="D558" s="3"/>
      <c r="E558" s="2" t="str">
        <f>HYPERLINK("https://old.ukr-mobil.com/index.php?route=product&amp;product_id=10005753", "Перейти")</f>
        <v>Перейти</v>
      </c>
      <c r="F558" s="2">
        <v>10005753</v>
      </c>
      <c r="G558" s="4" t="s">
        <v>595</v>
      </c>
      <c r="H558" s="1">
        <v>4</v>
      </c>
      <c r="I558" s="1">
        <v>0</v>
      </c>
      <c r="J558" s="1">
        <v>0</v>
      </c>
      <c r="K558" s="2">
        <v>3850.0</v>
      </c>
    </row>
    <row r="559" spans="1:12">
      <c r="A559" s="3" t="s">
        <v>546</v>
      </c>
      <c r="B559" s="3" t="s">
        <v>593</v>
      </c>
      <c r="C559" s="3"/>
      <c r="D559" s="3"/>
      <c r="E559" s="2" t="str">
        <f>HYPERLINK("https://old.ukr-mobil.com/index.php?route=product&amp;product_id=10005754", "Перейти")</f>
        <v>Перейти</v>
      </c>
      <c r="F559" s="2">
        <v>10005754</v>
      </c>
      <c r="G559" s="4" t="s">
        <v>596</v>
      </c>
      <c r="H559" s="1">
        <v>2</v>
      </c>
      <c r="I559" s="1">
        <v>0</v>
      </c>
      <c r="J559" s="1">
        <v>0</v>
      </c>
      <c r="K559" s="2">
        <v>4850.0</v>
      </c>
    </row>
    <row r="560" spans="1:12">
      <c r="A560" s="3" t="s">
        <v>546</v>
      </c>
      <c r="B560" s="3" t="s">
        <v>593</v>
      </c>
      <c r="C560" s="3"/>
      <c r="D560" s="3"/>
      <c r="E560" s="2" t="str">
        <f>HYPERLINK("https://old.ukr-mobil.com/index.php?route=product&amp;product_id=10005757", "Перейти")</f>
        <v>Перейти</v>
      </c>
      <c r="F560" s="2">
        <v>10005757</v>
      </c>
      <c r="G560" s="4" t="s">
        <v>597</v>
      </c>
      <c r="H560" s="1">
        <v>2</v>
      </c>
      <c r="I560" s="1">
        <v>0</v>
      </c>
      <c r="J560" s="1">
        <v>0</v>
      </c>
      <c r="K560" s="2">
        <v>6000.0</v>
      </c>
    </row>
    <row r="561" spans="1:12">
      <c r="A561" s="3" t="s">
        <v>546</v>
      </c>
      <c r="B561" s="3" t="s">
        <v>593</v>
      </c>
      <c r="C561" s="3"/>
      <c r="D561" s="3"/>
      <c r="E561" s="2" t="str">
        <f>HYPERLINK("https://old.ukr-mobil.com/index.php?route=product&amp;product_id=10005758", "Перейти")</f>
        <v>Перейти</v>
      </c>
      <c r="F561" s="2">
        <v>10005758</v>
      </c>
      <c r="G561" s="4" t="s">
        <v>598</v>
      </c>
      <c r="H561" s="1">
        <v>1</v>
      </c>
      <c r="I561" s="1">
        <v>0</v>
      </c>
      <c r="J561" s="1">
        <v>0</v>
      </c>
      <c r="K561" s="2">
        <v>3900.0</v>
      </c>
    </row>
    <row r="562" spans="1:12">
      <c r="A562" s="3" t="s">
        <v>546</v>
      </c>
      <c r="B562" s="3" t="s">
        <v>593</v>
      </c>
      <c r="C562" s="3"/>
      <c r="D562" s="3"/>
      <c r="E562" s="2" t="str">
        <f>HYPERLINK("https://old.ukr-mobil.com/index.php?route=product&amp;product_id=10005759", "Перейти")</f>
        <v>Перейти</v>
      </c>
      <c r="F562" s="2">
        <v>10005759</v>
      </c>
      <c r="G562" s="4" t="s">
        <v>599</v>
      </c>
      <c r="H562" s="1">
        <v>3</v>
      </c>
      <c r="I562" s="1">
        <v>0</v>
      </c>
      <c r="J562" s="1">
        <v>0</v>
      </c>
      <c r="K562" s="2">
        <v>6300.0</v>
      </c>
    </row>
    <row r="563" spans="1:12">
      <c r="A563" s="3" t="s">
        <v>546</v>
      </c>
      <c r="B563" s="3" t="s">
        <v>600</v>
      </c>
      <c r="C563" s="3"/>
      <c r="D563" s="3"/>
      <c r="E563" s="2" t="str">
        <f>HYPERLINK("https://old.ukr-mobil.com/invertor_gibridnyj_deye_sun-8k-sg01lp1-eu_8_kw_10004178", "Перейти")</f>
        <v>Перейти</v>
      </c>
      <c r="F563" s="2">
        <v>10004178</v>
      </c>
      <c r="G563" s="4" t="s">
        <v>601</v>
      </c>
      <c r="H563" s="1">
        <v>0</v>
      </c>
      <c r="I563" s="1">
        <v>0</v>
      </c>
      <c r="J563" s="1">
        <v>0</v>
      </c>
      <c r="K563" s="2">
        <v>1820.0</v>
      </c>
    </row>
    <row r="564" spans="1:12">
      <c r="A564" s="3" t="s">
        <v>546</v>
      </c>
      <c r="B564" s="3" t="s">
        <v>600</v>
      </c>
      <c r="C564" s="3"/>
      <c r="D564" s="3"/>
      <c r="E564" s="2" t="str">
        <f>HYPERLINK("https://old.ukr-mobil.com/invertor_solnechnyj_gibridnyj_s_chistoj_sinusoidoj_1000_w_12v_220v_10003432", "Перейти")</f>
        <v>Перейти</v>
      </c>
      <c r="F564" s="2">
        <v>10003432</v>
      </c>
      <c r="G564" s="4" t="s">
        <v>602</v>
      </c>
      <c r="H564" s="1">
        <v>0</v>
      </c>
      <c r="I564" s="1">
        <v>0</v>
      </c>
      <c r="J564" s="1">
        <v>0</v>
      </c>
      <c r="K564" s="2">
        <v>190.0</v>
      </c>
    </row>
    <row r="565" spans="1:12">
      <c r="A565" s="3" t="s">
        <v>546</v>
      </c>
      <c r="B565" s="3" t="s">
        <v>600</v>
      </c>
      <c r="C565" s="3"/>
      <c r="D565" s="3"/>
      <c r="E565" s="2" t="str">
        <f>HYPERLINK("https://old.ukr-mobil.com/invertor_solnechnyj_gibridnyj_s_chistoj_sinusoidoj_3000_w_24v_220v_10003433", "Перейти")</f>
        <v>Перейти</v>
      </c>
      <c r="F565" s="2">
        <v>10003433</v>
      </c>
      <c r="G565" s="4" t="s">
        <v>603</v>
      </c>
      <c r="H565" s="1">
        <v>0</v>
      </c>
      <c r="I565" s="1">
        <v>0</v>
      </c>
      <c r="J565" s="1">
        <v>0</v>
      </c>
      <c r="K565" s="2">
        <v>260.0</v>
      </c>
    </row>
    <row r="566" spans="1:12">
      <c r="A566" s="3" t="s">
        <v>546</v>
      </c>
      <c r="B566" s="3" t="s">
        <v>600</v>
      </c>
      <c r="C566" s="3"/>
      <c r="D566" s="3"/>
      <c r="E566" s="2" t="str">
        <f>HYPERLINK("https://old.ukr-mobil.com/index.php?route=product&amp;product_id=10005714", "Перейти")</f>
        <v>Перейти</v>
      </c>
      <c r="F566" s="2">
        <v>10005714</v>
      </c>
      <c r="G566" s="4" t="s">
        <v>604</v>
      </c>
      <c r="H566" s="1">
        <v>0</v>
      </c>
      <c r="I566" s="1">
        <v>0</v>
      </c>
      <c r="J566" s="1">
        <v>1</v>
      </c>
      <c r="K566" s="2">
        <v>262.0</v>
      </c>
    </row>
    <row r="567" spans="1:12">
      <c r="A567" s="3" t="s">
        <v>546</v>
      </c>
      <c r="B567" s="3" t="s">
        <v>600</v>
      </c>
      <c r="C567" s="3"/>
      <c r="D567" s="3"/>
      <c r="E567" s="2" t="str">
        <f>HYPERLINK("https://old.ukr-mobil.com/index.php?route=product&amp;product_id=10005772", "Перейти")</f>
        <v>Перейти</v>
      </c>
      <c r="F567" s="2">
        <v>10005772</v>
      </c>
      <c r="G567" s="4" t="s">
        <v>605</v>
      </c>
      <c r="H567" s="1">
        <v>21</v>
      </c>
      <c r="I567" s="1">
        <v>8</v>
      </c>
      <c r="J567" s="1">
        <v>6</v>
      </c>
      <c r="K567" s="2">
        <v>435.0</v>
      </c>
    </row>
    <row r="568" spans="1:12">
      <c r="A568" s="3" t="s">
        <v>546</v>
      </c>
      <c r="B568" s="3" t="s">
        <v>600</v>
      </c>
      <c r="C568" s="3"/>
      <c r="D568" s="3"/>
      <c r="E568" s="2" t="str">
        <f>HYPERLINK("https://old.ukr-mobil.com/index.php?route=product&amp;product_id=10005925", "Перейти")</f>
        <v>Перейти</v>
      </c>
      <c r="F568" s="2">
        <v>10005925</v>
      </c>
      <c r="G568" s="4" t="s">
        <v>606</v>
      </c>
      <c r="H568" s="1">
        <v>62</v>
      </c>
      <c r="I568" s="1">
        <v>0</v>
      </c>
      <c r="J568" s="1">
        <v>0</v>
      </c>
      <c r="K568" s="2">
        <v>420.0</v>
      </c>
    </row>
    <row r="569" spans="1:12">
      <c r="A569" s="3" t="s">
        <v>546</v>
      </c>
      <c r="B569" s="3" t="s">
        <v>600</v>
      </c>
      <c r="C569" s="3"/>
      <c r="D569" s="3"/>
      <c r="E569" s="2" t="str">
        <f>HYPERLINK("https://old.ukr-mobil.com/index.php?route=product&amp;product_id=10005914", "Перейти")</f>
        <v>Перейти</v>
      </c>
      <c r="F569" s="2">
        <v>10005914</v>
      </c>
      <c r="G569" s="4" t="s">
        <v>607</v>
      </c>
      <c r="H569" s="1">
        <v>0</v>
      </c>
      <c r="I569" s="1">
        <v>0</v>
      </c>
      <c r="J569" s="1">
        <v>0</v>
      </c>
      <c r="K569" s="2">
        <v>1100.0</v>
      </c>
    </row>
    <row r="570" spans="1:12">
      <c r="A570" s="3" t="s">
        <v>546</v>
      </c>
      <c r="B570" s="3" t="s">
        <v>600</v>
      </c>
      <c r="C570" s="3"/>
      <c r="D570" s="3"/>
      <c r="E570" s="2" t="str">
        <f>HYPERLINK("https://old.ukr-mobil.com/index.php?route=product&amp;product_id=10005915", "Перейти")</f>
        <v>Перейти</v>
      </c>
      <c r="F570" s="2">
        <v>10005915</v>
      </c>
      <c r="G570" s="4" t="s">
        <v>608</v>
      </c>
      <c r="H570" s="1">
        <v>0</v>
      </c>
      <c r="I570" s="1">
        <v>0</v>
      </c>
      <c r="J570" s="1">
        <v>0</v>
      </c>
      <c r="K570" s="2">
        <v>1670.0</v>
      </c>
    </row>
    <row r="571" spans="1:12">
      <c r="A571" s="3" t="s">
        <v>546</v>
      </c>
      <c r="B571" s="3" t="s">
        <v>600</v>
      </c>
      <c r="C571" s="3"/>
      <c r="D571" s="3"/>
      <c r="E571" s="2" t="str">
        <f>HYPERLINK("https://old.ukr-mobil.com/index.php?route=product&amp;product_id=10005907", "Перейти")</f>
        <v>Перейти</v>
      </c>
      <c r="F571" s="2">
        <v>10005907</v>
      </c>
      <c r="G571" s="4" t="s">
        <v>609</v>
      </c>
      <c r="H571" s="1">
        <v>0</v>
      </c>
      <c r="I571" s="1">
        <v>0</v>
      </c>
      <c r="J571" s="1">
        <v>0</v>
      </c>
      <c r="K571" s="2">
        <v>2200.0</v>
      </c>
    </row>
    <row r="572" spans="1:12">
      <c r="A572" s="3" t="s">
        <v>546</v>
      </c>
      <c r="B572" s="3" t="s">
        <v>600</v>
      </c>
      <c r="C572" s="3"/>
      <c r="D572" s="3"/>
      <c r="E572" s="2" t="str">
        <f>HYPERLINK("https://old.ukr-mobil.com/index.php?route=product&amp;product_id=10005903", "Перейти")</f>
        <v>Перейти</v>
      </c>
      <c r="F572" s="2">
        <v>10005903</v>
      </c>
      <c r="G572" s="4" t="s">
        <v>610</v>
      </c>
      <c r="H572" s="1">
        <v>0</v>
      </c>
      <c r="I572" s="1">
        <v>0</v>
      </c>
      <c r="J572" s="1">
        <v>0</v>
      </c>
      <c r="K572" s="2">
        <v>2360.0</v>
      </c>
    </row>
    <row r="573" spans="1:12">
      <c r="A573" s="3" t="s">
        <v>546</v>
      </c>
      <c r="B573" s="3" t="s">
        <v>600</v>
      </c>
      <c r="C573" s="3"/>
      <c r="D573" s="3"/>
      <c r="E573" s="2" t="str">
        <f>HYPERLINK("https://old.ukr-mobil.com/index.php?route=product&amp;product_id=10005908", "Перейти")</f>
        <v>Перейти</v>
      </c>
      <c r="F573" s="2">
        <v>10005908</v>
      </c>
      <c r="G573" s="4" t="s">
        <v>611</v>
      </c>
      <c r="H573" s="1">
        <v>0</v>
      </c>
      <c r="I573" s="1">
        <v>0</v>
      </c>
      <c r="J573" s="1">
        <v>0</v>
      </c>
      <c r="K573" s="2">
        <v>2290.0</v>
      </c>
    </row>
    <row r="574" spans="1:12">
      <c r="A574" s="3" t="s">
        <v>546</v>
      </c>
      <c r="B574" s="3" t="s">
        <v>600</v>
      </c>
      <c r="C574" s="3"/>
      <c r="D574" s="3"/>
      <c r="E574" s="2" t="str">
        <f>HYPERLINK("https://old.ukr-mobil.com/index.php?route=product&amp;product_id=10005904", "Перейти")</f>
        <v>Перейти</v>
      </c>
      <c r="F574" s="2">
        <v>10005904</v>
      </c>
      <c r="G574" s="4" t="s">
        <v>612</v>
      </c>
      <c r="H574" s="1">
        <v>0</v>
      </c>
      <c r="I574" s="1">
        <v>0</v>
      </c>
      <c r="J574" s="1">
        <v>0</v>
      </c>
      <c r="K574" s="2">
        <v>2250.0</v>
      </c>
    </row>
    <row r="575" spans="1:12">
      <c r="A575" s="3" t="s">
        <v>546</v>
      </c>
      <c r="B575" s="3" t="s">
        <v>600</v>
      </c>
      <c r="C575" s="3"/>
      <c r="D575" s="3"/>
      <c r="E575" s="2" t="str">
        <f>HYPERLINK("https://old.ukr-mobil.com/index.php?route=product&amp;product_id=10005916", "Перейти")</f>
        <v>Перейти</v>
      </c>
      <c r="F575" s="2">
        <v>10005916</v>
      </c>
      <c r="G575" s="4" t="s">
        <v>613</v>
      </c>
      <c r="H575" s="1">
        <v>1</v>
      </c>
      <c r="I575" s="1">
        <v>0</v>
      </c>
      <c r="J575" s="1">
        <v>0</v>
      </c>
      <c r="K575" s="2">
        <v>2390.0</v>
      </c>
    </row>
    <row r="576" spans="1:12">
      <c r="A576" s="3" t="s">
        <v>546</v>
      </c>
      <c r="B576" s="3" t="s">
        <v>600</v>
      </c>
      <c r="C576" s="3"/>
      <c r="D576" s="3"/>
      <c r="E576" s="2" t="str">
        <f>HYPERLINK("https://old.ukr-mobil.com/index.php?route=product&amp;product_id=10005917", "Перейти")</f>
        <v>Перейти</v>
      </c>
      <c r="F576" s="2">
        <v>10005917</v>
      </c>
      <c r="G576" s="4" t="s">
        <v>614</v>
      </c>
      <c r="H576" s="1">
        <v>0</v>
      </c>
      <c r="I576" s="1">
        <v>0</v>
      </c>
      <c r="J576" s="1">
        <v>0</v>
      </c>
      <c r="K576" s="2">
        <v>4560.0</v>
      </c>
    </row>
    <row r="577" spans="1:12">
      <c r="A577" s="3" t="s">
        <v>546</v>
      </c>
      <c r="B577" s="3" t="s">
        <v>600</v>
      </c>
      <c r="C577" s="3"/>
      <c r="D577" s="3"/>
      <c r="E577" s="2" t="str">
        <f>HYPERLINK("https://old.ukr-mobil.com/index.php?route=product&amp;product_id=10005905", "Перейти")</f>
        <v>Перейти</v>
      </c>
      <c r="F577" s="2">
        <v>10005905</v>
      </c>
      <c r="G577" s="4" t="s">
        <v>615</v>
      </c>
      <c r="H577" s="1">
        <v>0</v>
      </c>
      <c r="I577" s="1">
        <v>0</v>
      </c>
      <c r="J577" s="1">
        <v>0</v>
      </c>
      <c r="K577" s="2">
        <v>5250.0</v>
      </c>
    </row>
    <row r="578" spans="1:12">
      <c r="A578" s="3" t="s">
        <v>546</v>
      </c>
      <c r="B578" s="3" t="s">
        <v>600</v>
      </c>
      <c r="C578" s="3"/>
      <c r="D578" s="3"/>
      <c r="E578" s="2" t="str">
        <f>HYPERLINK("https://old.ukr-mobil.com/index.php?route=product&amp;product_id=10005906", "Перейти")</f>
        <v>Перейти</v>
      </c>
      <c r="F578" s="2">
        <v>10005906</v>
      </c>
      <c r="G578" s="4" t="s">
        <v>616</v>
      </c>
      <c r="H578" s="1">
        <v>0</v>
      </c>
      <c r="I578" s="1">
        <v>0</v>
      </c>
      <c r="J578" s="1">
        <v>0</v>
      </c>
      <c r="K578" s="2">
        <v>5995.0</v>
      </c>
    </row>
    <row r="579" spans="1:12">
      <c r="A579" s="3" t="s">
        <v>546</v>
      </c>
      <c r="B579" s="3" t="s">
        <v>600</v>
      </c>
      <c r="C579" s="3"/>
      <c r="D579" s="3"/>
      <c r="E579" s="2" t="str">
        <f>HYPERLINK("https://old.ukr-mobil.com/index.php?route=product&amp;product_id=10005911", "Перейти")</f>
        <v>Перейти</v>
      </c>
      <c r="F579" s="2">
        <v>10005911</v>
      </c>
      <c r="G579" s="4" t="s">
        <v>617</v>
      </c>
      <c r="H579" s="1">
        <v>0</v>
      </c>
      <c r="I579" s="1">
        <v>0</v>
      </c>
      <c r="J579" s="1">
        <v>0</v>
      </c>
      <c r="K579" s="2">
        <v>1918.0</v>
      </c>
    </row>
    <row r="580" spans="1:12">
      <c r="A580" s="3" t="s">
        <v>546</v>
      </c>
      <c r="B580" s="3" t="s">
        <v>600</v>
      </c>
      <c r="C580" s="3"/>
      <c r="D580" s="3"/>
      <c r="E580" s="2" t="str">
        <f>HYPERLINK("https://old.ukr-mobil.com/index.php?route=product&amp;product_id=10005912", "Перейти")</f>
        <v>Перейти</v>
      </c>
      <c r="F580" s="2">
        <v>10005912</v>
      </c>
      <c r="G580" s="4" t="s">
        <v>618</v>
      </c>
      <c r="H580" s="1">
        <v>0</v>
      </c>
      <c r="I580" s="1">
        <v>0</v>
      </c>
      <c r="J580" s="1">
        <v>0</v>
      </c>
      <c r="K580" s="2">
        <v>2420.0</v>
      </c>
    </row>
    <row r="581" spans="1:12">
      <c r="A581" s="3" t="s">
        <v>546</v>
      </c>
      <c r="B581" s="3" t="s">
        <v>600</v>
      </c>
      <c r="C581" s="3"/>
      <c r="D581" s="3"/>
      <c r="E581" s="2" t="str">
        <f>HYPERLINK("https://old.ukr-mobil.com/index.php?route=product&amp;product_id=10005913", "Перейти")</f>
        <v>Перейти</v>
      </c>
      <c r="F581" s="2">
        <v>10005913</v>
      </c>
      <c r="G581" s="4" t="s">
        <v>619</v>
      </c>
      <c r="H581" s="1">
        <v>0</v>
      </c>
      <c r="I581" s="1">
        <v>0</v>
      </c>
      <c r="J581" s="1">
        <v>0</v>
      </c>
      <c r="K581" s="2">
        <v>39.0</v>
      </c>
    </row>
    <row r="582" spans="1:12">
      <c r="A582" s="3" t="s">
        <v>546</v>
      </c>
      <c r="B582" s="3" t="s">
        <v>620</v>
      </c>
      <c r="C582" s="3"/>
      <c r="D582" s="3"/>
      <c r="E582" s="2" t="str">
        <f>HYPERLINK("https://old.ukr-mobil.com/index.php?route=product&amp;product_id=10005854", "Перейти")</f>
        <v>Перейти</v>
      </c>
      <c r="F582" s="2">
        <v>10005854</v>
      </c>
      <c r="G582" s="4" t="s">
        <v>621</v>
      </c>
      <c r="H582" s="1">
        <v>24</v>
      </c>
      <c r="I582" s="1">
        <v>0</v>
      </c>
      <c r="J582" s="1">
        <v>0</v>
      </c>
      <c r="K582" s="2">
        <v>76.0</v>
      </c>
    </row>
    <row r="583" spans="1:12">
      <c r="A583" s="3" t="s">
        <v>546</v>
      </c>
      <c r="B583" s="3" t="s">
        <v>620</v>
      </c>
      <c r="C583" s="3"/>
      <c r="D583" s="3"/>
      <c r="E583" s="2" t="str">
        <f>HYPERLINK("https://old.ukr-mobil.com/index.php?route=product&amp;product_id=10005853", "Перейти")</f>
        <v>Перейти</v>
      </c>
      <c r="F583" s="2">
        <v>10005853</v>
      </c>
      <c r="G583" s="4" t="s">
        <v>622</v>
      </c>
      <c r="H583" s="1">
        <v>202</v>
      </c>
      <c r="I583" s="1">
        <v>0</v>
      </c>
      <c r="J583" s="1">
        <v>0</v>
      </c>
      <c r="K583" s="2">
        <v>100.0</v>
      </c>
    </row>
    <row r="584" spans="1:12">
      <c r="A584" s="3" t="s">
        <v>546</v>
      </c>
      <c r="B584" s="3" t="s">
        <v>623</v>
      </c>
      <c r="C584" s="3"/>
      <c r="D584" s="3"/>
      <c r="E584" s="2" t="str">
        <f>HYPERLINK("https://old.ukr-mobil.com/index.php?route=product&amp;product_id=10005958", "Перейти")</f>
        <v>Перейти</v>
      </c>
      <c r="F584" s="2">
        <v>10005958</v>
      </c>
      <c r="G584" s="4" t="s">
        <v>624</v>
      </c>
      <c r="H584" s="1">
        <v>708</v>
      </c>
      <c r="I584" s="1">
        <v>4</v>
      </c>
      <c r="J584" s="1">
        <v>0</v>
      </c>
      <c r="K584" s="2">
        <v>45.0</v>
      </c>
    </row>
    <row r="585" spans="1:12">
      <c r="A585" s="3" t="s">
        <v>546</v>
      </c>
      <c r="B585" s="3" t="s">
        <v>623</v>
      </c>
      <c r="C585" s="3"/>
      <c r="D585" s="3"/>
      <c r="E585" s="2" t="str">
        <f>HYPERLINK("https://old.ukr-mobil.com/akkumulyator_litij_zhelezo_fosfatnyj_lifepo4_catl_3_2_v_125_ah_10003177", "Перейти")</f>
        <v>Перейти</v>
      </c>
      <c r="F585" s="2">
        <v>10003177</v>
      </c>
      <c r="G585" s="4" t="s">
        <v>625</v>
      </c>
      <c r="H585" s="1">
        <v>2</v>
      </c>
      <c r="I585" s="1">
        <v>0</v>
      </c>
      <c r="J585" s="1">
        <v>0</v>
      </c>
      <c r="K585" s="2">
        <v>98.0</v>
      </c>
    </row>
    <row r="586" spans="1:12">
      <c r="A586" s="3" t="s">
        <v>546</v>
      </c>
      <c r="B586" s="3" t="s">
        <v>623</v>
      </c>
      <c r="C586" s="3"/>
      <c r="D586" s="3"/>
      <c r="E586" s="2" t="str">
        <f>HYPERLINK("https://old.ukr-mobil.com/akkumulyator_litij_zhelezo_fosfatnyj_lifepo4_eve_3_2_v_100_ah_original_qr_klas_a_10003176", "Перейти")</f>
        <v>Перейти</v>
      </c>
      <c r="F586" s="2">
        <v>10003176</v>
      </c>
      <c r="G586" s="4" t="s">
        <v>626</v>
      </c>
      <c r="H586" s="1">
        <v>0</v>
      </c>
      <c r="I586" s="1">
        <v>0</v>
      </c>
      <c r="J586" s="1">
        <v>0</v>
      </c>
      <c r="K586" s="2">
        <v>74.0</v>
      </c>
    </row>
    <row r="587" spans="1:12">
      <c r="A587" s="3" t="s">
        <v>546</v>
      </c>
      <c r="B587" s="3" t="s">
        <v>623</v>
      </c>
      <c r="C587" s="3"/>
      <c r="D587" s="3"/>
      <c r="E587" s="2" t="str">
        <f>HYPERLINK("https://old.ukr-mobil.com/akkumulyator_litij_zhelezo_fosfatnyj_lifepo4_eve_3_2_v_105_ah_original_qr_klas_a_10003167", "Перейти")</f>
        <v>Перейти</v>
      </c>
      <c r="F587" s="2">
        <v>10003167</v>
      </c>
      <c r="G587" s="4" t="s">
        <v>627</v>
      </c>
      <c r="H587" s="1">
        <v>0</v>
      </c>
      <c r="I587" s="1">
        <v>0</v>
      </c>
      <c r="J587" s="1">
        <v>0</v>
      </c>
      <c r="K587" s="2">
        <v>81.0</v>
      </c>
    </row>
    <row r="588" spans="1:12">
      <c r="A588" s="3" t="s">
        <v>546</v>
      </c>
      <c r="B588" s="3" t="s">
        <v>623</v>
      </c>
      <c r="C588" s="3"/>
      <c r="D588" s="3"/>
      <c r="E588" s="2" t="str">
        <f>HYPERLINK("https://old.ukr-mobil.com/akkumulyator_litij_zhelezo_fosfatnyj_lifepo4_eve_3_2_v_280_ah_original_qr_klas_a_10003728", "Перейти")</f>
        <v>Перейти</v>
      </c>
      <c r="F588" s="2">
        <v>10003728</v>
      </c>
      <c r="G588" s="4" t="s">
        <v>628</v>
      </c>
      <c r="H588" s="1">
        <v>208</v>
      </c>
      <c r="I588" s="1">
        <v>0</v>
      </c>
      <c r="J588" s="1">
        <v>0</v>
      </c>
      <c r="K588" s="2">
        <v>67.0</v>
      </c>
    </row>
    <row r="589" spans="1:12">
      <c r="A589" s="3" t="s">
        <v>546</v>
      </c>
      <c r="B589" s="3" t="s">
        <v>623</v>
      </c>
      <c r="C589" s="3"/>
      <c r="D589" s="3"/>
      <c r="E589" s="2" t="str">
        <f>HYPERLINK("https://old.ukr-mobil.com/akkumulyator_litij_zhelezo_fosfatnyj_lifepo4_lishen_3_28_v_150_ah_10003189", "Перейти")</f>
        <v>Перейти</v>
      </c>
      <c r="F589" s="2">
        <v>10003189</v>
      </c>
      <c r="G589" s="4" t="s">
        <v>629</v>
      </c>
      <c r="H589" s="1">
        <v>2</v>
      </c>
      <c r="I589" s="1">
        <v>0</v>
      </c>
      <c r="J589" s="1">
        <v>0</v>
      </c>
      <c r="K589" s="2">
        <v>105.0</v>
      </c>
    </row>
    <row r="590" spans="1:12">
      <c r="A590" s="3" t="s">
        <v>546</v>
      </c>
      <c r="B590" s="3" t="s">
        <v>623</v>
      </c>
      <c r="C590" s="3"/>
      <c r="D590" s="3"/>
      <c r="E590" s="2" t="str">
        <f>HYPERLINK("https://old.ukr-mobil.com/index.php?route=product&amp;product_id=10005764", "Перейти")</f>
        <v>Перейти</v>
      </c>
      <c r="F590" s="2">
        <v>10005764</v>
      </c>
      <c r="G590" s="4" t="s">
        <v>630</v>
      </c>
      <c r="H590" s="1">
        <v>5</v>
      </c>
      <c r="I590" s="1">
        <v>0</v>
      </c>
      <c r="J590" s="1">
        <v>0</v>
      </c>
      <c r="K590" s="2">
        <v>285.0</v>
      </c>
    </row>
    <row r="591" spans="1:12">
      <c r="A591" s="3" t="s">
        <v>546</v>
      </c>
      <c r="B591" s="3" t="s">
        <v>623</v>
      </c>
      <c r="C591" s="3"/>
      <c r="D591" s="3"/>
      <c r="E591" s="2" t="str">
        <f>HYPERLINK("https://old.ukr-mobil.com/index.php?route=product&amp;product_id=10005768", "Перейти")</f>
        <v>Перейти</v>
      </c>
      <c r="F591" s="2">
        <v>10005768</v>
      </c>
      <c r="G591" s="4" t="s">
        <v>631</v>
      </c>
      <c r="H591" s="1">
        <v>2</v>
      </c>
      <c r="I591" s="1">
        <v>0</v>
      </c>
      <c r="J591" s="1">
        <v>0</v>
      </c>
      <c r="K591" s="2">
        <v>550.0</v>
      </c>
    </row>
    <row r="592" spans="1:12">
      <c r="A592" s="3" t="s">
        <v>546</v>
      </c>
      <c r="B592" s="3" t="s">
        <v>623</v>
      </c>
      <c r="C592" s="3"/>
      <c r="D592" s="3"/>
      <c r="E592" s="2" t="str">
        <f>HYPERLINK("https://old.ukr-mobil.com/index.php?route=product&amp;product_id=10005769", "Перейти")</f>
        <v>Перейти</v>
      </c>
      <c r="F592" s="2">
        <v>10005769</v>
      </c>
      <c r="G592" s="4" t="s">
        <v>632</v>
      </c>
      <c r="H592" s="1">
        <v>2</v>
      </c>
      <c r="I592" s="1">
        <v>0</v>
      </c>
      <c r="J592" s="1">
        <v>0</v>
      </c>
      <c r="K592" s="2">
        <v>650.0</v>
      </c>
    </row>
    <row r="593" spans="1:12">
      <c r="A593" s="3" t="s">
        <v>633</v>
      </c>
      <c r="B593" s="3" t="s">
        <v>634</v>
      </c>
      <c r="C593" s="3" t="s">
        <v>635</v>
      </c>
      <c r="D593" s="3"/>
      <c r="E593" s="2" t="str">
        <f>HYPERLINK("https://old.ukr-mobil.com/oca_plenka_na_ipad_air_2_dlya_prikleivaniya_stekla_7939", "Перейти")</f>
        <v>Перейти</v>
      </c>
      <c r="F593" s="2">
        <v>7939</v>
      </c>
      <c r="G593" s="4" t="s">
        <v>636</v>
      </c>
      <c r="H593" s="1">
        <v>9</v>
      </c>
      <c r="I593" s="1">
        <v>0</v>
      </c>
      <c r="J593" s="1">
        <v>0</v>
      </c>
      <c r="K593" s="2">
        <v>2.25</v>
      </c>
    </row>
    <row r="594" spans="1:12">
      <c r="A594" s="3" t="s">
        <v>633</v>
      </c>
      <c r="B594" s="3" t="s">
        <v>634</v>
      </c>
      <c r="C594" s="3" t="s">
        <v>635</v>
      </c>
      <c r="D594" s="3"/>
      <c r="E594" s="2" t="str">
        <f>HYPERLINK("https://old.ukr-mobil.com/oca_plenka_na_ipad_mini_4_dlya_prikleivaniya_stekla_11720", "Перейти")</f>
        <v>Перейти</v>
      </c>
      <c r="F594" s="2">
        <v>11720</v>
      </c>
      <c r="G594" s="4" t="s">
        <v>637</v>
      </c>
      <c r="H594" s="1">
        <v>0</v>
      </c>
      <c r="I594" s="1">
        <v>0</v>
      </c>
      <c r="J594" s="1">
        <v>0</v>
      </c>
      <c r="K594" s="2">
        <v>1.5</v>
      </c>
    </row>
    <row r="595" spans="1:12">
      <c r="A595" s="3" t="s">
        <v>633</v>
      </c>
      <c r="B595" s="3" t="s">
        <v>634</v>
      </c>
      <c r="C595" s="3" t="s">
        <v>635</v>
      </c>
      <c r="D595" s="3"/>
      <c r="E595" s="2" t="str">
        <f>HYPERLINK("https://old.ukr-mobil.com/oca_plenka_apple_ipad_pro_10_5_163mm_h_217mm_10_5_inch_250_um_10002020", "Перейти")</f>
        <v>Перейти</v>
      </c>
      <c r="F595" s="2">
        <v>10002020</v>
      </c>
      <c r="G595" s="4" t="s">
        <v>638</v>
      </c>
      <c r="H595" s="1">
        <v>0</v>
      </c>
      <c r="I595" s="1">
        <v>0</v>
      </c>
      <c r="J595" s="1">
        <v>0</v>
      </c>
      <c r="K595" s="2">
        <v>2.5</v>
      </c>
    </row>
    <row r="596" spans="1:12">
      <c r="A596" s="3" t="s">
        <v>633</v>
      </c>
      <c r="B596" s="3" t="s">
        <v>634</v>
      </c>
      <c r="C596" s="3" t="s">
        <v>635</v>
      </c>
      <c r="D596" s="3"/>
      <c r="E596" s="2" t="str">
        <f>HYPERLINK("https://old.ukr-mobil.com/oca_plenka_apple_ipad_pro_12_9_140mm_h_220mm_12_9_inch_250_um_10002021", "Перейти")</f>
        <v>Перейти</v>
      </c>
      <c r="F596" s="2">
        <v>10002021</v>
      </c>
      <c r="G596" s="4" t="s">
        <v>639</v>
      </c>
      <c r="H596" s="1">
        <v>3</v>
      </c>
      <c r="I596" s="1">
        <v>18</v>
      </c>
      <c r="J596" s="1">
        <v>35</v>
      </c>
      <c r="K596" s="2">
        <v>3.0</v>
      </c>
    </row>
    <row r="597" spans="1:12">
      <c r="A597" s="3" t="s">
        <v>633</v>
      </c>
      <c r="B597" s="3" t="s">
        <v>634</v>
      </c>
      <c r="C597" s="3" t="s">
        <v>640</v>
      </c>
      <c r="D597" s="3"/>
      <c r="E597" s="2" t="str">
        <f>HYPERLINK("https://old.ukr-mobil.com/oca_plenka_huawei_p_smart_z_71_mm_x_153_mm_250_um_10001131", "Перейти")</f>
        <v>Перейти</v>
      </c>
      <c r="F597" s="2">
        <v>10001131</v>
      </c>
      <c r="G597" s="4" t="s">
        <v>641</v>
      </c>
      <c r="H597" s="1">
        <v>0</v>
      </c>
      <c r="I597" s="1">
        <v>0</v>
      </c>
      <c r="J597" s="1">
        <v>0</v>
      </c>
      <c r="K597" s="2">
        <v>1.0</v>
      </c>
    </row>
    <row r="598" spans="1:12">
      <c r="A598" s="3" t="s">
        <v>633</v>
      </c>
      <c r="B598" s="3" t="s">
        <v>634</v>
      </c>
      <c r="C598" s="3" t="s">
        <v>640</v>
      </c>
      <c r="D598" s="3"/>
      <c r="E598" s="2" t="str">
        <f>HYPERLINK("https://old.ukr-mobil.com/oca_plenka_huawei_p_smart_z_71_mm_x_153_mm_250_um_upakovka_50_sht_10001132", "Перейти")</f>
        <v>Перейти</v>
      </c>
      <c r="F598" s="2">
        <v>10001132</v>
      </c>
      <c r="G598" s="4" t="s">
        <v>642</v>
      </c>
      <c r="H598" s="1">
        <v>0</v>
      </c>
      <c r="I598" s="1">
        <v>0</v>
      </c>
      <c r="J598" s="1">
        <v>0</v>
      </c>
      <c r="K598" s="2">
        <v>36.0</v>
      </c>
    </row>
    <row r="599" spans="1:12">
      <c r="A599" s="3" t="s">
        <v>633</v>
      </c>
      <c r="B599" s="3" t="s">
        <v>634</v>
      </c>
      <c r="C599" s="3" t="s">
        <v>643</v>
      </c>
      <c r="D599" s="3"/>
      <c r="E599" s="2" t="str">
        <f>HYPERLINK("https://old.ukr-mobil.com/oca_plenka_na_iphone_4g_dlya_prikleivaniya_stekla_5563", "Перейти")</f>
        <v>Перейти</v>
      </c>
      <c r="F599" s="2">
        <v>5563</v>
      </c>
      <c r="G599" s="4" t="s">
        <v>644</v>
      </c>
      <c r="H599" s="1">
        <v>50</v>
      </c>
      <c r="I599" s="1">
        <v>0</v>
      </c>
      <c r="J599" s="1">
        <v>10</v>
      </c>
      <c r="K599" s="2">
        <v>0.81</v>
      </c>
    </row>
    <row r="600" spans="1:12">
      <c r="A600" s="3" t="s">
        <v>633</v>
      </c>
      <c r="B600" s="3" t="s">
        <v>634</v>
      </c>
      <c r="C600" s="3" t="s">
        <v>643</v>
      </c>
      <c r="D600" s="3"/>
      <c r="E600" s="2" t="str">
        <f>HYPERLINK("https://old.ukr-mobil.com/oca_plenka_na_iphone_6_plus_6s_plus_dlya_prikleivaniya_stekla_6812", "Перейти")</f>
        <v>Перейти</v>
      </c>
      <c r="F600" s="2">
        <v>6812</v>
      </c>
      <c r="G600" s="4" t="s">
        <v>645</v>
      </c>
      <c r="H600" s="1">
        <v>0</v>
      </c>
      <c r="I600" s="1">
        <v>0</v>
      </c>
      <c r="J600" s="1">
        <v>0</v>
      </c>
      <c r="K600" s="2">
        <v>0.65</v>
      </c>
    </row>
    <row r="601" spans="1:12">
      <c r="A601" s="3" t="s">
        <v>633</v>
      </c>
      <c r="B601" s="3" t="s">
        <v>634</v>
      </c>
      <c r="C601" s="3" t="s">
        <v>643</v>
      </c>
      <c r="D601" s="3"/>
      <c r="E601" s="2" t="str">
        <f>HYPERLINK("https://old.ukr-mobil.com/oca_plenka_na_iphone_6_6s_dlya_prikleivaniya_stekla_5565", "Перейти")</f>
        <v>Перейти</v>
      </c>
      <c r="F601" s="2">
        <v>5565</v>
      </c>
      <c r="G601" s="4" t="s">
        <v>646</v>
      </c>
      <c r="H601" s="1">
        <v>87</v>
      </c>
      <c r="I601" s="1">
        <v>49</v>
      </c>
      <c r="J601" s="1">
        <v>16</v>
      </c>
      <c r="K601" s="2">
        <v>0.5</v>
      </c>
    </row>
    <row r="602" spans="1:12">
      <c r="A602" s="3" t="s">
        <v>633</v>
      </c>
      <c r="B602" s="3" t="s">
        <v>634</v>
      </c>
      <c r="C602" s="3" t="s">
        <v>643</v>
      </c>
      <c r="D602" s="3"/>
      <c r="E602" s="2" t="str">
        <f>HYPERLINK("https://old.ukr-mobil.com/oca_plenka_na_iphone_x_dlya_prikleivaniya_stekla_displeya_9656", "Перейти")</f>
        <v>Перейти</v>
      </c>
      <c r="F602" s="2">
        <v>9656</v>
      </c>
      <c r="G602" s="4" t="s">
        <v>647</v>
      </c>
      <c r="H602" s="1">
        <v>22</v>
      </c>
      <c r="I602" s="1">
        <v>17</v>
      </c>
      <c r="J602" s="1">
        <v>42</v>
      </c>
      <c r="K602" s="2">
        <v>0.45</v>
      </c>
    </row>
    <row r="603" spans="1:12">
      <c r="A603" s="3" t="s">
        <v>633</v>
      </c>
      <c r="B603" s="3" t="s">
        <v>634</v>
      </c>
      <c r="C603" s="3" t="s">
        <v>648</v>
      </c>
      <c r="D603" s="3"/>
      <c r="E603" s="2" t="str">
        <f>HYPERLINK("https://old.ukr-mobil.com/oca_plenka_iwatch_38mm_11832", "Перейти")</f>
        <v>Перейти</v>
      </c>
      <c r="F603" s="2">
        <v>11832</v>
      </c>
      <c r="G603" s="4" t="s">
        <v>649</v>
      </c>
      <c r="H603" s="1">
        <v>79</v>
      </c>
      <c r="I603" s="1">
        <v>6</v>
      </c>
      <c r="J603" s="1">
        <v>3</v>
      </c>
      <c r="K603" s="2">
        <v>0.86</v>
      </c>
    </row>
    <row r="604" spans="1:12">
      <c r="A604" s="3" t="s">
        <v>633</v>
      </c>
      <c r="B604" s="3" t="s">
        <v>634</v>
      </c>
      <c r="C604" s="3" t="s">
        <v>648</v>
      </c>
      <c r="D604" s="3"/>
      <c r="E604" s="2" t="str">
        <f>HYPERLINK("https://old.ukr-mobil.com/oca_plenka_iwatch_40mm_11834", "Перейти")</f>
        <v>Перейти</v>
      </c>
      <c r="F604" s="2">
        <v>11834</v>
      </c>
      <c r="G604" s="4" t="s">
        <v>650</v>
      </c>
      <c r="H604" s="1">
        <v>57</v>
      </c>
      <c r="I604" s="1">
        <v>9</v>
      </c>
      <c r="J604" s="1">
        <v>10</v>
      </c>
      <c r="K604" s="2">
        <v>1.01</v>
      </c>
    </row>
    <row r="605" spans="1:12">
      <c r="A605" s="3" t="s">
        <v>633</v>
      </c>
      <c r="B605" s="3" t="s">
        <v>634</v>
      </c>
      <c r="C605" s="3" t="s">
        <v>648</v>
      </c>
      <c r="D605" s="3"/>
      <c r="E605" s="2" t="str">
        <f>HYPERLINK("https://old.ukr-mobil.com/oca_plenka_iwatch_42mm_11833", "Перейти")</f>
        <v>Перейти</v>
      </c>
      <c r="F605" s="2">
        <v>11833</v>
      </c>
      <c r="G605" s="4" t="s">
        <v>651</v>
      </c>
      <c r="H605" s="1">
        <v>77</v>
      </c>
      <c r="I605" s="1">
        <v>9</v>
      </c>
      <c r="J605" s="1">
        <v>1</v>
      </c>
      <c r="K605" s="2">
        <v>0.86</v>
      </c>
    </row>
    <row r="606" spans="1:12">
      <c r="A606" s="3" t="s">
        <v>633</v>
      </c>
      <c r="B606" s="3" t="s">
        <v>634</v>
      </c>
      <c r="C606" s="3" t="s">
        <v>648</v>
      </c>
      <c r="D606" s="3"/>
      <c r="E606" s="2" t="str">
        <f>HYPERLINK("https://old.ukr-mobil.com/oca_plenka_iwatch_44mm_11835", "Перейти")</f>
        <v>Перейти</v>
      </c>
      <c r="F606" s="2">
        <v>11835</v>
      </c>
      <c r="G606" s="4" t="s">
        <v>652</v>
      </c>
      <c r="H606" s="1">
        <v>51</v>
      </c>
      <c r="I606" s="1">
        <v>5</v>
      </c>
      <c r="J606" s="1">
        <v>3</v>
      </c>
      <c r="K606" s="2">
        <v>1.01</v>
      </c>
    </row>
    <row r="607" spans="1:12">
      <c r="A607" s="3" t="s">
        <v>633</v>
      </c>
      <c r="B607" s="3" t="s">
        <v>634</v>
      </c>
      <c r="C607" s="3" t="s">
        <v>653</v>
      </c>
      <c r="D607" s="3"/>
      <c r="E607" s="2" t="str">
        <f>HYPERLINK("https://old.ukr-mobil.com/oca_plenka_samsung_a505_galaxy_a50_150_mm_x_70_mm_250_um_10001128", "Перейти")</f>
        <v>Перейти</v>
      </c>
      <c r="F607" s="2">
        <v>10001128</v>
      </c>
      <c r="G607" s="4" t="s">
        <v>654</v>
      </c>
      <c r="H607" s="1">
        <v>0</v>
      </c>
      <c r="I607" s="1">
        <v>0</v>
      </c>
      <c r="J607" s="1">
        <v>0</v>
      </c>
      <c r="K607" s="2">
        <v>0.85</v>
      </c>
    </row>
    <row r="608" spans="1:12">
      <c r="A608" s="3" t="s">
        <v>633</v>
      </c>
      <c r="B608" s="3" t="s">
        <v>634</v>
      </c>
      <c r="C608" s="3" t="s">
        <v>653</v>
      </c>
      <c r="D608" s="3"/>
      <c r="E608" s="2" t="str">
        <f>HYPERLINK("https://old.ukr-mobil.com/oca_plenka_samsung_a505_galaxy_a50_150_mm_x_70_mm_250_um_upakovka_50_sht_10001129", "Перейти")</f>
        <v>Перейти</v>
      </c>
      <c r="F608" s="2">
        <v>10001129</v>
      </c>
      <c r="G608" s="4" t="s">
        <v>655</v>
      </c>
      <c r="H608" s="1">
        <v>0</v>
      </c>
      <c r="I608" s="1">
        <v>0</v>
      </c>
      <c r="J608" s="1">
        <v>0</v>
      </c>
      <c r="K608" s="2">
        <v>33.0</v>
      </c>
    </row>
    <row r="609" spans="1:12">
      <c r="A609" s="3" t="s">
        <v>633</v>
      </c>
      <c r="B609" s="3" t="s">
        <v>634</v>
      </c>
      <c r="C609" s="3" t="s">
        <v>653</v>
      </c>
      <c r="D609" s="3"/>
      <c r="E609" s="2" t="str">
        <f>HYPERLINK("https://old.ukr-mobil.com/oca_plenka_samsung_a705_galaxy_a70_158_mm_x_73_mm_250_um_10001126", "Перейти")</f>
        <v>Перейти</v>
      </c>
      <c r="F609" s="2">
        <v>10001126</v>
      </c>
      <c r="G609" s="4" t="s">
        <v>656</v>
      </c>
      <c r="H609" s="1">
        <v>0</v>
      </c>
      <c r="I609" s="1">
        <v>0</v>
      </c>
      <c r="J609" s="1">
        <v>0</v>
      </c>
      <c r="K609" s="2">
        <v>0.85</v>
      </c>
    </row>
    <row r="610" spans="1:12">
      <c r="A610" s="3" t="s">
        <v>633</v>
      </c>
      <c r="B610" s="3" t="s">
        <v>634</v>
      </c>
      <c r="C610" s="3" t="s">
        <v>653</v>
      </c>
      <c r="D610" s="3"/>
      <c r="E610" s="2" t="str">
        <f>HYPERLINK("https://old.ukr-mobil.com/oca_plenka_samsung_a705_galaxy_a70_158_mm_x_73_mm_250_um_upakovka_50_sht_10001127", "Перейти")</f>
        <v>Перейти</v>
      </c>
      <c r="F610" s="2">
        <v>10001127</v>
      </c>
      <c r="G610" s="4" t="s">
        <v>657</v>
      </c>
      <c r="H610" s="1">
        <v>0</v>
      </c>
      <c r="I610" s="1">
        <v>0</v>
      </c>
      <c r="J610" s="1">
        <v>0</v>
      </c>
      <c r="K610" s="2">
        <v>33.0</v>
      </c>
    </row>
    <row r="611" spans="1:12">
      <c r="A611" s="3" t="s">
        <v>633</v>
      </c>
      <c r="B611" s="3" t="s">
        <v>634</v>
      </c>
      <c r="C611" s="3" t="s">
        <v>653</v>
      </c>
      <c r="D611" s="3"/>
      <c r="E611" s="2" t="str">
        <f>HYPERLINK("https://old.ukr-mobil.com/oca_plenka_na_samsung_galaxy_s8_g950_dlya_prikleivaniya_stekla_displeya_9657", "Перейти")</f>
        <v>Перейти</v>
      </c>
      <c r="F611" s="2">
        <v>9657</v>
      </c>
      <c r="G611" s="4" t="s">
        <v>658</v>
      </c>
      <c r="H611" s="1">
        <v>26</v>
      </c>
      <c r="I611" s="1">
        <v>0</v>
      </c>
      <c r="J611" s="1">
        <v>2</v>
      </c>
      <c r="K611" s="2">
        <v>0.8</v>
      </c>
    </row>
    <row r="612" spans="1:12">
      <c r="A612" s="3" t="s">
        <v>633</v>
      </c>
      <c r="B612" s="3" t="s">
        <v>634</v>
      </c>
      <c r="C612" s="3" t="s">
        <v>653</v>
      </c>
      <c r="D612" s="3"/>
      <c r="E612" s="2" t="str">
        <f>HYPERLINK("https://old.ukr-mobil.com/oca_plenka_na_samsung_galaxy_s8_plus_g955_dlya_prikleivaniya_stekla_displeya_9658", "Перейти")</f>
        <v>Перейти</v>
      </c>
      <c r="F612" s="2">
        <v>9658</v>
      </c>
      <c r="G612" s="4" t="s">
        <v>659</v>
      </c>
      <c r="H612" s="1">
        <v>35</v>
      </c>
      <c r="I612" s="1">
        <v>47</v>
      </c>
      <c r="J612" s="1">
        <v>7</v>
      </c>
      <c r="K612" s="2">
        <v>0.9</v>
      </c>
    </row>
    <row r="613" spans="1:12">
      <c r="A613" s="3" t="s">
        <v>633</v>
      </c>
      <c r="B613" s="3" t="s">
        <v>634</v>
      </c>
      <c r="C613" s="3" t="s">
        <v>653</v>
      </c>
      <c r="D613" s="3"/>
      <c r="E613" s="2" t="str">
        <f>HYPERLINK("https://old.ukr-mobil.com/oca_plenka_samsung_g973_galaxy_s10_68mm_x_143mm_150_um_10002034", "Перейти")</f>
        <v>Перейти</v>
      </c>
      <c r="F613" s="2">
        <v>10002034</v>
      </c>
      <c r="G613" s="4" t="s">
        <v>660</v>
      </c>
      <c r="H613" s="1">
        <v>25</v>
      </c>
      <c r="I613" s="1">
        <v>6</v>
      </c>
      <c r="J613" s="1">
        <v>10</v>
      </c>
      <c r="K613" s="2">
        <v>1.25</v>
      </c>
    </row>
    <row r="614" spans="1:12">
      <c r="A614" s="3" t="s">
        <v>633</v>
      </c>
      <c r="B614" s="3" t="s">
        <v>634</v>
      </c>
      <c r="C614" s="3" t="s">
        <v>653</v>
      </c>
      <c r="D614" s="3"/>
      <c r="E614" s="2" t="str">
        <f>HYPERLINK("https://old.ukr-mobil.com/oca_plenka_na_samsung_g973_galaxy_s10_dlya_prikleivaniya_stekla_displeya_12284", "Перейти")</f>
        <v>Перейти</v>
      </c>
      <c r="F614" s="2">
        <v>12284</v>
      </c>
      <c r="G614" s="4" t="s">
        <v>661</v>
      </c>
      <c r="H614" s="1">
        <v>0</v>
      </c>
      <c r="I614" s="1">
        <v>0</v>
      </c>
      <c r="J614" s="1">
        <v>2</v>
      </c>
      <c r="K614" s="2">
        <v>1.25</v>
      </c>
    </row>
    <row r="615" spans="1:12">
      <c r="A615" s="3" t="s">
        <v>633</v>
      </c>
      <c r="B615" s="3" t="s">
        <v>634</v>
      </c>
      <c r="C615" s="3" t="s">
        <v>653</v>
      </c>
      <c r="D615" s="3"/>
      <c r="E615" s="2" t="str">
        <f>HYPERLINK("https://old.ukr-mobil.com/oca_plenka_samsung_g975_galaxy_s10_plus_73mm_x_150mm_150_um_10002035", "Перейти")</f>
        <v>Перейти</v>
      </c>
      <c r="F615" s="2">
        <v>10002035</v>
      </c>
      <c r="G615" s="4" t="s">
        <v>662</v>
      </c>
      <c r="H615" s="1">
        <v>30</v>
      </c>
      <c r="I615" s="1">
        <v>8</v>
      </c>
      <c r="J615" s="1">
        <v>10</v>
      </c>
      <c r="K615" s="2">
        <v>1.25</v>
      </c>
    </row>
    <row r="616" spans="1:12">
      <c r="A616" s="3" t="s">
        <v>633</v>
      </c>
      <c r="B616" s="3" t="s">
        <v>634</v>
      </c>
      <c r="C616" s="3" t="s">
        <v>653</v>
      </c>
      <c r="D616" s="3"/>
      <c r="E616" s="2" t="str">
        <f>HYPERLINK("https://old.ukr-mobil.com/oca_plenka_na_samsung_g975_galaxy_s10_plus_dlya_prikleivaniya_stekla_displeya_12285", "Перейти")</f>
        <v>Перейти</v>
      </c>
      <c r="F616" s="2">
        <v>12285</v>
      </c>
      <c r="G616" s="4" t="s">
        <v>663</v>
      </c>
      <c r="H616" s="1">
        <v>21</v>
      </c>
      <c r="I616" s="1">
        <v>0</v>
      </c>
      <c r="J616" s="1">
        <v>0</v>
      </c>
      <c r="K616" s="2">
        <v>1.25</v>
      </c>
    </row>
    <row r="617" spans="1:12">
      <c r="A617" s="3" t="s">
        <v>633</v>
      </c>
      <c r="B617" s="3" t="s">
        <v>634</v>
      </c>
      <c r="C617" s="3" t="s">
        <v>653</v>
      </c>
      <c r="D617" s="3"/>
      <c r="E617" s="2" t="str">
        <f>HYPERLINK("https://old.ukr-mobil.com/oca_plenka_samsung_g980_galaxy_s20_g991_galaxy_s21_67mm_x_147mm_150_um_10002036", "Перейти")</f>
        <v>Перейти</v>
      </c>
      <c r="F617" s="2">
        <v>10002036</v>
      </c>
      <c r="G617" s="4" t="s">
        <v>664</v>
      </c>
      <c r="H617" s="1">
        <v>19</v>
      </c>
      <c r="I617" s="1">
        <v>7</v>
      </c>
      <c r="J617" s="1">
        <v>6</v>
      </c>
      <c r="K617" s="2">
        <v>1.25</v>
      </c>
    </row>
    <row r="618" spans="1:12">
      <c r="A618" s="3" t="s">
        <v>633</v>
      </c>
      <c r="B618" s="3" t="s">
        <v>634</v>
      </c>
      <c r="C618" s="3" t="s">
        <v>653</v>
      </c>
      <c r="D618" s="3"/>
      <c r="E618" s="2" t="str">
        <f>HYPERLINK("https://old.ukr-mobil.com/oca_plenka_samsung_g985_galaxy_s20_plus_71mm_x_152mm_150_um_10002037", "Перейти")</f>
        <v>Перейти</v>
      </c>
      <c r="F618" s="2">
        <v>10002037</v>
      </c>
      <c r="G618" s="4" t="s">
        <v>665</v>
      </c>
      <c r="H618" s="1">
        <v>11</v>
      </c>
      <c r="I618" s="1">
        <v>10</v>
      </c>
      <c r="J618" s="1">
        <v>10</v>
      </c>
      <c r="K618" s="2">
        <v>1.0</v>
      </c>
    </row>
    <row r="619" spans="1:12">
      <c r="A619" s="3" t="s">
        <v>633</v>
      </c>
      <c r="B619" s="3" t="s">
        <v>634</v>
      </c>
      <c r="C619" s="3" t="s">
        <v>653</v>
      </c>
      <c r="D619" s="3"/>
      <c r="E619" s="2" t="str">
        <f>HYPERLINK("https://old.ukr-mobil.com/oca_plenka_samsung_g988_galaxy_s20_ultra_g998_galaxy_s21_ultra_73mm_x_160mm_150_um_10002038", "Перейти")</f>
        <v>Перейти</v>
      </c>
      <c r="F619" s="2">
        <v>10002038</v>
      </c>
      <c r="G619" s="4" t="s">
        <v>666</v>
      </c>
      <c r="H619" s="1">
        <v>4</v>
      </c>
      <c r="I619" s="1">
        <v>10</v>
      </c>
      <c r="J619" s="1">
        <v>10</v>
      </c>
      <c r="K619" s="2">
        <v>1.25</v>
      </c>
    </row>
    <row r="620" spans="1:12">
      <c r="A620" s="3" t="s">
        <v>633</v>
      </c>
      <c r="B620" s="3" t="s">
        <v>634</v>
      </c>
      <c r="C620" s="3" t="s">
        <v>653</v>
      </c>
      <c r="D620" s="3"/>
      <c r="E620" s="2" t="str">
        <f>HYPERLINK("https://old.ukr-mobil.com/oca_plenka_na_samsung_galaxy_mega_i9200_143mm_80mm_dlya_prikleivaniya_stekla_displeya_11148", "Перейти")</f>
        <v>Перейти</v>
      </c>
      <c r="F620" s="2">
        <v>11148</v>
      </c>
      <c r="G620" s="4" t="s">
        <v>667</v>
      </c>
      <c r="H620" s="1">
        <v>0</v>
      </c>
      <c r="I620" s="1">
        <v>0</v>
      </c>
      <c r="J620" s="1">
        <v>0</v>
      </c>
      <c r="K620" s="2">
        <v>0.75</v>
      </c>
    </row>
    <row r="621" spans="1:12">
      <c r="A621" s="3" t="s">
        <v>633</v>
      </c>
      <c r="B621" s="3" t="s">
        <v>634</v>
      </c>
      <c r="C621" s="3" t="s">
        <v>653</v>
      </c>
      <c r="D621" s="3"/>
      <c r="E621" s="2" t="str">
        <f>HYPERLINK("https://old.ukr-mobil.com/oca_plenka_na_samsung_n950_galaxy_note_8_dlya_prikleivaniya_stekla_displeya_11831", "Перейти")</f>
        <v>Перейти</v>
      </c>
      <c r="F621" s="2">
        <v>11831</v>
      </c>
      <c r="G621" s="4" t="s">
        <v>668</v>
      </c>
      <c r="H621" s="1">
        <v>0</v>
      </c>
      <c r="I621" s="1">
        <v>0</v>
      </c>
      <c r="J621" s="1">
        <v>0</v>
      </c>
      <c r="K621" s="2">
        <v>1.0</v>
      </c>
    </row>
    <row r="622" spans="1:12">
      <c r="A622" s="3" t="s">
        <v>633</v>
      </c>
      <c r="B622" s="3" t="s">
        <v>634</v>
      </c>
      <c r="C622" s="3" t="s">
        <v>653</v>
      </c>
      <c r="D622" s="3"/>
      <c r="E622" s="2" t="str">
        <f>HYPERLINK("https://old.ukr-mobil.com/oca_plenka_samsung_n970_galaxy_note_10_71mm_x_146mm_150_um_10002039", "Перейти")</f>
        <v>Перейти</v>
      </c>
      <c r="F622" s="2">
        <v>10002039</v>
      </c>
      <c r="G622" s="4" t="s">
        <v>669</v>
      </c>
      <c r="H622" s="1">
        <v>27</v>
      </c>
      <c r="I622" s="1">
        <v>10</v>
      </c>
      <c r="J622" s="1">
        <v>10</v>
      </c>
      <c r="K622" s="2">
        <v>1.25</v>
      </c>
    </row>
    <row r="623" spans="1:12">
      <c r="A623" s="3" t="s">
        <v>633</v>
      </c>
      <c r="B623" s="3" t="s">
        <v>634</v>
      </c>
      <c r="C623" s="3" t="s">
        <v>653</v>
      </c>
      <c r="D623" s="3"/>
      <c r="E623" s="2" t="str">
        <f>HYPERLINK("https://old.ukr-mobil.com/oca_plenka_samsung_n975_galaxy_note_10_plus_71mm_x_153mm_150_um_10002040", "Перейти")</f>
        <v>Перейти</v>
      </c>
      <c r="F623" s="2">
        <v>10002040</v>
      </c>
      <c r="G623" s="4" t="s">
        <v>670</v>
      </c>
      <c r="H623" s="1">
        <v>0</v>
      </c>
      <c r="I623" s="1">
        <v>0</v>
      </c>
      <c r="J623" s="1">
        <v>0</v>
      </c>
      <c r="K623" s="2">
        <v>1.25</v>
      </c>
    </row>
    <row r="624" spans="1:12">
      <c r="A624" s="3" t="s">
        <v>633</v>
      </c>
      <c r="B624" s="3" t="s">
        <v>634</v>
      </c>
      <c r="C624" s="3" t="s">
        <v>653</v>
      </c>
      <c r="D624" s="3"/>
      <c r="E624" s="2" t="str">
        <f>HYPERLINK("https://old.ukr-mobil.com/oca_plenka_samsung_n980_galaxy_note_20_72mm_x_157mm_150_um_10002041", "Перейти")</f>
        <v>Перейти</v>
      </c>
      <c r="F624" s="2">
        <v>10002041</v>
      </c>
      <c r="G624" s="4" t="s">
        <v>671</v>
      </c>
      <c r="H624" s="1">
        <v>27</v>
      </c>
      <c r="I624" s="1">
        <v>10</v>
      </c>
      <c r="J624" s="1">
        <v>10</v>
      </c>
      <c r="K624" s="2">
        <v>1.25</v>
      </c>
    </row>
    <row r="625" spans="1:12">
      <c r="A625" s="3" t="s">
        <v>633</v>
      </c>
      <c r="B625" s="3" t="s">
        <v>634</v>
      </c>
      <c r="C625" s="3" t="s">
        <v>653</v>
      </c>
      <c r="D625" s="3"/>
      <c r="E625" s="2" t="str">
        <f>HYPERLINK("https://old.ukr-mobil.com/oca_plenka_samsung_n985_galaxy_note_20_ultra_76mm_x_160mm_150_um_10002042", "Перейти")</f>
        <v>Перейти</v>
      </c>
      <c r="F625" s="2">
        <v>10002042</v>
      </c>
      <c r="G625" s="4" t="s">
        <v>672</v>
      </c>
      <c r="H625" s="1">
        <v>0</v>
      </c>
      <c r="I625" s="1">
        <v>0</v>
      </c>
      <c r="J625" s="1">
        <v>0</v>
      </c>
      <c r="K625" s="2">
        <v>1.25</v>
      </c>
    </row>
    <row r="626" spans="1:12">
      <c r="A626" s="3" t="s">
        <v>633</v>
      </c>
      <c r="B626" s="3" t="s">
        <v>634</v>
      </c>
      <c r="C626" s="3" t="s">
        <v>653</v>
      </c>
      <c r="D626" s="3"/>
      <c r="E626" s="2" t="str">
        <f>HYPERLINK("https://old.ukr-mobil.com/oca_plenka_na_samsung_galaxy_j1_j110_dlya_prikleivaniya_stekla_displeya_7656", "Перейти")</f>
        <v>Перейти</v>
      </c>
      <c r="F626" s="2">
        <v>7656</v>
      </c>
      <c r="G626" s="4" t="s">
        <v>673</v>
      </c>
      <c r="H626" s="1">
        <v>18</v>
      </c>
      <c r="I626" s="1">
        <v>0</v>
      </c>
      <c r="J626" s="1">
        <v>0</v>
      </c>
      <c r="K626" s="2">
        <v>1.01</v>
      </c>
    </row>
    <row r="627" spans="1:12">
      <c r="A627" s="3" t="s">
        <v>633</v>
      </c>
      <c r="B627" s="3" t="s">
        <v>634</v>
      </c>
      <c r="C627" s="3" t="s">
        <v>653</v>
      </c>
      <c r="D627" s="3"/>
      <c r="E627" s="2" t="str">
        <f>HYPERLINK("https://old.ukr-mobil.com/oca_plenka_na_samsung_galaxy_s7_edge_g935_dlya_prikleivaniya_stekla_7654", "Перейти")</f>
        <v>Перейти</v>
      </c>
      <c r="F627" s="2">
        <v>7654</v>
      </c>
      <c r="G627" s="4" t="s">
        <v>674</v>
      </c>
      <c r="H627" s="1">
        <v>20</v>
      </c>
      <c r="I627" s="1">
        <v>0</v>
      </c>
      <c r="J627" s="1">
        <v>3</v>
      </c>
      <c r="K627" s="2">
        <v>1.26</v>
      </c>
    </row>
    <row r="628" spans="1:12">
      <c r="A628" s="3" t="s">
        <v>633</v>
      </c>
      <c r="B628" s="3" t="s">
        <v>634</v>
      </c>
      <c r="C628" s="3" t="s">
        <v>653</v>
      </c>
      <c r="D628" s="3"/>
      <c r="E628" s="2" t="str">
        <f>HYPERLINK("https://old.ukr-mobil.com/oca_plenka_na_samsung_galaxy_s9_plus_g965_dlya_prikleivaniya_stekla_displeya_12283", "Перейти")</f>
        <v>Перейти</v>
      </c>
      <c r="F628" s="2">
        <v>12283</v>
      </c>
      <c r="G628" s="4" t="s">
        <v>675</v>
      </c>
      <c r="H628" s="1">
        <v>0</v>
      </c>
      <c r="I628" s="1">
        <v>0</v>
      </c>
      <c r="J628" s="1">
        <v>0</v>
      </c>
      <c r="K628" s="2">
        <v>1.01</v>
      </c>
    </row>
    <row r="629" spans="1:12">
      <c r="A629" s="3" t="s">
        <v>633</v>
      </c>
      <c r="B629" s="3" t="s">
        <v>634</v>
      </c>
      <c r="C629" s="3" t="s">
        <v>676</v>
      </c>
      <c r="D629" s="3"/>
      <c r="E629" s="2" t="str">
        <f>HYPERLINK("https://old.ukr-mobil.com/oca_plenka_na_sony_c6602_xperia_z_dlya_prikleivaniya_stekla_7659", "Перейти")</f>
        <v>Перейти</v>
      </c>
      <c r="F629" s="2">
        <v>7659</v>
      </c>
      <c r="G629" s="4" t="s">
        <v>677</v>
      </c>
      <c r="H629" s="1">
        <v>13</v>
      </c>
      <c r="I629" s="1">
        <v>0</v>
      </c>
      <c r="J629" s="1">
        <v>7</v>
      </c>
      <c r="K629" s="2">
        <v>1.01</v>
      </c>
    </row>
    <row r="630" spans="1:12">
      <c r="A630" s="3" t="s">
        <v>633</v>
      </c>
      <c r="B630" s="3" t="s">
        <v>634</v>
      </c>
      <c r="C630" s="3" t="s">
        <v>676</v>
      </c>
      <c r="D630" s="3"/>
      <c r="E630" s="2" t="str">
        <f>HYPERLINK("https://old.ukr-mobil.com/oca_plenka_na_sony_d5803_xperia_z3_mini_dlya_prikleivaniya_stekla_7665", "Перейти")</f>
        <v>Перейти</v>
      </c>
      <c r="F630" s="2">
        <v>7665</v>
      </c>
      <c r="G630" s="4" t="s">
        <v>678</v>
      </c>
      <c r="H630" s="1">
        <v>0</v>
      </c>
      <c r="I630" s="1">
        <v>0</v>
      </c>
      <c r="J630" s="1">
        <v>10</v>
      </c>
      <c r="K630" s="2">
        <v>1.01</v>
      </c>
    </row>
    <row r="631" spans="1:12">
      <c r="A631" s="3" t="s">
        <v>633</v>
      </c>
      <c r="B631" s="3" t="s">
        <v>634</v>
      </c>
      <c r="C631" s="3" t="s">
        <v>676</v>
      </c>
      <c r="D631" s="3"/>
      <c r="E631" s="2" t="str">
        <f>HYPERLINK("https://old.ukr-mobil.com/oca_plenka_na_sony_d6502_xperia_z2_dlya_prikleivaniya_stekla_7661", "Перейти")</f>
        <v>Перейти</v>
      </c>
      <c r="F631" s="2">
        <v>7661</v>
      </c>
      <c r="G631" s="4" t="s">
        <v>679</v>
      </c>
      <c r="H631" s="1">
        <v>4</v>
      </c>
      <c r="I631" s="1">
        <v>0</v>
      </c>
      <c r="J631" s="1">
        <v>3</v>
      </c>
      <c r="K631" s="2">
        <v>1.01</v>
      </c>
    </row>
    <row r="632" spans="1:12">
      <c r="A632" s="3" t="s">
        <v>633</v>
      </c>
      <c r="B632" s="3" t="s">
        <v>634</v>
      </c>
      <c r="C632" s="3" t="s">
        <v>676</v>
      </c>
      <c r="D632" s="3"/>
      <c r="E632" s="2" t="str">
        <f>HYPERLINK("https://old.ukr-mobil.com/oca_plenka_na_sony_d6603_xperia_z3_dlya_prikleivaniya_stekla_7662", "Перейти")</f>
        <v>Перейти</v>
      </c>
      <c r="F632" s="2">
        <v>7662</v>
      </c>
      <c r="G632" s="4" t="s">
        <v>680</v>
      </c>
      <c r="H632" s="1">
        <v>30</v>
      </c>
      <c r="I632" s="1">
        <v>0</v>
      </c>
      <c r="J632" s="1">
        <v>7</v>
      </c>
      <c r="K632" s="2">
        <v>1.51</v>
      </c>
    </row>
    <row r="633" spans="1:12">
      <c r="A633" s="3" t="s">
        <v>633</v>
      </c>
      <c r="B633" s="3" t="s">
        <v>634</v>
      </c>
      <c r="C633" s="3" t="s">
        <v>676</v>
      </c>
      <c r="D633" s="3"/>
      <c r="E633" s="2" t="str">
        <f>HYPERLINK("https://old.ukr-mobil.com/oca_plenka_na_sony_e5823_xperia_z5_mini_dlya_prikleivaniya_stekla_7664", "Перейти")</f>
        <v>Перейти</v>
      </c>
      <c r="F633" s="2">
        <v>7664</v>
      </c>
      <c r="G633" s="4" t="s">
        <v>681</v>
      </c>
      <c r="H633" s="1">
        <v>24</v>
      </c>
      <c r="I633" s="1">
        <v>0</v>
      </c>
      <c r="J633" s="1">
        <v>10</v>
      </c>
      <c r="K633" s="2">
        <v>1.01</v>
      </c>
    </row>
    <row r="634" spans="1:12">
      <c r="A634" s="3" t="s">
        <v>633</v>
      </c>
      <c r="B634" s="3" t="s">
        <v>634</v>
      </c>
      <c r="C634" s="3" t="s">
        <v>676</v>
      </c>
      <c r="D634" s="3"/>
      <c r="E634" s="2" t="str">
        <f>HYPERLINK("https://old.ukr-mobil.com/oca_plenka_na_sony_e6602_xperia_z5_dlya_prikleivaniya_stekla_7663", "Перейти")</f>
        <v>Перейти</v>
      </c>
      <c r="F634" s="2">
        <v>7663</v>
      </c>
      <c r="G634" s="4" t="s">
        <v>682</v>
      </c>
      <c r="H634" s="1">
        <v>6</v>
      </c>
      <c r="I634" s="1">
        <v>0</v>
      </c>
      <c r="J634" s="1">
        <v>5</v>
      </c>
      <c r="K634" s="2">
        <v>1.51</v>
      </c>
    </row>
    <row r="635" spans="1:12">
      <c r="A635" s="3" t="s">
        <v>633</v>
      </c>
      <c r="B635" s="3" t="s">
        <v>634</v>
      </c>
      <c r="C635" s="3" t="s">
        <v>683</v>
      </c>
      <c r="D635" s="3"/>
      <c r="E635" s="2" t="str">
        <f>HYPERLINK("https://old.ukr-mobil.com/stiker_dlya_oca-plenki_polyarizacionnoj_plenki_40_sht_8235", "Перейти")</f>
        <v>Перейти</v>
      </c>
      <c r="F635" s="2">
        <v>8235</v>
      </c>
      <c r="G635" s="4" t="s">
        <v>684</v>
      </c>
      <c r="H635" s="1">
        <v>0</v>
      </c>
      <c r="I635" s="1">
        <v>0</v>
      </c>
      <c r="J635" s="1">
        <v>0</v>
      </c>
      <c r="K635" s="2">
        <v>0.5</v>
      </c>
    </row>
    <row r="636" spans="1:12">
      <c r="A636" s="3" t="s">
        <v>633</v>
      </c>
      <c r="B636" s="3" t="s">
        <v>634</v>
      </c>
      <c r="C636" s="3" t="s">
        <v>685</v>
      </c>
      <c r="D636" s="3"/>
      <c r="E636" s="2" t="str">
        <f>HYPERLINK("https://old.ukr-mobil.com/oca_plenka_112mm_h_176mm_8_inch_150_um_10002045", "Перейти")</f>
        <v>Перейти</v>
      </c>
      <c r="F636" s="2">
        <v>10002045</v>
      </c>
      <c r="G636" s="4" t="s">
        <v>686</v>
      </c>
      <c r="H636" s="1">
        <v>776</v>
      </c>
      <c r="I636" s="1">
        <v>80</v>
      </c>
      <c r="J636" s="1">
        <v>100</v>
      </c>
      <c r="K636" s="2">
        <v>1.5</v>
      </c>
    </row>
    <row r="637" spans="1:12">
      <c r="A637" s="3" t="s">
        <v>633</v>
      </c>
      <c r="B637" s="3" t="s">
        <v>634</v>
      </c>
      <c r="C637" s="3" t="s">
        <v>685</v>
      </c>
      <c r="D637" s="3"/>
      <c r="E637" s="2" t="str">
        <f>HYPERLINK("https://old.ukr-mobil.com/oca_plenka_140mm_h_220mm_10_inch_150_um_10002043", "Перейти")</f>
        <v>Перейти</v>
      </c>
      <c r="F637" s="2">
        <v>10002043</v>
      </c>
      <c r="G637" s="4" t="s">
        <v>687</v>
      </c>
      <c r="H637" s="1">
        <v>798</v>
      </c>
      <c r="I637" s="1">
        <v>97</v>
      </c>
      <c r="J637" s="1">
        <v>100</v>
      </c>
      <c r="K637" s="2">
        <v>1.85</v>
      </c>
    </row>
    <row r="638" spans="1:12">
      <c r="A638" s="3" t="s">
        <v>633</v>
      </c>
      <c r="B638" s="3" t="s">
        <v>634</v>
      </c>
      <c r="C638" s="3" t="s">
        <v>685</v>
      </c>
      <c r="D638" s="3"/>
      <c r="E638" s="2" t="str">
        <f>HYPERLINK("https://old.ukr-mobil.com/oca_plenka_10_inches_220mm_140mm_dlya_prikleivaniya_stekla_10000545", "Перейти")</f>
        <v>Перейти</v>
      </c>
      <c r="F638" s="2">
        <v>10000545</v>
      </c>
      <c r="G638" s="4" t="s">
        <v>688</v>
      </c>
      <c r="H638" s="1">
        <v>826</v>
      </c>
      <c r="I638" s="1">
        <v>96</v>
      </c>
      <c r="J638" s="1">
        <v>109</v>
      </c>
      <c r="K638" s="2">
        <v>1.85</v>
      </c>
    </row>
    <row r="639" spans="1:12">
      <c r="A639" s="3" t="s">
        <v>633</v>
      </c>
      <c r="B639" s="3" t="s">
        <v>634</v>
      </c>
      <c r="C639" s="3" t="s">
        <v>685</v>
      </c>
      <c r="D639" s="3"/>
      <c r="E639" s="2" t="str">
        <f>HYPERLINK("https://old.ukr-mobil.com/oca_plenka_140_mm_h_220_mm_10_inch_250_um_upakovka_50_sht_10001133", "Перейти")</f>
        <v>Перейти</v>
      </c>
      <c r="F639" s="2">
        <v>10001133</v>
      </c>
      <c r="G639" s="4" t="s">
        <v>689</v>
      </c>
      <c r="H639" s="1">
        <v>0</v>
      </c>
      <c r="I639" s="1">
        <v>0</v>
      </c>
      <c r="J639" s="1">
        <v>0</v>
      </c>
      <c r="K639" s="2">
        <v>68.0</v>
      </c>
    </row>
    <row r="640" spans="1:12">
      <c r="A640" s="3" t="s">
        <v>633</v>
      </c>
      <c r="B640" s="3" t="s">
        <v>634</v>
      </c>
      <c r="C640" s="3" t="s">
        <v>685</v>
      </c>
      <c r="D640" s="3"/>
      <c r="E640" s="2" t="str">
        <f>HYPERLINK("https://old.ukr-mobil.com/oca_plenka_83_mm_h_146_mm_6_5_inch_250_um_10001124", "Перейти")</f>
        <v>Перейти</v>
      </c>
      <c r="F640" s="2">
        <v>10001124</v>
      </c>
      <c r="G640" s="4" t="s">
        <v>690</v>
      </c>
      <c r="H640" s="1">
        <v>0</v>
      </c>
      <c r="I640" s="1">
        <v>0</v>
      </c>
      <c r="J640" s="1">
        <v>0</v>
      </c>
      <c r="K640" s="2">
        <v>1.0</v>
      </c>
    </row>
    <row r="641" spans="1:12">
      <c r="A641" s="3" t="s">
        <v>633</v>
      </c>
      <c r="B641" s="3" t="s">
        <v>634</v>
      </c>
      <c r="C641" s="3" t="s">
        <v>685</v>
      </c>
      <c r="D641" s="3"/>
      <c r="E641" s="2" t="str">
        <f>HYPERLINK("https://old.ukr-mobil.com/oca_plenka_83_mm_h_146_mm_6_5_inch_250_um_upakovka_50_sht_10001125", "Перейти")</f>
        <v>Перейти</v>
      </c>
      <c r="F641" s="2">
        <v>10001125</v>
      </c>
      <c r="G641" s="4" t="s">
        <v>691</v>
      </c>
      <c r="H641" s="1">
        <v>4</v>
      </c>
      <c r="I641" s="1">
        <v>0</v>
      </c>
      <c r="J641" s="1">
        <v>0</v>
      </c>
      <c r="K641" s="2">
        <v>32.0</v>
      </c>
    </row>
    <row r="642" spans="1:12">
      <c r="A642" s="3" t="s">
        <v>633</v>
      </c>
      <c r="B642" s="3" t="s">
        <v>634</v>
      </c>
      <c r="C642" s="3" t="s">
        <v>685</v>
      </c>
      <c r="D642" s="3"/>
      <c r="E642" s="2" t="str">
        <f>HYPERLINK("https://old.ukr-mobil.com/oca_plenka_99mm_h_155mm_7_inch_250_um_10002023", "Перейти")</f>
        <v>Перейти</v>
      </c>
      <c r="F642" s="2">
        <v>10002023</v>
      </c>
      <c r="G642" s="4" t="s">
        <v>692</v>
      </c>
      <c r="H642" s="1">
        <v>2473</v>
      </c>
      <c r="I642" s="1">
        <v>141</v>
      </c>
      <c r="J642" s="1">
        <v>100</v>
      </c>
      <c r="K642" s="2">
        <v>1.3</v>
      </c>
    </row>
    <row r="643" spans="1:12">
      <c r="A643" s="3" t="s">
        <v>633</v>
      </c>
      <c r="B643" s="3" t="s">
        <v>693</v>
      </c>
      <c r="C643" s="3"/>
      <c r="D643" s="3"/>
      <c r="E643" s="2" t="str">
        <f>HYPERLINK("https://old.ukr-mobil.com/vodozashchitnaya_proklejka_displeya_apple_iphone_11_10001991", "Перейти")</f>
        <v>Перейти</v>
      </c>
      <c r="F643" s="2">
        <v>10001991</v>
      </c>
      <c r="G643" s="4" t="s">
        <v>694</v>
      </c>
      <c r="H643" s="1">
        <v>0</v>
      </c>
      <c r="I643" s="1">
        <v>0</v>
      </c>
      <c r="J643" s="1">
        <v>0</v>
      </c>
      <c r="K643" s="2">
        <v>1.0</v>
      </c>
    </row>
    <row r="644" spans="1:12">
      <c r="A644" s="3" t="s">
        <v>633</v>
      </c>
      <c r="B644" s="3" t="s">
        <v>693</v>
      </c>
      <c r="C644" s="3"/>
      <c r="D644" s="3"/>
      <c r="E644" s="2" t="str">
        <f>HYPERLINK("https://old.ukr-mobil.com/vodozashchitnaya_proklejka_displeya_apple_iphone_11_pro_10002413", "Перейти")</f>
        <v>Перейти</v>
      </c>
      <c r="F644" s="2">
        <v>10002413</v>
      </c>
      <c r="G644" s="4" t="s">
        <v>695</v>
      </c>
      <c r="H644" s="1">
        <v>11</v>
      </c>
      <c r="I644" s="1">
        <v>6</v>
      </c>
      <c r="J644" s="1">
        <v>7</v>
      </c>
      <c r="K644" s="2">
        <v>1.0</v>
      </c>
    </row>
    <row r="645" spans="1:12">
      <c r="A645" s="3" t="s">
        <v>633</v>
      </c>
      <c r="B645" s="3" t="s">
        <v>693</v>
      </c>
      <c r="C645" s="3"/>
      <c r="D645" s="3"/>
      <c r="E645" s="2" t="str">
        <f>HYPERLINK("https://old.ukr-mobil.com/vodozashchitnaya_proklejka_displeya_apple_iphone_11_pro_max_10002414", "Перейти")</f>
        <v>Перейти</v>
      </c>
      <c r="F645" s="2">
        <v>10002414</v>
      </c>
      <c r="G645" s="4" t="s">
        <v>696</v>
      </c>
      <c r="H645" s="1">
        <v>1</v>
      </c>
      <c r="I645" s="1">
        <v>5</v>
      </c>
      <c r="J645" s="1">
        <v>3</v>
      </c>
      <c r="K645" s="2">
        <v>1.0</v>
      </c>
    </row>
    <row r="646" spans="1:12">
      <c r="A646" s="3" t="s">
        <v>633</v>
      </c>
      <c r="B646" s="3" t="s">
        <v>693</v>
      </c>
      <c r="C646" s="3"/>
      <c r="D646" s="3"/>
      <c r="E646" s="2" t="str">
        <f>HYPERLINK("https://old.ukr-mobil.com/vodozashchitnaya_proklejka_displeya_apple_iphone_12_pro_max_10002416", "Перейти")</f>
        <v>Перейти</v>
      </c>
      <c r="F646" s="2">
        <v>10002416</v>
      </c>
      <c r="G646" s="4" t="s">
        <v>697</v>
      </c>
      <c r="H646" s="1">
        <v>18</v>
      </c>
      <c r="I646" s="1">
        <v>9</v>
      </c>
      <c r="J646" s="1">
        <v>0</v>
      </c>
      <c r="K646" s="2">
        <v>1.0</v>
      </c>
    </row>
    <row r="647" spans="1:12">
      <c r="A647" s="3" t="s">
        <v>633</v>
      </c>
      <c r="B647" s="3" t="s">
        <v>693</v>
      </c>
      <c r="C647" s="3"/>
      <c r="D647" s="3"/>
      <c r="E647" s="2" t="str">
        <f>HYPERLINK("https://old.ukr-mobil.com/vodozashchitnaya_proklejka_displeya_apple_iphone_12_iphone_12_pro_10002415", "Перейти")</f>
        <v>Перейти</v>
      </c>
      <c r="F647" s="2">
        <v>10002415</v>
      </c>
      <c r="G647" s="4" t="s">
        <v>698</v>
      </c>
      <c r="H647" s="1">
        <v>10</v>
      </c>
      <c r="I647" s="1">
        <v>5</v>
      </c>
      <c r="J647" s="1">
        <v>0</v>
      </c>
      <c r="K647" s="2">
        <v>1.0</v>
      </c>
    </row>
    <row r="648" spans="1:12">
      <c r="A648" s="3" t="s">
        <v>633</v>
      </c>
      <c r="B648" s="3" t="s">
        <v>693</v>
      </c>
      <c r="C648" s="3"/>
      <c r="D648" s="3"/>
      <c r="E648" s="2" t="str">
        <f>HYPERLINK("https://old.ukr-mobil.com/vodozashchitnaya_proklejka_displeya_apple_iphone_13_10003223", "Перейти")</f>
        <v>Перейти</v>
      </c>
      <c r="F648" s="2">
        <v>10003223</v>
      </c>
      <c r="G648" s="4" t="s">
        <v>699</v>
      </c>
      <c r="H648" s="1">
        <v>6</v>
      </c>
      <c r="I648" s="1">
        <v>4</v>
      </c>
      <c r="J648" s="1">
        <v>3</v>
      </c>
      <c r="K648" s="2">
        <v>1.25</v>
      </c>
    </row>
    <row r="649" spans="1:12">
      <c r="A649" s="3" t="s">
        <v>633</v>
      </c>
      <c r="B649" s="3" t="s">
        <v>693</v>
      </c>
      <c r="C649" s="3"/>
      <c r="D649" s="3"/>
      <c r="E649" s="2" t="str">
        <f>HYPERLINK("https://old.ukr-mobil.com/vodozashchitnaya_proklejka_displeya_apple_iphone_13_pro_10003224", "Перейти")</f>
        <v>Перейти</v>
      </c>
      <c r="F649" s="2">
        <v>10003224</v>
      </c>
      <c r="G649" s="4" t="s">
        <v>700</v>
      </c>
      <c r="H649" s="1">
        <v>5</v>
      </c>
      <c r="I649" s="1">
        <v>8</v>
      </c>
      <c r="J649" s="1">
        <v>5</v>
      </c>
      <c r="K649" s="2">
        <v>1.25</v>
      </c>
    </row>
    <row r="650" spans="1:12">
      <c r="A650" s="3" t="s">
        <v>633</v>
      </c>
      <c r="B650" s="3" t="s">
        <v>693</v>
      </c>
      <c r="C650" s="3"/>
      <c r="D650" s="3"/>
      <c r="E650" s="2" t="str">
        <f>HYPERLINK("https://old.ukr-mobil.com/vodozashchitnaya_proklejka_displeya_apple_iphone_13_pro_max_10003225", "Перейти")</f>
        <v>Перейти</v>
      </c>
      <c r="F650" s="2">
        <v>10003225</v>
      </c>
      <c r="G650" s="4" t="s">
        <v>701</v>
      </c>
      <c r="H650" s="1">
        <v>11</v>
      </c>
      <c r="I650" s="1">
        <v>5</v>
      </c>
      <c r="J650" s="1">
        <v>1</v>
      </c>
      <c r="K650" s="2">
        <v>1.75</v>
      </c>
    </row>
    <row r="651" spans="1:12">
      <c r="A651" s="3" t="s">
        <v>633</v>
      </c>
      <c r="B651" s="3" t="s">
        <v>693</v>
      </c>
      <c r="C651" s="3"/>
      <c r="D651" s="3"/>
      <c r="E651" s="2" t="str">
        <f>HYPERLINK("https://old.ukr-mobil.com/vodozashchitnaya_proklejka_displeya_apple_iphone_14_10003226", "Перейти")</f>
        <v>Перейти</v>
      </c>
      <c r="F651" s="2">
        <v>10003226</v>
      </c>
      <c r="G651" s="4" t="s">
        <v>702</v>
      </c>
      <c r="H651" s="1">
        <v>22</v>
      </c>
      <c r="I651" s="1">
        <v>12</v>
      </c>
      <c r="J651" s="1">
        <v>5</v>
      </c>
      <c r="K651" s="2">
        <v>2.25</v>
      </c>
    </row>
    <row r="652" spans="1:12">
      <c r="A652" s="3" t="s">
        <v>633</v>
      </c>
      <c r="B652" s="3" t="s">
        <v>693</v>
      </c>
      <c r="C652" s="3"/>
      <c r="D652" s="3"/>
      <c r="E652" s="2" t="str">
        <f>HYPERLINK("https://old.ukr-mobil.com/vodozashchitnaya_proklejka_displeya_apple_iphone_14_plus_10003227", "Перейти")</f>
        <v>Перейти</v>
      </c>
      <c r="F652" s="2">
        <v>10003227</v>
      </c>
      <c r="G652" s="4" t="s">
        <v>703</v>
      </c>
      <c r="H652" s="1">
        <v>20</v>
      </c>
      <c r="I652" s="1">
        <v>9</v>
      </c>
      <c r="J652" s="1">
        <v>5</v>
      </c>
      <c r="K652" s="2">
        <v>2.5</v>
      </c>
    </row>
    <row r="653" spans="1:12">
      <c r="A653" s="3" t="s">
        <v>633</v>
      </c>
      <c r="B653" s="3" t="s">
        <v>693</v>
      </c>
      <c r="C653" s="3"/>
      <c r="D653" s="3"/>
      <c r="E653" s="2" t="str">
        <f>HYPERLINK("https://old.ukr-mobil.com/vodozashchitnaya_proklejka_displeya_apple_iphone_14_pro_10003249", "Перейти")</f>
        <v>Перейти</v>
      </c>
      <c r="F653" s="2">
        <v>10003249</v>
      </c>
      <c r="G653" s="4" t="s">
        <v>704</v>
      </c>
      <c r="H653" s="1">
        <v>17</v>
      </c>
      <c r="I653" s="1">
        <v>6</v>
      </c>
      <c r="J653" s="1">
        <v>5</v>
      </c>
      <c r="K653" s="2">
        <v>2.25</v>
      </c>
    </row>
    <row r="654" spans="1:12">
      <c r="A654" s="3" t="s">
        <v>633</v>
      </c>
      <c r="B654" s="3" t="s">
        <v>693</v>
      </c>
      <c r="C654" s="3"/>
      <c r="D654" s="3"/>
      <c r="E654" s="2" t="str">
        <f>HYPERLINK("https://old.ukr-mobil.com/vodozashchitnaya_proklejka_displeya_apple_iphone_14_pro_max_10003250", "Перейти")</f>
        <v>Перейти</v>
      </c>
      <c r="F654" s="2">
        <v>10003250</v>
      </c>
      <c r="G654" s="4" t="s">
        <v>705</v>
      </c>
      <c r="H654" s="1">
        <v>12</v>
      </c>
      <c r="I654" s="1">
        <v>6</v>
      </c>
      <c r="J654" s="1">
        <v>0</v>
      </c>
      <c r="K654" s="2">
        <v>2.5</v>
      </c>
    </row>
    <row r="655" spans="1:12">
      <c r="A655" s="3" t="s">
        <v>633</v>
      </c>
      <c r="B655" s="3" t="s">
        <v>693</v>
      </c>
      <c r="C655" s="3"/>
      <c r="D655" s="3"/>
      <c r="E655" s="2" t="str">
        <f>HYPERLINK("https://old.ukr-mobil.com/vodozashchitnaya_proklejka_displeya_apple_iphone_7_10001992", "Перейти")</f>
        <v>Перейти</v>
      </c>
      <c r="F655" s="2">
        <v>10001992</v>
      </c>
      <c r="G655" s="4" t="s">
        <v>706</v>
      </c>
      <c r="H655" s="1">
        <v>0</v>
      </c>
      <c r="I655" s="1">
        <v>0</v>
      </c>
      <c r="J655" s="1">
        <v>0</v>
      </c>
      <c r="K655" s="2">
        <v>0.75</v>
      </c>
    </row>
    <row r="656" spans="1:12">
      <c r="A656" s="3" t="s">
        <v>633</v>
      </c>
      <c r="B656" s="3" t="s">
        <v>693</v>
      </c>
      <c r="C656" s="3"/>
      <c r="D656" s="3"/>
      <c r="E656" s="2" t="str">
        <f>HYPERLINK("https://old.ukr-mobil.com/vodozashchitnaya_proklejka_displeya_apple_iphone_7_plus_10001986", "Перейти")</f>
        <v>Перейти</v>
      </c>
      <c r="F656" s="2">
        <v>10001986</v>
      </c>
      <c r="G656" s="4" t="s">
        <v>707</v>
      </c>
      <c r="H656" s="1">
        <v>4</v>
      </c>
      <c r="I656" s="1">
        <v>4</v>
      </c>
      <c r="J656" s="1">
        <v>10</v>
      </c>
      <c r="K656" s="2">
        <v>0.75</v>
      </c>
    </row>
    <row r="657" spans="1:12">
      <c r="A657" s="3" t="s">
        <v>633</v>
      </c>
      <c r="B657" s="3" t="s">
        <v>693</v>
      </c>
      <c r="C657" s="3"/>
      <c r="D657" s="3"/>
      <c r="E657" s="2" t="str">
        <f>HYPERLINK("https://old.ukr-mobil.com/vodozashchitnaya_proklejka_displeya_apple_iphone_x_10001987", "Перейти")</f>
        <v>Перейти</v>
      </c>
      <c r="F657" s="2">
        <v>10001987</v>
      </c>
      <c r="G657" s="4" t="s">
        <v>708</v>
      </c>
      <c r="H657" s="1">
        <v>21</v>
      </c>
      <c r="I657" s="1">
        <v>10</v>
      </c>
      <c r="J657" s="1">
        <v>0</v>
      </c>
      <c r="K657" s="2">
        <v>1.0</v>
      </c>
    </row>
    <row r="658" spans="1:12">
      <c r="A658" s="3" t="s">
        <v>633</v>
      </c>
      <c r="B658" s="3" t="s">
        <v>693</v>
      </c>
      <c r="C658" s="3"/>
      <c r="D658" s="3"/>
      <c r="E658" s="2" t="str">
        <f>HYPERLINK("https://old.ukr-mobil.com/vodozashchitnaya_proklejka_displeya_apple_iphone_xr_10001989", "Перейти")</f>
        <v>Перейти</v>
      </c>
      <c r="F658" s="2">
        <v>10001989</v>
      </c>
      <c r="G658" s="4" t="s">
        <v>709</v>
      </c>
      <c r="H658" s="1">
        <v>0</v>
      </c>
      <c r="I658" s="1">
        <v>0</v>
      </c>
      <c r="J658" s="1">
        <v>0</v>
      </c>
      <c r="K658" s="2">
        <v>1.0</v>
      </c>
    </row>
    <row r="659" spans="1:12">
      <c r="A659" s="3" t="s">
        <v>633</v>
      </c>
      <c r="B659" s="3" t="s">
        <v>693</v>
      </c>
      <c r="C659" s="3"/>
      <c r="D659" s="3"/>
      <c r="E659" s="2" t="str">
        <f>HYPERLINK("https://old.ukr-mobil.com/vodozashchitnaya_proklejka_displeya_apple_iphone_xs_10001988", "Перейти")</f>
        <v>Перейти</v>
      </c>
      <c r="F659" s="2">
        <v>10001988</v>
      </c>
      <c r="G659" s="4" t="s">
        <v>710</v>
      </c>
      <c r="H659" s="1">
        <v>0</v>
      </c>
      <c r="I659" s="1">
        <v>0</v>
      </c>
      <c r="J659" s="1">
        <v>0</v>
      </c>
      <c r="K659" s="2">
        <v>1.0</v>
      </c>
    </row>
    <row r="660" spans="1:12">
      <c r="A660" s="3" t="s">
        <v>633</v>
      </c>
      <c r="B660" s="3" t="s">
        <v>693</v>
      </c>
      <c r="C660" s="3"/>
      <c r="D660" s="3"/>
      <c r="E660" s="2" t="str">
        <f>HYPERLINK("https://old.ukr-mobil.com/vodozashchitnaya_proklejka_displeya_apple_iphone_xs_max_10001990", "Перейти")</f>
        <v>Перейти</v>
      </c>
      <c r="F660" s="2">
        <v>10001990</v>
      </c>
      <c r="G660" s="4" t="s">
        <v>711</v>
      </c>
      <c r="H660" s="1">
        <v>0</v>
      </c>
      <c r="I660" s="1">
        <v>0</v>
      </c>
      <c r="J660" s="1">
        <v>1</v>
      </c>
      <c r="K660" s="2">
        <v>1.0</v>
      </c>
    </row>
    <row r="661" spans="1:12">
      <c r="A661" s="3" t="s">
        <v>633</v>
      </c>
      <c r="B661" s="3" t="s">
        <v>712</v>
      </c>
      <c r="C661" s="3"/>
      <c r="D661" s="3"/>
      <c r="E661" s="2" t="str">
        <f>HYPERLINK("https://old.ukr-mobil.com/instrument_dlya_podnyatiya_displeya_lopatka_metallicheskaya_mechanic_x22_tolshchina_0_2_mm_10002748", "Перейти")</f>
        <v>Перейти</v>
      </c>
      <c r="F661" s="2">
        <v>10002748</v>
      </c>
      <c r="G661" s="4" t="s">
        <v>713</v>
      </c>
      <c r="H661" s="1">
        <v>3</v>
      </c>
      <c r="I661" s="1">
        <v>0</v>
      </c>
      <c r="J661" s="1">
        <v>2</v>
      </c>
      <c r="K661" s="2">
        <v>1.3</v>
      </c>
    </row>
    <row r="662" spans="1:12">
      <c r="A662" s="3" t="s">
        <v>633</v>
      </c>
      <c r="B662" s="3" t="s">
        <v>712</v>
      </c>
      <c r="C662" s="3"/>
      <c r="D662" s="3"/>
      <c r="E662" s="2" t="str">
        <f>HYPERLINK("https://old.ukr-mobil.com/instrument_dlya_podnyatiya_displeya_lopatka_metallicheskaya_mechanic_x8_tolshchina_0_1_mm_10002750", "Перейти")</f>
        <v>Перейти</v>
      </c>
      <c r="F662" s="2">
        <v>10002750</v>
      </c>
      <c r="G662" s="4" t="s">
        <v>714</v>
      </c>
      <c r="H662" s="1">
        <v>80</v>
      </c>
      <c r="I662" s="1">
        <v>5</v>
      </c>
      <c r="J662" s="1">
        <v>9</v>
      </c>
      <c r="K662" s="2">
        <v>1.3</v>
      </c>
    </row>
    <row r="663" spans="1:12">
      <c r="A663" s="3" t="s">
        <v>633</v>
      </c>
      <c r="B663" s="3" t="s">
        <v>712</v>
      </c>
      <c r="C663" s="3"/>
      <c r="D663" s="3"/>
      <c r="E663" s="2" t="str">
        <f>HYPERLINK("https://old.ukr-mobil.com/instrument_dlya_podnyatiya_displeya_razborki_korpusnyh_detalej_mechanic_x5_10002749", "Перейти")</f>
        <v>Перейти</v>
      </c>
      <c r="F663" s="2">
        <v>10002749</v>
      </c>
      <c r="G663" s="4" t="s">
        <v>715</v>
      </c>
      <c r="H663" s="1">
        <v>23</v>
      </c>
      <c r="I663" s="1">
        <v>0</v>
      </c>
      <c r="J663" s="1">
        <v>9</v>
      </c>
      <c r="K663" s="2">
        <v>1.4</v>
      </c>
    </row>
    <row r="664" spans="1:12">
      <c r="A664" s="3" t="s">
        <v>633</v>
      </c>
      <c r="B664" s="3" t="s">
        <v>712</v>
      </c>
      <c r="C664" s="3"/>
      <c r="D664" s="3"/>
      <c r="E664" s="2" t="str">
        <f>HYPERLINK("https://old.ukr-mobil.com/instrument_ehlektricheskij_dlya_snyatiya_oca_kleya_relife_rl-056c_10002691", "Перейти")</f>
        <v>Перейти</v>
      </c>
      <c r="F664" s="2">
        <v>10002691</v>
      </c>
      <c r="G664" s="4" t="s">
        <v>716</v>
      </c>
      <c r="H664" s="1">
        <v>0</v>
      </c>
      <c r="I664" s="1">
        <v>0</v>
      </c>
      <c r="J664" s="1">
        <v>0</v>
      </c>
      <c r="K664" s="2">
        <v>23.0</v>
      </c>
    </row>
    <row r="665" spans="1:12">
      <c r="A665" s="3" t="s">
        <v>633</v>
      </c>
      <c r="B665" s="3" t="s">
        <v>712</v>
      </c>
      <c r="C665" s="3"/>
      <c r="D665" s="3"/>
      <c r="E665" s="2" t="str">
        <f>HYPERLINK("https://old.ukr-mobil.com/instrument_ehlektricheskij_dlya_snyatiya_oca_kleya_relife_rl-056f_10004523", "Перейти")</f>
        <v>Перейти</v>
      </c>
      <c r="F665" s="2">
        <v>10004523</v>
      </c>
      <c r="G665" s="4" t="s">
        <v>717</v>
      </c>
      <c r="H665" s="1">
        <v>11</v>
      </c>
      <c r="I665" s="1">
        <v>5</v>
      </c>
      <c r="J665" s="1">
        <v>4</v>
      </c>
      <c r="K665" s="2">
        <v>37.0</v>
      </c>
    </row>
    <row r="666" spans="1:12">
      <c r="A666" s="3" t="s">
        <v>633</v>
      </c>
      <c r="B666" s="3" t="s">
        <v>712</v>
      </c>
      <c r="C666" s="3"/>
      <c r="D666" s="3"/>
      <c r="E666" s="2" t="str">
        <f>HYPERLINK("https://old.ukr-mobil.com/lezviya-skrebok_mechanic_fr1_shirina_38_mm_5_sht_10002781", "Перейти")</f>
        <v>Перейти</v>
      </c>
      <c r="F666" s="2">
        <v>10002781</v>
      </c>
      <c r="G666" s="4" t="s">
        <v>718</v>
      </c>
      <c r="H666" s="1">
        <v>0</v>
      </c>
      <c r="I666" s="1">
        <v>0</v>
      </c>
      <c r="J666" s="1">
        <v>0</v>
      </c>
      <c r="K666" s="2">
        <v>0.9</v>
      </c>
    </row>
    <row r="667" spans="1:12">
      <c r="A667" s="3" t="s">
        <v>633</v>
      </c>
      <c r="B667" s="3" t="s">
        <v>719</v>
      </c>
      <c r="C667" s="3"/>
      <c r="D667" s="3"/>
      <c r="E667" s="2" t="str">
        <f>HYPERLINK("https://old.ukr-mobil.com/index.php?route=product&amp;product_id=10005585", "Перейти")</f>
        <v>Перейти</v>
      </c>
      <c r="F667" s="2">
        <v>10005585</v>
      </c>
      <c r="G667" s="4" t="s">
        <v>720</v>
      </c>
      <c r="H667" s="1">
        <v>38</v>
      </c>
      <c r="I667" s="1">
        <v>10</v>
      </c>
      <c r="J667" s="1">
        <v>0</v>
      </c>
      <c r="K667" s="2">
        <v>0.8</v>
      </c>
    </row>
    <row r="668" spans="1:12">
      <c r="A668" s="3" t="s">
        <v>633</v>
      </c>
      <c r="B668" s="3" t="s">
        <v>719</v>
      </c>
      <c r="C668" s="3"/>
      <c r="D668" s="3"/>
      <c r="E668" s="2" t="str">
        <f>HYPERLINK("https://old.ukr-mobil.com/index.php?route=product&amp;product_id=10005586", "Перейти")</f>
        <v>Перейти</v>
      </c>
      <c r="F668" s="2">
        <v>10005586</v>
      </c>
      <c r="G668" s="4" t="s">
        <v>721</v>
      </c>
      <c r="H668" s="1">
        <v>35</v>
      </c>
      <c r="I668" s="1">
        <v>10</v>
      </c>
      <c r="J668" s="1">
        <v>0</v>
      </c>
      <c r="K668" s="2">
        <v>0.8</v>
      </c>
    </row>
    <row r="669" spans="1:12">
      <c r="A669" s="3" t="s">
        <v>633</v>
      </c>
      <c r="B669" s="3" t="s">
        <v>719</v>
      </c>
      <c r="C669" s="3"/>
      <c r="D669" s="3"/>
      <c r="E669" s="2" t="str">
        <f>HYPERLINK("https://old.ukr-mobil.com/index.php?route=product&amp;product_id=10005583", "Перейти")</f>
        <v>Перейти</v>
      </c>
      <c r="F669" s="2">
        <v>10005583</v>
      </c>
      <c r="G669" s="4" t="s">
        <v>722</v>
      </c>
      <c r="H669" s="1">
        <v>35</v>
      </c>
      <c r="I669" s="1">
        <v>0</v>
      </c>
      <c r="J669" s="1">
        <v>0</v>
      </c>
      <c r="K669" s="2">
        <v>0.8</v>
      </c>
    </row>
    <row r="670" spans="1:12">
      <c r="A670" s="3" t="s">
        <v>633</v>
      </c>
      <c r="B670" s="3" t="s">
        <v>719</v>
      </c>
      <c r="C670" s="3"/>
      <c r="D670" s="3"/>
      <c r="E670" s="2" t="str">
        <f>HYPERLINK("https://old.ukr-mobil.com/index.php?route=product&amp;product_id=10005587", "Перейти")</f>
        <v>Перейти</v>
      </c>
      <c r="F670" s="2">
        <v>10005587</v>
      </c>
      <c r="G670" s="4" t="s">
        <v>723</v>
      </c>
      <c r="H670" s="1">
        <v>24</v>
      </c>
      <c r="I670" s="1">
        <v>10</v>
      </c>
      <c r="J670" s="1">
        <v>0</v>
      </c>
      <c r="K670" s="2">
        <v>0.75</v>
      </c>
    </row>
    <row r="671" spans="1:12">
      <c r="A671" s="3" t="s">
        <v>633</v>
      </c>
      <c r="B671" s="3" t="s">
        <v>719</v>
      </c>
      <c r="C671" s="3"/>
      <c r="D671" s="3"/>
      <c r="E671" s="2" t="str">
        <f>HYPERLINK("https://old.ukr-mobil.com/skotch_akkumulyatora_batarei_dlya_iphone_5s_iphone_5se_iphone_5_10002313", "Перейти")</f>
        <v>Перейти</v>
      </c>
      <c r="F671" s="2">
        <v>10002313</v>
      </c>
      <c r="G671" s="4" t="s">
        <v>724</v>
      </c>
      <c r="H671" s="1">
        <v>153</v>
      </c>
      <c r="I671" s="1">
        <v>8</v>
      </c>
      <c r="J671" s="1">
        <v>17</v>
      </c>
      <c r="K671" s="2">
        <v>0.35</v>
      </c>
    </row>
    <row r="672" spans="1:12">
      <c r="A672" s="3" t="s">
        <v>633</v>
      </c>
      <c r="B672" s="3" t="s">
        <v>719</v>
      </c>
      <c r="C672" s="3"/>
      <c r="D672" s="3"/>
      <c r="E672" s="2" t="str">
        <f>HYPERLINK("https://old.ukr-mobil.com/index.php?route=product&amp;product_id=10005727", "Перейти")</f>
        <v>Перейти</v>
      </c>
      <c r="F672" s="2">
        <v>10005727</v>
      </c>
      <c r="G672" s="4" t="s">
        <v>725</v>
      </c>
      <c r="H672" s="1">
        <v>159</v>
      </c>
      <c r="I672" s="1">
        <v>10</v>
      </c>
      <c r="J672" s="1">
        <v>0</v>
      </c>
      <c r="K672" s="2">
        <v>0.35</v>
      </c>
    </row>
    <row r="673" spans="1:12">
      <c r="A673" s="3" t="s">
        <v>633</v>
      </c>
      <c r="B673" s="3" t="s">
        <v>719</v>
      </c>
      <c r="C673" s="3"/>
      <c r="D673" s="3"/>
      <c r="E673" s="2" t="str">
        <f>HYPERLINK("https://old.ukr-mobil.com/skotch_akkumulyatora_batarei_dlya_iphone_6_iphone_7_iphone_8_10002312", "Перейти")</f>
        <v>Перейти</v>
      </c>
      <c r="F673" s="2">
        <v>10002312</v>
      </c>
      <c r="G673" s="4" t="s">
        <v>726</v>
      </c>
      <c r="H673" s="1">
        <v>28</v>
      </c>
      <c r="I673" s="1">
        <v>14</v>
      </c>
      <c r="J673" s="1">
        <v>0</v>
      </c>
      <c r="K673" s="2">
        <v>0.35</v>
      </c>
    </row>
    <row r="674" spans="1:12">
      <c r="A674" s="3" t="s">
        <v>633</v>
      </c>
      <c r="B674" s="3" t="s">
        <v>719</v>
      </c>
      <c r="C674" s="3"/>
      <c r="D674" s="3"/>
      <c r="E674" s="2" t="str">
        <f>HYPERLINK("https://old.ukr-mobil.com/index.php?route=product&amp;product_id=10005584", "Перейти")</f>
        <v>Перейти</v>
      </c>
      <c r="F674" s="2">
        <v>10005584</v>
      </c>
      <c r="G674" s="4" t="s">
        <v>727</v>
      </c>
      <c r="H674" s="1">
        <v>31</v>
      </c>
      <c r="I674" s="1">
        <v>9</v>
      </c>
      <c r="J674" s="1">
        <v>0</v>
      </c>
      <c r="K674" s="2">
        <v>0.65</v>
      </c>
    </row>
    <row r="675" spans="1:12">
      <c r="A675" s="3" t="s">
        <v>633</v>
      </c>
      <c r="B675" s="3" t="s">
        <v>719</v>
      </c>
      <c r="C675" s="3" t="s">
        <v>728</v>
      </c>
      <c r="D675" s="3"/>
      <c r="E675" s="2" t="str">
        <f>HYPERLINK("https://old.ukr-mobil.com/zhidkost_dlya_udaleniya_kleya_oca_mechanic_8366_250ml_10002740", "Перейти")</f>
        <v>Перейти</v>
      </c>
      <c r="F675" s="2">
        <v>10002740</v>
      </c>
      <c r="G675" s="4" t="s">
        <v>729</v>
      </c>
      <c r="H675" s="1">
        <v>3</v>
      </c>
      <c r="I675" s="1">
        <v>2</v>
      </c>
      <c r="J675" s="1">
        <v>27</v>
      </c>
      <c r="K675" s="2">
        <v>3.0</v>
      </c>
    </row>
    <row r="676" spans="1:12">
      <c r="A676" s="3" t="s">
        <v>633</v>
      </c>
      <c r="B676" s="3" t="s">
        <v>719</v>
      </c>
      <c r="C676" s="3" t="s">
        <v>728</v>
      </c>
      <c r="D676" s="3"/>
      <c r="E676" s="2" t="str">
        <f>HYPERLINK("https://old.ukr-mobil.com/zhidkost_dlya_udaleniya_kleya_oca_mechanic_883l_300ml_10002741", "Перейти")</f>
        <v>Перейти</v>
      </c>
      <c r="F676" s="2">
        <v>10002741</v>
      </c>
      <c r="G676" s="4" t="s">
        <v>730</v>
      </c>
      <c r="H676" s="1">
        <v>132</v>
      </c>
      <c r="I676" s="1">
        <v>20</v>
      </c>
      <c r="J676" s="1">
        <v>9</v>
      </c>
      <c r="K676" s="2">
        <v>3.0</v>
      </c>
    </row>
    <row r="677" spans="1:12">
      <c r="A677" s="3" t="s">
        <v>633</v>
      </c>
      <c r="B677" s="3" t="s">
        <v>719</v>
      </c>
      <c r="C677" s="3" t="s">
        <v>728</v>
      </c>
      <c r="D677" s="3"/>
      <c r="E677" s="2" t="str">
        <f>HYPERLINK("https://old.ukr-mobil.com/zhidkost_dlya_udaleniya_kleya_oca_mechanic_993l_300ml_10002738", "Перейти")</f>
        <v>Перейти</v>
      </c>
      <c r="F677" s="2">
        <v>10002738</v>
      </c>
      <c r="G677" s="4" t="s">
        <v>731</v>
      </c>
      <c r="H677" s="1">
        <v>226</v>
      </c>
      <c r="I677" s="1">
        <v>38</v>
      </c>
      <c r="J677" s="1">
        <v>7</v>
      </c>
      <c r="K677" s="2">
        <v>3.0</v>
      </c>
    </row>
    <row r="678" spans="1:12">
      <c r="A678" s="3" t="s">
        <v>633</v>
      </c>
      <c r="B678" s="3" t="s">
        <v>719</v>
      </c>
      <c r="C678" s="3" t="s">
        <v>728</v>
      </c>
      <c r="D678" s="3"/>
      <c r="E678" s="2" t="str">
        <f>HYPERLINK("https://old.ukr-mobil.com/zhidkost_ochistitel_mechanic_8111_max_dlya_demontazha_ramki_300ml_10002742", "Перейти")</f>
        <v>Перейти</v>
      </c>
      <c r="F678" s="2">
        <v>10002742</v>
      </c>
      <c r="G678" s="4" t="s">
        <v>732</v>
      </c>
      <c r="H678" s="1">
        <v>143</v>
      </c>
      <c r="I678" s="1">
        <v>17</v>
      </c>
      <c r="J678" s="1">
        <v>17</v>
      </c>
      <c r="K678" s="2">
        <v>5.0</v>
      </c>
    </row>
    <row r="679" spans="1:12">
      <c r="A679" s="3" t="s">
        <v>633</v>
      </c>
      <c r="B679" s="3" t="s">
        <v>719</v>
      </c>
      <c r="C679" s="3" t="s">
        <v>728</v>
      </c>
      <c r="D679" s="3"/>
      <c r="E679" s="2" t="str">
        <f>HYPERLINK("https://old.ukr-mobil.com/zhidkost_ochistitel_mechanic_n10l_dlya_demontazha_ramki_300ml_10002737", "Перейти")</f>
        <v>Перейти</v>
      </c>
      <c r="F679" s="2">
        <v>10002737</v>
      </c>
      <c r="G679" s="4" t="s">
        <v>733</v>
      </c>
      <c r="H679" s="1">
        <v>3</v>
      </c>
      <c r="I679" s="1">
        <v>3</v>
      </c>
      <c r="J679" s="1">
        <v>1</v>
      </c>
      <c r="K679" s="2">
        <v>4.0</v>
      </c>
    </row>
    <row r="680" spans="1:12">
      <c r="A680" s="3" t="s">
        <v>633</v>
      </c>
      <c r="B680" s="3" t="s">
        <v>719</v>
      </c>
      <c r="C680" s="3" t="s">
        <v>728</v>
      </c>
      <c r="D680" s="3"/>
      <c r="E680" s="2" t="str">
        <f>HYPERLINK("https://old.ukr-mobil.com/zhidkost_ochistitel_mechanic_rx08_dlya_demontazha_ramki_300ml_10002743", "Перейти")</f>
        <v>Перейти</v>
      </c>
      <c r="F680" s="2">
        <v>10002743</v>
      </c>
      <c r="G680" s="4" t="s">
        <v>734</v>
      </c>
      <c r="H680" s="1">
        <v>106</v>
      </c>
      <c r="I680" s="1">
        <v>14</v>
      </c>
      <c r="J680" s="1">
        <v>14</v>
      </c>
      <c r="K680" s="2">
        <v>3.5</v>
      </c>
    </row>
    <row r="681" spans="1:12">
      <c r="A681" s="3" t="s">
        <v>633</v>
      </c>
      <c r="B681" s="3" t="s">
        <v>719</v>
      </c>
      <c r="C681" s="3" t="s">
        <v>735</v>
      </c>
      <c r="D681" s="3"/>
      <c r="E681" s="2" t="str">
        <f>HYPERLINK("https://old.ukr-mobil.com/klej_sunshine_g20_dlya_prikleivaniya_sensorov_i_displeev_prozrachnyj_15_ml_10002718", "Перейти")</f>
        <v>Перейти</v>
      </c>
      <c r="F681" s="2">
        <v>10002718</v>
      </c>
      <c r="G681" s="4" t="s">
        <v>736</v>
      </c>
      <c r="H681" s="1">
        <v>2</v>
      </c>
      <c r="I681" s="1">
        <v>2</v>
      </c>
      <c r="J681" s="1">
        <v>1</v>
      </c>
      <c r="K681" s="2">
        <v>1.2</v>
      </c>
    </row>
    <row r="682" spans="1:12">
      <c r="A682" s="3" t="s">
        <v>633</v>
      </c>
      <c r="B682" s="3" t="s">
        <v>719</v>
      </c>
      <c r="C682" s="3" t="s">
        <v>735</v>
      </c>
      <c r="D682" s="3"/>
      <c r="E682" s="2" t="str">
        <f>HYPERLINK("https://old.ukr-mobil.com/klej_sunshine_g20_dlya_prikleivaniya_sensorov_i_displeev_prozrachnyj_50_ml_10001386", "Перейти")</f>
        <v>Перейти</v>
      </c>
      <c r="F682" s="2">
        <v>10001386</v>
      </c>
      <c r="G682" s="4" t="s">
        <v>737</v>
      </c>
      <c r="H682" s="1">
        <v>74</v>
      </c>
      <c r="I682" s="1">
        <v>13</v>
      </c>
      <c r="J682" s="1">
        <v>37</v>
      </c>
      <c r="K682" s="2">
        <v>2.3</v>
      </c>
    </row>
    <row r="683" spans="1:12">
      <c r="A683" s="3" t="s">
        <v>633</v>
      </c>
      <c r="B683" s="3" t="s">
        <v>719</v>
      </c>
      <c r="C683" s="3" t="s">
        <v>735</v>
      </c>
      <c r="D683" s="3"/>
      <c r="E683" s="2" t="str">
        <f>HYPERLINK("https://old.ukr-mobil.com/klej_sunshine_g21_dlya_prikleivaniya_sensorov_i_displeev_black_15_ml_10002719", "Перейти")</f>
        <v>Перейти</v>
      </c>
      <c r="F683" s="2">
        <v>10002719</v>
      </c>
      <c r="G683" s="4" t="s">
        <v>738</v>
      </c>
      <c r="H683" s="1">
        <v>0</v>
      </c>
      <c r="I683" s="1">
        <v>0</v>
      </c>
      <c r="J683" s="1">
        <v>0</v>
      </c>
      <c r="K683" s="2">
        <v>1.3</v>
      </c>
    </row>
    <row r="684" spans="1:12">
      <c r="A684" s="3" t="s">
        <v>633</v>
      </c>
      <c r="B684" s="3" t="s">
        <v>719</v>
      </c>
      <c r="C684" s="3" t="s">
        <v>735</v>
      </c>
      <c r="D684" s="3"/>
      <c r="E684" s="2" t="str">
        <f>HYPERLINK("https://old.ukr-mobil.com/klej_sunshine_g21_dlya_prikleivaniya_sensorov_i_displeev_black_50_ml_10001387", "Перейти")</f>
        <v>Перейти</v>
      </c>
      <c r="F684" s="2">
        <v>10001387</v>
      </c>
      <c r="G684" s="4" t="s">
        <v>739</v>
      </c>
      <c r="H684" s="1">
        <v>0</v>
      </c>
      <c r="I684" s="1">
        <v>5</v>
      </c>
      <c r="J684" s="1">
        <v>13</v>
      </c>
      <c r="K684" s="2">
        <v>2.3</v>
      </c>
    </row>
    <row r="685" spans="1:12">
      <c r="A685" s="3" t="s">
        <v>633</v>
      </c>
      <c r="B685" s="3" t="s">
        <v>719</v>
      </c>
      <c r="C685" s="3" t="s">
        <v>735</v>
      </c>
      <c r="D685" s="3"/>
      <c r="E685" s="2" t="str">
        <f>HYPERLINK("https://old.ukr-mobil.com/klej_dlya_ramok_displeev_relife_rl-035a_prozrachnyj_10_ml_10002688", "Перейти")</f>
        <v>Перейти</v>
      </c>
      <c r="F685" s="2">
        <v>10002688</v>
      </c>
      <c r="G685" s="4" t="s">
        <v>740</v>
      </c>
      <c r="H685" s="1">
        <v>16</v>
      </c>
      <c r="I685" s="1">
        <v>11</v>
      </c>
      <c r="J685" s="1">
        <v>5</v>
      </c>
      <c r="K685" s="2">
        <v>4.8</v>
      </c>
    </row>
    <row r="686" spans="1:12">
      <c r="A686" s="3" t="s">
        <v>633</v>
      </c>
      <c r="B686" s="3" t="s">
        <v>719</v>
      </c>
      <c r="C686" s="3" t="s">
        <v>735</v>
      </c>
      <c r="D686" s="3"/>
      <c r="E686" s="2" t="str">
        <f>HYPERLINK("https://old.ukr-mobil.com/index.php?route=product&amp;product_id=10005190", "Перейти")</f>
        <v>Перейти</v>
      </c>
      <c r="F686" s="2">
        <v>10005190</v>
      </c>
      <c r="G686" s="4" t="s">
        <v>741</v>
      </c>
      <c r="H686" s="1">
        <v>1</v>
      </c>
      <c r="I686" s="1">
        <v>7</v>
      </c>
      <c r="J686" s="1">
        <v>9</v>
      </c>
      <c r="K686" s="2">
        <v>4.8</v>
      </c>
    </row>
    <row r="687" spans="1:12">
      <c r="A687" s="3" t="s">
        <v>633</v>
      </c>
      <c r="B687" s="3" t="s">
        <v>719</v>
      </c>
      <c r="C687" s="3" t="s">
        <v>735</v>
      </c>
      <c r="D687" s="3"/>
      <c r="E687" s="2" t="str">
        <f>HYPERLINK("https://old.ukr-mobil.com/klej_dlya_ramok_displeev_sunshine_ss-035_10_ml_10000563", "Перейти")</f>
        <v>Перейти</v>
      </c>
      <c r="F687" s="2">
        <v>10000563</v>
      </c>
      <c r="G687" s="4" t="s">
        <v>742</v>
      </c>
      <c r="H687" s="1">
        <v>0</v>
      </c>
      <c r="I687" s="1">
        <v>0</v>
      </c>
      <c r="J687" s="1">
        <v>0</v>
      </c>
      <c r="K687" s="2">
        <v>5.25</v>
      </c>
    </row>
    <row r="688" spans="1:12">
      <c r="A688" s="3" t="s">
        <v>633</v>
      </c>
      <c r="B688" s="3" t="s">
        <v>719</v>
      </c>
      <c r="C688" s="3" t="s">
        <v>735</v>
      </c>
      <c r="D688" s="3"/>
      <c r="E688" s="2" t="str">
        <f>HYPERLINK("https://old.ukr-mobil.com/klej_dlya_sensorov_i_displeev_b7000_15_ml_prozrachnyj_10998", "Перейти")</f>
        <v>Перейти</v>
      </c>
      <c r="F688" s="2">
        <v>10998</v>
      </c>
      <c r="G688" s="4" t="s">
        <v>743</v>
      </c>
      <c r="H688" s="1">
        <v>0</v>
      </c>
      <c r="I688" s="1">
        <v>0</v>
      </c>
      <c r="J688" s="1">
        <v>0</v>
      </c>
      <c r="K688" s="2">
        <v>1.35</v>
      </c>
    </row>
    <row r="689" spans="1:12">
      <c r="A689" s="3" t="s">
        <v>633</v>
      </c>
      <c r="B689" s="3" t="s">
        <v>719</v>
      </c>
      <c r="C689" s="3" t="s">
        <v>735</v>
      </c>
      <c r="D689" s="3"/>
      <c r="E689" s="2" t="str">
        <f>HYPERLINK("https://old.ukr-mobil.com/klej_dlya_sensorov_i_displeev_b7000_50_ml_prozrachnyj_4708", "Перейти")</f>
        <v>Перейти</v>
      </c>
      <c r="F689" s="2">
        <v>4708</v>
      </c>
      <c r="G689" s="4" t="s">
        <v>744</v>
      </c>
      <c r="H689" s="1">
        <v>0</v>
      </c>
      <c r="I689" s="1">
        <v>0</v>
      </c>
      <c r="J689" s="1">
        <v>0</v>
      </c>
      <c r="K689" s="2">
        <v>0.75</v>
      </c>
    </row>
    <row r="690" spans="1:12">
      <c r="A690" s="3" t="s">
        <v>633</v>
      </c>
      <c r="B690" s="3" t="s">
        <v>719</v>
      </c>
      <c r="C690" s="3" t="s">
        <v>745</v>
      </c>
      <c r="D690" s="3"/>
      <c r="E690" s="2" t="str">
        <f>HYPERLINK("https://old.ukr-mobil.com/salfetka_sunshine_iz_mikrofibry_dlya_ustraneniya_pyli_i_otpechatkov_100mm_100mm_100sht_10000585", "Перейти")</f>
        <v>Перейти</v>
      </c>
      <c r="F690" s="2">
        <v>10000585</v>
      </c>
      <c r="G690" s="4" t="s">
        <v>746</v>
      </c>
      <c r="H690" s="1">
        <v>0</v>
      </c>
      <c r="I690" s="1">
        <v>0</v>
      </c>
      <c r="J690" s="1">
        <v>0</v>
      </c>
      <c r="K690" s="2">
        <v>2.8</v>
      </c>
    </row>
    <row r="691" spans="1:12">
      <c r="A691" s="3" t="s">
        <v>633</v>
      </c>
      <c r="B691" s="3" t="s">
        <v>719</v>
      </c>
      <c r="C691" s="3" t="s">
        <v>745</v>
      </c>
      <c r="D691" s="3"/>
      <c r="E691" s="2" t="str">
        <f>HYPERLINK("https://old.ukr-mobil.com/salfetka_iz_mikrofibry_dlya_ustraneniya_pyli_i_otpechatkov_100mm_100mm_40sht_7666", "Перейти")</f>
        <v>Перейти</v>
      </c>
      <c r="F691" s="2">
        <v>7666</v>
      </c>
      <c r="G691" s="4" t="s">
        <v>747</v>
      </c>
      <c r="H691" s="1">
        <v>802</v>
      </c>
      <c r="I691" s="1">
        <v>91</v>
      </c>
      <c r="J691" s="1">
        <v>60</v>
      </c>
      <c r="K691" s="2">
        <v>1.5</v>
      </c>
    </row>
    <row r="692" spans="1:12">
      <c r="A692" s="3" t="s">
        <v>633</v>
      </c>
      <c r="B692" s="3" t="s">
        <v>719</v>
      </c>
      <c r="C692" s="3" t="s">
        <v>745</v>
      </c>
      <c r="D692" s="3"/>
      <c r="E692" s="2" t="str">
        <f>HYPERLINK("https://old.ukr-mobil.com/salfetka_iz_mikrofibry_dlya_ustraneniya_pyli_i_otpechatkov_relife_rl-045_100mm_100mm_50sht_10002787", "Перейти")</f>
        <v>Перейти</v>
      </c>
      <c r="F692" s="2">
        <v>10002787</v>
      </c>
      <c r="G692" s="4" t="s">
        <v>748</v>
      </c>
      <c r="H692" s="1">
        <v>73</v>
      </c>
      <c r="I692" s="1">
        <v>14</v>
      </c>
      <c r="J692" s="1">
        <v>29</v>
      </c>
      <c r="K692" s="2">
        <v>1.7</v>
      </c>
    </row>
    <row r="693" spans="1:12">
      <c r="A693" s="3" t="s">
        <v>633</v>
      </c>
      <c r="B693" s="3" t="s">
        <v>749</v>
      </c>
      <c r="C693" s="3" t="s">
        <v>750</v>
      </c>
      <c r="D693" s="3"/>
      <c r="E693" s="2" t="str">
        <f>HYPERLINK("https://old.ukr-mobil.com/bespylevoe_rabochee_mesto_sunshine_ss-917c_s_filtrami_i_lampami_10002173", "Перейти")</f>
        <v>Перейти</v>
      </c>
      <c r="F693" s="2">
        <v>10002173</v>
      </c>
      <c r="G693" s="4" t="s">
        <v>751</v>
      </c>
      <c r="H693" s="1">
        <v>0</v>
      </c>
      <c r="I693" s="1">
        <v>0</v>
      </c>
      <c r="J693" s="1">
        <v>0</v>
      </c>
      <c r="K693" s="2">
        <v>106.0</v>
      </c>
    </row>
    <row r="694" spans="1:12">
      <c r="A694" s="3" t="s">
        <v>633</v>
      </c>
      <c r="B694" s="3" t="s">
        <v>749</v>
      </c>
      <c r="C694" s="3" t="s">
        <v>752</v>
      </c>
      <c r="D694" s="3"/>
      <c r="E694" s="2" t="str">
        <f>HYPERLINK("https://old.ukr-mobil.com/laminator_plenki_oca_polyarizacionnoj_s_vakuumnym_nasosom_6596", "Перейти")</f>
        <v>Перейти</v>
      </c>
      <c r="F694" s="2">
        <v>6596</v>
      </c>
      <c r="G694" s="4" t="s">
        <v>753</v>
      </c>
      <c r="H694" s="1">
        <v>0</v>
      </c>
      <c r="I694" s="1">
        <v>0</v>
      </c>
      <c r="J694" s="1">
        <v>0</v>
      </c>
      <c r="K694" s="2">
        <v>165.0</v>
      </c>
    </row>
    <row r="695" spans="1:12">
      <c r="A695" s="3" t="s">
        <v>633</v>
      </c>
      <c r="B695" s="3" t="s">
        <v>749</v>
      </c>
      <c r="C695" s="3" t="s">
        <v>752</v>
      </c>
      <c r="D695" s="3"/>
      <c r="E695" s="2" t="str">
        <f>HYPERLINK("https://old.ukr-mobil.com/laminator_plenki_oca_polyarizacionnoj_s_avtoprivodom_s_vakuumnym_nasosom_s-919b_dlya_vsekh_tipov_displeev_vklyuchaya_samsung_g925_galaxy_s6_edge_g928_9066", "Перейти")</f>
        <v>Перейти</v>
      </c>
      <c r="F695" s="2">
        <v>9066</v>
      </c>
      <c r="G695" s="4" t="s">
        <v>754</v>
      </c>
      <c r="H695" s="1">
        <v>1</v>
      </c>
      <c r="I695" s="1">
        <v>0</v>
      </c>
      <c r="J695" s="1">
        <v>0</v>
      </c>
      <c r="K695" s="2">
        <v>600.6</v>
      </c>
    </row>
    <row r="696" spans="1:12">
      <c r="A696" s="3" t="s">
        <v>633</v>
      </c>
      <c r="B696" s="3" t="s">
        <v>749</v>
      </c>
      <c r="C696" s="3" t="s">
        <v>755</v>
      </c>
      <c r="D696" s="3"/>
      <c r="E696" s="2" t="str">
        <f>HYPERLINK("https://old.ukr-mobil.com/apparat_dlya_srezki_stekla_displeya_sunshine_ss-918g_10001385", "Перейти")</f>
        <v>Перейти</v>
      </c>
      <c r="F696" s="2">
        <v>10001385</v>
      </c>
      <c r="G696" s="4" t="s">
        <v>756</v>
      </c>
      <c r="H696" s="1">
        <v>0</v>
      </c>
      <c r="I696" s="1">
        <v>0</v>
      </c>
      <c r="J696" s="1">
        <v>0</v>
      </c>
      <c r="K696" s="2">
        <v>330.0</v>
      </c>
    </row>
    <row r="697" spans="1:12">
      <c r="A697" s="3" t="s">
        <v>633</v>
      </c>
      <c r="B697" s="3" t="s">
        <v>749</v>
      </c>
      <c r="C697" s="3" t="s">
        <v>755</v>
      </c>
      <c r="D697" s="3"/>
      <c r="E697" s="2" t="str">
        <f>HYPERLINK("https://old.ukr-mobil.com/mnogofunkcionalnyj_demontazhnyj_stol_dlya_snyatiya_displeya_relife_rl-601s_plus_s_povorotnoj_platformoj_10002715", "Перейти")</f>
        <v>Перейти</v>
      </c>
      <c r="F697" s="2">
        <v>10002715</v>
      </c>
      <c r="G697" s="4" t="s">
        <v>757</v>
      </c>
      <c r="H697" s="1">
        <v>1</v>
      </c>
      <c r="I697" s="1">
        <v>2</v>
      </c>
      <c r="J697" s="1">
        <v>2</v>
      </c>
      <c r="K697" s="2">
        <v>39.0</v>
      </c>
    </row>
    <row r="698" spans="1:12">
      <c r="A698" s="3" t="s">
        <v>633</v>
      </c>
      <c r="B698" s="3" t="s">
        <v>749</v>
      </c>
      <c r="C698" s="3" t="s">
        <v>755</v>
      </c>
      <c r="D698" s="3"/>
      <c r="E698" s="2" t="str">
        <f>HYPERLINK("https://old.ukr-mobil.com/separator_displejnyh_modulej_katex_kd-968d_vakuumnyj_stol_14_dyujmov_10000754", "Перейти")</f>
        <v>Перейти</v>
      </c>
      <c r="F698" s="2">
        <v>10000754</v>
      </c>
      <c r="G698" s="4" t="s">
        <v>758</v>
      </c>
      <c r="H698" s="1">
        <v>0</v>
      </c>
      <c r="I698" s="1">
        <v>0</v>
      </c>
      <c r="J698" s="1">
        <v>0</v>
      </c>
      <c r="K698" s="2">
        <v>80.0</v>
      </c>
    </row>
    <row r="699" spans="1:12">
      <c r="A699" s="3" t="s">
        <v>633</v>
      </c>
      <c r="B699" s="3" t="s">
        <v>749</v>
      </c>
      <c r="C699" s="3" t="s">
        <v>755</v>
      </c>
      <c r="D699" s="3"/>
      <c r="E699" s="2" t="str">
        <f>HYPERLINK("https://old.ukr-mobil.com/separator_displejnyh_modulej_triangel_cp-150_vakuumnyj_stol_14_dyujmov_10001735", "Перейти")</f>
        <v>Перейти</v>
      </c>
      <c r="F699" s="2">
        <v>10001735</v>
      </c>
      <c r="G699" s="4" t="s">
        <v>759</v>
      </c>
      <c r="H699" s="1">
        <v>0</v>
      </c>
      <c r="I699" s="1">
        <v>0</v>
      </c>
      <c r="J699" s="1">
        <v>0</v>
      </c>
      <c r="K699" s="2">
        <v>140.0</v>
      </c>
    </row>
    <row r="700" spans="1:12">
      <c r="A700" s="3" t="s">
        <v>633</v>
      </c>
      <c r="B700" s="3" t="s">
        <v>749</v>
      </c>
      <c r="C700" s="3" t="s">
        <v>755</v>
      </c>
      <c r="D700" s="3"/>
      <c r="E700" s="2" t="str">
        <f>HYPERLINK("https://old.ukr-mobil.com/separator_displejnyh_modulej_sunshine_ss-918f_plus_mnogofunkcionalnyj_5in1_naklonnaya_panel_45_360_10002692", "Перейти")</f>
        <v>Перейти</v>
      </c>
      <c r="F700" s="2">
        <v>10002692</v>
      </c>
      <c r="G700" s="4" t="s">
        <v>760</v>
      </c>
      <c r="H700" s="1">
        <v>0</v>
      </c>
      <c r="I700" s="1">
        <v>0</v>
      </c>
      <c r="J700" s="1">
        <v>0</v>
      </c>
      <c r="K700" s="2">
        <v>124.0</v>
      </c>
    </row>
    <row r="701" spans="1:12">
      <c r="A701" s="3" t="s">
        <v>633</v>
      </c>
      <c r="B701" s="3" t="s">
        <v>749</v>
      </c>
      <c r="C701" s="3" t="s">
        <v>755</v>
      </c>
      <c r="D701" s="3"/>
      <c r="E701" s="2" t="str">
        <f>HYPERLINK("https://old.ukr-mobil.com/separator_displejnyh_modulej_s_vakuumnym_nasosom_5_v_1_6112", "Перейти")</f>
        <v>Перейти</v>
      </c>
      <c r="F701" s="2">
        <v>6112</v>
      </c>
      <c r="G701" s="4" t="s">
        <v>761</v>
      </c>
      <c r="H701" s="1">
        <v>0</v>
      </c>
      <c r="I701" s="1">
        <v>0</v>
      </c>
      <c r="J701" s="1">
        <v>0</v>
      </c>
      <c r="K701" s="2">
        <v>280.28</v>
      </c>
    </row>
    <row r="702" spans="1:12">
      <c r="A702" s="3" t="s">
        <v>633</v>
      </c>
      <c r="B702" s="3" t="s">
        <v>749</v>
      </c>
      <c r="C702" s="3" t="s">
        <v>755</v>
      </c>
      <c r="D702" s="3"/>
      <c r="E702" s="2" t="str">
        <f>HYPERLINK("https://old.ukr-mobil.com/separator_displejnyh_modulej_s_termostatom_rex-c100_baku_948b_4302", "Перейти")</f>
        <v>Перейти</v>
      </c>
      <c r="F702" s="2">
        <v>4302</v>
      </c>
      <c r="G702" s="4" t="s">
        <v>762</v>
      </c>
      <c r="H702" s="1">
        <v>1</v>
      </c>
      <c r="I702" s="1">
        <v>0</v>
      </c>
      <c r="J702" s="1">
        <v>0</v>
      </c>
      <c r="K702" s="2">
        <v>72.58</v>
      </c>
    </row>
    <row r="703" spans="1:12">
      <c r="A703" s="3" t="s">
        <v>633</v>
      </c>
      <c r="B703" s="3" t="s">
        <v>749</v>
      </c>
      <c r="C703" s="3" t="s">
        <v>755</v>
      </c>
      <c r="D703" s="3"/>
      <c r="E703" s="2" t="str">
        <f>HYPERLINK("https://old.ukr-mobil.com/separator_displejnyh_modulej_s_termostatom_rex-c100_yaxun_989_s_ultrafioletovoj_lampoj_vakuumnym_nasosom_diodnoj_podsvetkoj_4998", "Перейти")</f>
        <v>Перейти</v>
      </c>
      <c r="F703" s="2">
        <v>4998</v>
      </c>
      <c r="G703" s="4" t="s">
        <v>763</v>
      </c>
      <c r="H703" s="1">
        <v>0</v>
      </c>
      <c r="I703" s="1">
        <v>0</v>
      </c>
      <c r="J703" s="1">
        <v>0</v>
      </c>
      <c r="K703" s="2">
        <v>180.18</v>
      </c>
    </row>
    <row r="704" spans="1:12">
      <c r="A704" s="3" t="s">
        <v>633</v>
      </c>
      <c r="B704" s="3" t="s">
        <v>749</v>
      </c>
      <c r="C704" s="3" t="s">
        <v>755</v>
      </c>
      <c r="D704" s="3"/>
      <c r="E704" s="2" t="str">
        <f>HYPERLINK("https://old.ukr-mobil.com/separator_displejnyh_modulej_s_termostatom_rex-c100_yaxun_996_4999", "Перейти")</f>
        <v>Перейти</v>
      </c>
      <c r="F704" s="2">
        <v>4999</v>
      </c>
      <c r="G704" s="4" t="s">
        <v>764</v>
      </c>
      <c r="H704" s="1">
        <v>0</v>
      </c>
      <c r="I704" s="1">
        <v>0</v>
      </c>
      <c r="J704" s="1">
        <v>0</v>
      </c>
      <c r="K704" s="2">
        <v>50.0</v>
      </c>
    </row>
    <row r="705" spans="1:12">
      <c r="A705" s="3" t="s">
        <v>633</v>
      </c>
      <c r="B705" s="3" t="s">
        <v>749</v>
      </c>
      <c r="C705" s="3" t="s">
        <v>755</v>
      </c>
      <c r="D705" s="3"/>
      <c r="E705" s="2" t="str">
        <f>HYPERLINK("https://old.ukr-mobil.com/separator_displejnyh_modulej_s_termostatom_rex-c100_yaxun_997b_5355", "Перейти")</f>
        <v>Перейти</v>
      </c>
      <c r="F705" s="2">
        <v>5355</v>
      </c>
      <c r="G705" s="4" t="s">
        <v>765</v>
      </c>
      <c r="H705" s="1">
        <v>1</v>
      </c>
      <c r="I705" s="1">
        <v>0</v>
      </c>
      <c r="J705" s="1">
        <v>0</v>
      </c>
      <c r="K705" s="2">
        <v>70.56</v>
      </c>
    </row>
    <row r="706" spans="1:12">
      <c r="A706" s="3" t="s">
        <v>633</v>
      </c>
      <c r="B706" s="3" t="s">
        <v>749</v>
      </c>
      <c r="C706" s="3" t="s">
        <v>755</v>
      </c>
      <c r="D706" s="3"/>
      <c r="E706" s="2" t="str">
        <f>HYPERLINK("https://old.ukr-mobil.com/separator_displejnyh_modulej_s_cifrovym_kontrollerom_baku_946a_alyuminievaya_rabochaya_poverhnost_4540", "Перейти")</f>
        <v>Перейти</v>
      </c>
      <c r="F706" s="2">
        <v>4540</v>
      </c>
      <c r="G706" s="4" t="s">
        <v>766</v>
      </c>
      <c r="H706" s="1">
        <v>0</v>
      </c>
      <c r="I706" s="1">
        <v>0</v>
      </c>
      <c r="J706" s="1">
        <v>0</v>
      </c>
      <c r="K706" s="2">
        <v>85.68</v>
      </c>
    </row>
    <row r="707" spans="1:12">
      <c r="A707" s="3" t="s">
        <v>633</v>
      </c>
      <c r="B707" s="3" t="s">
        <v>749</v>
      </c>
      <c r="C707" s="3" t="s">
        <v>755</v>
      </c>
      <c r="D707" s="3"/>
      <c r="E707" s="2" t="str">
        <f>HYPERLINK("https://old.ukr-mobil.com/separator_displejnyh_modulej_s_cifrovym_kontrollerom_baku_946d_vakuumnij_5750", "Перейти")</f>
        <v>Перейти</v>
      </c>
      <c r="F707" s="2">
        <v>5750</v>
      </c>
      <c r="G707" s="4" t="s">
        <v>767</v>
      </c>
      <c r="H707" s="1">
        <v>0</v>
      </c>
      <c r="I707" s="1">
        <v>0</v>
      </c>
      <c r="J707" s="1">
        <v>0</v>
      </c>
      <c r="K707" s="2">
        <v>83.66</v>
      </c>
    </row>
    <row r="708" spans="1:12">
      <c r="A708" s="3" t="s">
        <v>633</v>
      </c>
      <c r="B708" s="3" t="s">
        <v>749</v>
      </c>
      <c r="C708" s="3" t="s">
        <v>755</v>
      </c>
      <c r="D708" s="3"/>
      <c r="E708" s="2" t="str">
        <f>HYPERLINK("https://old.ukr-mobil.com/separator_displejnyh_modulej_s_cifrovym_kontrollerom_baku_968_vakuumnij_350vt_razmer_10_1_inch_6147", "Перейти")</f>
        <v>Перейти</v>
      </c>
      <c r="F708" s="2">
        <v>6147</v>
      </c>
      <c r="G708" s="4" t="s">
        <v>768</v>
      </c>
      <c r="H708" s="1">
        <v>0</v>
      </c>
      <c r="I708" s="1">
        <v>0</v>
      </c>
      <c r="J708" s="1">
        <v>0</v>
      </c>
      <c r="K708" s="2">
        <v>138.14</v>
      </c>
    </row>
    <row r="709" spans="1:12">
      <c r="A709" s="3" t="s">
        <v>633</v>
      </c>
      <c r="B709" s="3" t="s">
        <v>749</v>
      </c>
      <c r="C709" s="3" t="s">
        <v>755</v>
      </c>
      <c r="D709" s="3"/>
      <c r="E709" s="2" t="str">
        <f>HYPERLINK("https://old.ukr-mobil.com/separator_displejnyh_modulej_s_cifrovym_kontrollerom_baku_968_vakuumnij_500vt_razmer_10_1_inch_6108", "Перейти")</f>
        <v>Перейти</v>
      </c>
      <c r="F709" s="2">
        <v>6108</v>
      </c>
      <c r="G709" s="4" t="s">
        <v>769</v>
      </c>
      <c r="H709" s="1">
        <v>0</v>
      </c>
      <c r="I709" s="1">
        <v>0</v>
      </c>
      <c r="J709" s="1">
        <v>0</v>
      </c>
      <c r="K709" s="2">
        <v>144.14</v>
      </c>
    </row>
    <row r="710" spans="1:12">
      <c r="A710" s="3" t="s">
        <v>633</v>
      </c>
      <c r="B710" s="3" t="s">
        <v>749</v>
      </c>
      <c r="C710" s="3" t="s">
        <v>755</v>
      </c>
      <c r="D710" s="3"/>
      <c r="E710" s="2" t="str">
        <f>HYPERLINK("https://old.ukr-mobil.com/separator_displejnyh_modulej_vakuumnyj_stol_12_dyujmov_ya_xun_940_11001", "Перейти")</f>
        <v>Перейти</v>
      </c>
      <c r="F710" s="2">
        <v>11001</v>
      </c>
      <c r="G710" s="4" t="s">
        <v>770</v>
      </c>
      <c r="H710" s="1">
        <v>0</v>
      </c>
      <c r="I710" s="1">
        <v>0</v>
      </c>
      <c r="J710" s="1">
        <v>0</v>
      </c>
      <c r="K710" s="2">
        <v>107.18</v>
      </c>
    </row>
    <row r="711" spans="1:12">
      <c r="A711" s="3" t="s">
        <v>633</v>
      </c>
      <c r="B711" s="3" t="s">
        <v>749</v>
      </c>
      <c r="C711" s="3" t="s">
        <v>755</v>
      </c>
      <c r="D711" s="3"/>
      <c r="E711" s="2" t="str">
        <f>HYPERLINK("https://old.ukr-mobil.com/separator_displejnyh_modulej_vakuumnyj_stol_8_dyujmov_ya_xun_999_5743", "Перейти")</f>
        <v>Перейти</v>
      </c>
      <c r="F711" s="2">
        <v>5743</v>
      </c>
      <c r="G711" s="4" t="s">
        <v>771</v>
      </c>
      <c r="H711" s="1">
        <v>0</v>
      </c>
      <c r="I711" s="1">
        <v>0</v>
      </c>
      <c r="J711" s="1">
        <v>0</v>
      </c>
      <c r="K711" s="2">
        <v>85.68</v>
      </c>
    </row>
    <row r="712" spans="1:12">
      <c r="A712" s="3" t="s">
        <v>633</v>
      </c>
      <c r="B712" s="3" t="s">
        <v>749</v>
      </c>
      <c r="C712" s="3" t="s">
        <v>755</v>
      </c>
      <c r="D712" s="3"/>
      <c r="E712" s="2" t="str">
        <f>HYPERLINK("https://old.ukr-mobil.com/separator-morozilnik_180_s_dlya_raskleivaniya_displejnogo_modulya_8060", "Перейти")</f>
        <v>Перейти</v>
      </c>
      <c r="F712" s="2">
        <v>8060</v>
      </c>
      <c r="G712" s="4" t="s">
        <v>772</v>
      </c>
      <c r="H712" s="1">
        <v>0</v>
      </c>
      <c r="I712" s="1">
        <v>0</v>
      </c>
      <c r="J712" s="1">
        <v>0</v>
      </c>
      <c r="K712" s="2">
        <v>360.0</v>
      </c>
    </row>
    <row r="713" spans="1:12">
      <c r="A713" s="3" t="s">
        <v>633</v>
      </c>
      <c r="B713" s="3" t="s">
        <v>749</v>
      </c>
      <c r="C713" s="3" t="s">
        <v>755</v>
      </c>
      <c r="D713" s="3"/>
      <c r="E713" s="2" t="str">
        <f>HYPERLINK("https://old.ukr-mobil.com/universalnyj_instrument_dlya_snyatiya_displeya_sunshine_ss-601g_10002689", "Перейти")</f>
        <v>Перейти</v>
      </c>
      <c r="F713" s="2">
        <v>10002689</v>
      </c>
      <c r="G713" s="4" t="s">
        <v>773</v>
      </c>
      <c r="H713" s="1">
        <v>0</v>
      </c>
      <c r="I713" s="1">
        <v>0</v>
      </c>
      <c r="J713" s="1">
        <v>0</v>
      </c>
      <c r="K713" s="2">
        <v>27.0</v>
      </c>
    </row>
    <row r="714" spans="1:12">
      <c r="A714" s="3" t="s">
        <v>633</v>
      </c>
      <c r="B714" s="3" t="s">
        <v>749</v>
      </c>
      <c r="C714" s="3" t="s">
        <v>774</v>
      </c>
      <c r="D714" s="3"/>
      <c r="E714" s="2" t="str">
        <f>HYPERLINK("https://old.ukr-mobil.com/aparat_dlya_naneseniya_uv_kleya_2in1_yaxun_yx-855_vakuumnaya_podacha_i_vsasyvanie_kleya_7650", "Перейти")</f>
        <v>Перейти</v>
      </c>
      <c r="F714" s="2">
        <v>7650</v>
      </c>
      <c r="G714" s="4" t="s">
        <v>775</v>
      </c>
      <c r="H714" s="1">
        <v>0</v>
      </c>
      <c r="I714" s="1">
        <v>0</v>
      </c>
      <c r="J714" s="1">
        <v>0</v>
      </c>
      <c r="K714" s="2">
        <v>56.45</v>
      </c>
    </row>
    <row r="715" spans="1:12">
      <c r="A715" s="3" t="s">
        <v>633</v>
      </c>
      <c r="B715" s="3" t="s">
        <v>749</v>
      </c>
      <c r="C715" s="3" t="s">
        <v>774</v>
      </c>
      <c r="D715" s="3"/>
      <c r="E715" s="2" t="str">
        <f>HYPERLINK("https://old.ukr-mobil.com/ustrojstvo_dlya_skleivaniya_displejnogo_modulya_m-triangel_m103_pres_avtoklav_v_komplekte_s_press-formami_dlya_samsung_galaxy_s6_edge_s6_edge_plus_s7_10360", "Перейти")</f>
        <v>Перейти</v>
      </c>
      <c r="F715" s="2">
        <v>10360</v>
      </c>
      <c r="G715" s="4" t="s">
        <v>776</v>
      </c>
      <c r="H715" s="1">
        <v>0</v>
      </c>
      <c r="I715" s="1">
        <v>0</v>
      </c>
      <c r="J715" s="1">
        <v>0</v>
      </c>
      <c r="K715" s="2">
        <v>1600.0</v>
      </c>
    </row>
    <row r="716" spans="1:12">
      <c r="A716" s="3" t="s">
        <v>633</v>
      </c>
      <c r="B716" s="3" t="s">
        <v>749</v>
      </c>
      <c r="C716" s="3" t="s">
        <v>774</v>
      </c>
      <c r="D716" s="3"/>
      <c r="E716" s="2" t="str">
        <f>HYPERLINK("https://old.ukr-mobil.com/ustrojstvo_dlya_skleivaniya_displejnogo_modulya_m-triangel_mt12_s_avtozamkami_all_in_one_dlya_ehkranov_do_12_10002309", "Перейти")</f>
        <v>Перейти</v>
      </c>
      <c r="F716" s="2">
        <v>10002309</v>
      </c>
      <c r="G716" s="4" t="s">
        <v>777</v>
      </c>
      <c r="H716" s="1">
        <v>0</v>
      </c>
      <c r="I716" s="1">
        <v>0</v>
      </c>
      <c r="J716" s="1">
        <v>0</v>
      </c>
      <c r="K716" s="2">
        <v>998.0</v>
      </c>
    </row>
    <row r="717" spans="1:12">
      <c r="A717" s="3" t="s">
        <v>633</v>
      </c>
      <c r="B717" s="3" t="s">
        <v>749</v>
      </c>
      <c r="C717" s="3" t="s">
        <v>774</v>
      </c>
      <c r="D717" s="3"/>
      <c r="E717" s="2" t="str">
        <f>HYPERLINK("https://old.ukr-mobil.com/ustrojstvo_dlya_skleivaniya_displejnogo_modulya_avtoklav_10362", "Перейти")</f>
        <v>Перейти</v>
      </c>
      <c r="F717" s="2">
        <v>10362</v>
      </c>
      <c r="G717" s="4" t="s">
        <v>778</v>
      </c>
      <c r="H717" s="1">
        <v>0</v>
      </c>
      <c r="I717" s="1">
        <v>0</v>
      </c>
      <c r="J717" s="1">
        <v>0</v>
      </c>
      <c r="K717" s="2">
        <v>390.39</v>
      </c>
    </row>
    <row r="718" spans="1:12">
      <c r="A718" s="3" t="s">
        <v>633</v>
      </c>
      <c r="B718" s="3" t="s">
        <v>749</v>
      </c>
      <c r="C718" s="3" t="s">
        <v>774</v>
      </c>
      <c r="D718" s="3"/>
      <c r="E718" s="2" t="str">
        <f>HYPERLINK("https://old.ukr-mobil.com/ustrojstvo_dlya_skleivaniya_displejnogo_modulya_pres_avtoklav_s_avtozamkami_all_in_one_sunshine_959v_rabochaya_poverhnost_16_inch_10002302", "Перейти")</f>
        <v>Перейти</v>
      </c>
      <c r="F718" s="2">
        <v>10002302</v>
      </c>
      <c r="G718" s="4" t="s">
        <v>779</v>
      </c>
      <c r="H718" s="1">
        <v>0</v>
      </c>
      <c r="I718" s="1">
        <v>0</v>
      </c>
      <c r="J718" s="1">
        <v>0</v>
      </c>
      <c r="K718" s="2">
        <v>1500.0</v>
      </c>
    </row>
    <row r="719" spans="1:12">
      <c r="A719" s="3" t="s">
        <v>633</v>
      </c>
      <c r="B719" s="3" t="s">
        <v>749</v>
      </c>
      <c r="C719" s="3" t="s">
        <v>774</v>
      </c>
      <c r="D719" s="3"/>
      <c r="E719" s="2" t="str">
        <f>HYPERLINK("https://old.ukr-mobil.com/ustrojstvo_dlya_skleivaniya_displejnogo_modulya_pres_avtoklav_s_avtozamkami_all_in_one_tbk-808_10000384", "Перейти")</f>
        <v>Перейти</v>
      </c>
      <c r="F719" s="2">
        <v>10000384</v>
      </c>
      <c r="G719" s="4" t="s">
        <v>780</v>
      </c>
      <c r="H719" s="1">
        <v>0</v>
      </c>
      <c r="I719" s="1">
        <v>0</v>
      </c>
      <c r="J719" s="1">
        <v>0</v>
      </c>
      <c r="K719" s="2">
        <v>875.0</v>
      </c>
    </row>
    <row r="720" spans="1:12">
      <c r="A720" s="3" t="s">
        <v>633</v>
      </c>
      <c r="B720" s="3" t="s">
        <v>781</v>
      </c>
      <c r="C720" s="3" t="s">
        <v>54</v>
      </c>
      <c r="D720" s="3"/>
      <c r="E720" s="2" t="str">
        <f>HYPERLINK("https://old.ukr-mobil.com/podsvetka_displeya_iphone_6_plus_7421", "Перейти")</f>
        <v>Перейти</v>
      </c>
      <c r="F720" s="2">
        <v>7421</v>
      </c>
      <c r="G720" s="4" t="s">
        <v>782</v>
      </c>
      <c r="H720" s="1">
        <v>34</v>
      </c>
      <c r="I720" s="1">
        <v>8</v>
      </c>
      <c r="J720" s="1">
        <v>6</v>
      </c>
      <c r="K720" s="2">
        <v>0.8</v>
      </c>
    </row>
    <row r="721" spans="1:12">
      <c r="A721" s="3" t="s">
        <v>633</v>
      </c>
      <c r="B721" s="3" t="s">
        <v>781</v>
      </c>
      <c r="C721" s="3" t="s">
        <v>54</v>
      </c>
      <c r="D721" s="3"/>
      <c r="E721" s="2" t="str">
        <f>HYPERLINK("https://old.ukr-mobil.com/podsvetka_displeya_iphone_6s_plus_7423", "Перейти")</f>
        <v>Перейти</v>
      </c>
      <c r="F721" s="2">
        <v>7423</v>
      </c>
      <c r="G721" s="4" t="s">
        <v>783</v>
      </c>
      <c r="H721" s="1">
        <v>11</v>
      </c>
      <c r="I721" s="1">
        <v>8</v>
      </c>
      <c r="J721" s="1">
        <v>0</v>
      </c>
      <c r="K721" s="2">
        <v>2.0</v>
      </c>
    </row>
    <row r="722" spans="1:12">
      <c r="A722" s="3" t="s">
        <v>633</v>
      </c>
      <c r="B722" s="3" t="s">
        <v>781</v>
      </c>
      <c r="C722" s="3" t="s">
        <v>54</v>
      </c>
      <c r="D722" s="3"/>
      <c r="E722" s="2" t="str">
        <f>HYPERLINK("https://old.ukr-mobil.com/podsvetka_displeya_iphone_7_7753", "Перейти")</f>
        <v>Перейти</v>
      </c>
      <c r="F722" s="2">
        <v>7753</v>
      </c>
      <c r="G722" s="4" t="s">
        <v>784</v>
      </c>
      <c r="H722" s="1">
        <v>1</v>
      </c>
      <c r="I722" s="1">
        <v>0</v>
      </c>
      <c r="J722" s="1">
        <v>0</v>
      </c>
      <c r="K722" s="2">
        <v>4.0</v>
      </c>
    </row>
    <row r="723" spans="1:12">
      <c r="A723" s="3" t="s">
        <v>633</v>
      </c>
      <c r="B723" s="3" t="s">
        <v>781</v>
      </c>
      <c r="C723" s="3" t="s">
        <v>640</v>
      </c>
      <c r="D723" s="3"/>
      <c r="E723" s="2" t="str">
        <f>HYPERLINK("https://old.ukr-mobil.com/podsvetka_displeya_huawei_honor_10_lite_10001780", "Перейти")</f>
        <v>Перейти</v>
      </c>
      <c r="F723" s="2">
        <v>10001780</v>
      </c>
      <c r="G723" s="4" t="s">
        <v>785</v>
      </c>
      <c r="H723" s="1">
        <v>6</v>
      </c>
      <c r="I723" s="1">
        <v>2</v>
      </c>
      <c r="J723" s="1">
        <v>2</v>
      </c>
      <c r="K723" s="2">
        <v>2.5</v>
      </c>
    </row>
    <row r="724" spans="1:12">
      <c r="A724" s="3" t="s">
        <v>633</v>
      </c>
      <c r="B724" s="3" t="s">
        <v>781</v>
      </c>
      <c r="C724" s="3" t="s">
        <v>640</v>
      </c>
      <c r="D724" s="3"/>
      <c r="E724" s="2" t="str">
        <f>HYPERLINK("https://old.ukr-mobil.com/podsvetka_displeya_huawei_honor_20_10001781", "Перейти")</f>
        <v>Перейти</v>
      </c>
      <c r="F724" s="2">
        <v>10001781</v>
      </c>
      <c r="G724" s="4" t="s">
        <v>786</v>
      </c>
      <c r="H724" s="1">
        <v>0</v>
      </c>
      <c r="I724" s="1">
        <v>0</v>
      </c>
      <c r="J724" s="1">
        <v>0</v>
      </c>
      <c r="K724" s="2">
        <v>2.0</v>
      </c>
    </row>
    <row r="725" spans="1:12">
      <c r="A725" s="3" t="s">
        <v>633</v>
      </c>
      <c r="B725" s="3" t="s">
        <v>781</v>
      </c>
      <c r="C725" s="3" t="s">
        <v>640</v>
      </c>
      <c r="D725" s="3"/>
      <c r="E725" s="2" t="str">
        <f>HYPERLINK("https://old.ukr-mobil.com/podsvetka_displeya_huawei_honor_8x_10001782", "Перейти")</f>
        <v>Перейти</v>
      </c>
      <c r="F725" s="2">
        <v>10001782</v>
      </c>
      <c r="G725" s="4" t="s">
        <v>787</v>
      </c>
      <c r="H725" s="1">
        <v>0</v>
      </c>
      <c r="I725" s="1">
        <v>2</v>
      </c>
      <c r="J725" s="1">
        <v>2</v>
      </c>
      <c r="K725" s="2">
        <v>2.75</v>
      </c>
    </row>
    <row r="726" spans="1:12">
      <c r="A726" s="3" t="s">
        <v>633</v>
      </c>
      <c r="B726" s="3" t="s">
        <v>781</v>
      </c>
      <c r="C726" s="3" t="s">
        <v>640</v>
      </c>
      <c r="D726" s="3"/>
      <c r="E726" s="2" t="str">
        <f>HYPERLINK("https://old.ukr-mobil.com/podsvetka_displeya_huawei_p_smart_2021_y7a_honor_10x_lite_10001786", "Перейти")</f>
        <v>Перейти</v>
      </c>
      <c r="F726" s="2">
        <v>10001786</v>
      </c>
      <c r="G726" s="4" t="s">
        <v>788</v>
      </c>
      <c r="H726" s="1">
        <v>21</v>
      </c>
      <c r="I726" s="1">
        <v>5</v>
      </c>
      <c r="J726" s="1">
        <v>5</v>
      </c>
      <c r="K726" s="2">
        <v>2.0</v>
      </c>
    </row>
    <row r="727" spans="1:12">
      <c r="A727" s="3" t="s">
        <v>633</v>
      </c>
      <c r="B727" s="3" t="s">
        <v>781</v>
      </c>
      <c r="C727" s="3" t="s">
        <v>640</v>
      </c>
      <c r="D727" s="3"/>
      <c r="E727" s="2" t="str">
        <f>HYPERLINK("https://old.ukr-mobil.com/podsvetka_displeya_huawei_p30_lite_nova_4e_mar-l21_lx2_lx1m_10001789", "Перейти")</f>
        <v>Перейти</v>
      </c>
      <c r="F727" s="2">
        <v>10001789</v>
      </c>
      <c r="G727" s="4" t="s">
        <v>789</v>
      </c>
      <c r="H727" s="1">
        <v>0</v>
      </c>
      <c r="I727" s="1">
        <v>0</v>
      </c>
      <c r="J727" s="1">
        <v>0</v>
      </c>
      <c r="K727" s="2">
        <v>2.0</v>
      </c>
    </row>
    <row r="728" spans="1:12">
      <c r="A728" s="3" t="s">
        <v>633</v>
      </c>
      <c r="B728" s="3" t="s">
        <v>781</v>
      </c>
      <c r="C728" s="3" t="s">
        <v>640</v>
      </c>
      <c r="D728" s="3"/>
      <c r="E728" s="2" t="str">
        <f>HYPERLINK("https://old.ukr-mobil.com/podsvetka_displeya_huawei_p40_lite_nova_6_se_jny-lx1_l21a_l01a_l21b_l22a_l02a_l22b_10001790", "Перейти")</f>
        <v>Перейти</v>
      </c>
      <c r="F728" s="2">
        <v>10001790</v>
      </c>
      <c r="G728" s="4" t="s">
        <v>790</v>
      </c>
      <c r="H728" s="1">
        <v>5</v>
      </c>
      <c r="I728" s="1">
        <v>4</v>
      </c>
      <c r="J728" s="1">
        <v>1</v>
      </c>
      <c r="K728" s="2">
        <v>2.0</v>
      </c>
    </row>
    <row r="729" spans="1:12">
      <c r="A729" s="3" t="s">
        <v>633</v>
      </c>
      <c r="B729" s="3" t="s">
        <v>781</v>
      </c>
      <c r="C729" s="3" t="s">
        <v>640</v>
      </c>
      <c r="D729" s="3"/>
      <c r="E729" s="2" t="str">
        <f>HYPERLINK("https://old.ukr-mobil.com/podsvetka_displeya_huawei_p40_lite_e_art-l28_art-l29_y7p_2020_honor_9c_10003874", "Перейти")</f>
        <v>Перейти</v>
      </c>
      <c r="F729" s="2">
        <v>10003874</v>
      </c>
      <c r="G729" s="4" t="s">
        <v>791</v>
      </c>
      <c r="H729" s="1">
        <v>7</v>
      </c>
      <c r="I729" s="1">
        <v>5</v>
      </c>
      <c r="J729" s="1">
        <v>4</v>
      </c>
      <c r="K729" s="2">
        <v>2.0</v>
      </c>
    </row>
    <row r="730" spans="1:12">
      <c r="A730" s="3" t="s">
        <v>633</v>
      </c>
      <c r="B730" s="3" t="s">
        <v>781</v>
      </c>
      <c r="C730" s="3" t="s">
        <v>640</v>
      </c>
      <c r="D730" s="3"/>
      <c r="E730" s="2" t="str">
        <f>HYPERLINK("https://old.ukr-mobil.com/podsvetka_displeya_huawei_y6_2019_y6_prime_2019_y6s_honor_8a_y6_pro_2019_8a_pro_mrd-lx1_jat-lx_10001791", "Перейти")</f>
        <v>Перейти</v>
      </c>
      <c r="F730" s="2">
        <v>10001791</v>
      </c>
      <c r="G730" s="4" t="s">
        <v>792</v>
      </c>
      <c r="H730" s="1">
        <v>3</v>
      </c>
      <c r="I730" s="1">
        <v>3</v>
      </c>
      <c r="J730" s="1">
        <v>3</v>
      </c>
      <c r="K730" s="2">
        <v>2.0</v>
      </c>
    </row>
    <row r="731" spans="1:12">
      <c r="A731" s="3" t="s">
        <v>633</v>
      </c>
      <c r="B731" s="3" t="s">
        <v>781</v>
      </c>
      <c r="C731" s="3" t="s">
        <v>640</v>
      </c>
      <c r="D731" s="3"/>
      <c r="E731" s="2" t="str">
        <f>HYPERLINK("https://old.ukr-mobil.com/podsvetka_displeya_huawei_y6p_2020_honor_9a_med-l29_lx9_lx9n_l29n_moa-lx9_lx9n_10001783", "Перейти")</f>
        <v>Перейти</v>
      </c>
      <c r="F731" s="2">
        <v>10001783</v>
      </c>
      <c r="G731" s="4" t="s">
        <v>793</v>
      </c>
      <c r="H731" s="1">
        <v>26</v>
      </c>
      <c r="I731" s="1">
        <v>9</v>
      </c>
      <c r="J731" s="1">
        <v>2</v>
      </c>
      <c r="K731" s="2">
        <v>2.0</v>
      </c>
    </row>
    <row r="732" spans="1:12">
      <c r="A732" s="3" t="s">
        <v>633</v>
      </c>
      <c r="B732" s="3" t="s">
        <v>781</v>
      </c>
      <c r="C732" s="3" t="s">
        <v>640</v>
      </c>
      <c r="D732" s="3"/>
      <c r="E732" s="2" t="str">
        <f>HYPERLINK("https://old.ukr-mobil.com/podsvetka_displeya_huawei_y7_2019_dub-lx3_dub-l23_dub-lx1_y7_prime_2019_y7_pro_2019_10001792", "Перейти")</f>
        <v>Перейти</v>
      </c>
      <c r="F732" s="2">
        <v>10001792</v>
      </c>
      <c r="G732" s="4" t="s">
        <v>794</v>
      </c>
      <c r="H732" s="1">
        <v>11</v>
      </c>
      <c r="I732" s="1">
        <v>4</v>
      </c>
      <c r="J732" s="1">
        <v>5</v>
      </c>
      <c r="K732" s="2">
        <v>1.5</v>
      </c>
    </row>
    <row r="733" spans="1:12">
      <c r="A733" s="3" t="s">
        <v>633</v>
      </c>
      <c r="B733" s="3" t="s">
        <v>781</v>
      </c>
      <c r="C733" s="3" t="s">
        <v>640</v>
      </c>
      <c r="D733" s="3"/>
      <c r="E733" s="2" t="str">
        <f>HYPERLINK("https://old.ukr-mobil.com/podsvetka_displeya_huawei_y9_2018_fla-lx1_fla-lx3_enjoy_8_plus_10001793", "Перейти")</f>
        <v>Перейти</v>
      </c>
      <c r="F733" s="2">
        <v>10001793</v>
      </c>
      <c r="G733" s="4" t="s">
        <v>795</v>
      </c>
      <c r="H733" s="1">
        <v>11</v>
      </c>
      <c r="I733" s="1">
        <v>5</v>
      </c>
      <c r="J733" s="1">
        <v>2</v>
      </c>
      <c r="K733" s="2">
        <v>2.0</v>
      </c>
    </row>
    <row r="734" spans="1:12">
      <c r="A734" s="3" t="s">
        <v>633</v>
      </c>
      <c r="B734" s="3" t="s">
        <v>781</v>
      </c>
      <c r="C734" s="3" t="s">
        <v>796</v>
      </c>
      <c r="D734" s="3"/>
      <c r="E734" s="2" t="str">
        <f>HYPERLINK("https://old.ukr-mobil.com/podsvetka_displeya_oppo_a12_a5s_a7_realme_3_10001795", "Перейти")</f>
        <v>Перейти</v>
      </c>
      <c r="F734" s="2">
        <v>10001795</v>
      </c>
      <c r="G734" s="4" t="s">
        <v>797</v>
      </c>
      <c r="H734" s="1">
        <v>6</v>
      </c>
      <c r="I734" s="1">
        <v>4</v>
      </c>
      <c r="J734" s="1">
        <v>0</v>
      </c>
      <c r="K734" s="2">
        <v>1.5</v>
      </c>
    </row>
    <row r="735" spans="1:12">
      <c r="A735" s="3" t="s">
        <v>633</v>
      </c>
      <c r="B735" s="3" t="s">
        <v>781</v>
      </c>
      <c r="C735" s="3" t="s">
        <v>796</v>
      </c>
      <c r="D735" s="3"/>
      <c r="E735" s="2" t="str">
        <f>HYPERLINK("https://old.ukr-mobil.com/podsvetka_displeya_oppo_a32_2020_a53_realme_7i_10001796", "Перейти")</f>
        <v>Перейти</v>
      </c>
      <c r="F735" s="2">
        <v>10001796</v>
      </c>
      <c r="G735" s="4" t="s">
        <v>798</v>
      </c>
      <c r="H735" s="1">
        <v>0</v>
      </c>
      <c r="I735" s="1">
        <v>0</v>
      </c>
      <c r="J735" s="1">
        <v>0</v>
      </c>
      <c r="K735" s="2">
        <v>1.5</v>
      </c>
    </row>
    <row r="736" spans="1:12">
      <c r="A736" s="3" t="s">
        <v>633</v>
      </c>
      <c r="B736" s="3" t="s">
        <v>781</v>
      </c>
      <c r="C736" s="3" t="s">
        <v>796</v>
      </c>
      <c r="D736" s="3"/>
      <c r="E736" s="2" t="str">
        <f>HYPERLINK("https://old.ukr-mobil.com/podsvetka_displeya_oppo_a52_a72_a92_10001798", "Перейти")</f>
        <v>Перейти</v>
      </c>
      <c r="F736" s="2">
        <v>10001798</v>
      </c>
      <c r="G736" s="4" t="s">
        <v>799</v>
      </c>
      <c r="H736" s="1">
        <v>1</v>
      </c>
      <c r="I736" s="1">
        <v>5</v>
      </c>
      <c r="J736" s="1">
        <v>2</v>
      </c>
      <c r="K736" s="2">
        <v>1.5</v>
      </c>
    </row>
    <row r="737" spans="1:12">
      <c r="A737" s="3" t="s">
        <v>633</v>
      </c>
      <c r="B737" s="3" t="s">
        <v>781</v>
      </c>
      <c r="C737" s="3" t="s">
        <v>796</v>
      </c>
      <c r="D737" s="3"/>
      <c r="E737" s="2" t="str">
        <f>HYPERLINK("https://old.ukr-mobil.com/podsvetka_displeya_oppo_realme_6_10001799", "Перейти")</f>
        <v>Перейти</v>
      </c>
      <c r="F737" s="2">
        <v>10001799</v>
      </c>
      <c r="G737" s="4" t="s">
        <v>800</v>
      </c>
      <c r="H737" s="1">
        <v>3</v>
      </c>
      <c r="I737" s="1">
        <v>1</v>
      </c>
      <c r="J737" s="1">
        <v>0</v>
      </c>
      <c r="K737" s="2">
        <v>1.5</v>
      </c>
    </row>
    <row r="738" spans="1:12">
      <c r="A738" s="3" t="s">
        <v>633</v>
      </c>
      <c r="B738" s="3" t="s">
        <v>781</v>
      </c>
      <c r="C738" s="3" t="s">
        <v>653</v>
      </c>
      <c r="D738" s="3"/>
      <c r="E738" s="2" t="str">
        <f>HYPERLINK("https://old.ukr-mobil.com/podsvetka_displeya_samsung_a015_galaxy_a01_10001801", "Перейти")</f>
        <v>Перейти</v>
      </c>
      <c r="F738" s="2">
        <v>10001801</v>
      </c>
      <c r="G738" s="4" t="s">
        <v>801</v>
      </c>
      <c r="H738" s="1">
        <v>16</v>
      </c>
      <c r="I738" s="1">
        <v>4</v>
      </c>
      <c r="J738" s="1">
        <v>3</v>
      </c>
      <c r="K738" s="2">
        <v>2.0</v>
      </c>
    </row>
    <row r="739" spans="1:12">
      <c r="A739" s="3" t="s">
        <v>633</v>
      </c>
      <c r="B739" s="3" t="s">
        <v>781</v>
      </c>
      <c r="C739" s="3" t="s">
        <v>653</v>
      </c>
      <c r="D739" s="3"/>
      <c r="E739" s="2" t="str">
        <f>HYPERLINK("https://old.ukr-mobil.com/podsvetka_displeya_samsung_a025_galaxy_a02s_m025_galaxy_m02s_10001803", "Перейти")</f>
        <v>Перейти</v>
      </c>
      <c r="F739" s="2">
        <v>10001803</v>
      </c>
      <c r="G739" s="4" t="s">
        <v>802</v>
      </c>
      <c r="H739" s="1">
        <v>3</v>
      </c>
      <c r="I739" s="1">
        <v>2</v>
      </c>
      <c r="J739" s="1">
        <v>1</v>
      </c>
      <c r="K739" s="2">
        <v>3.0</v>
      </c>
    </row>
    <row r="740" spans="1:12">
      <c r="A740" s="3" t="s">
        <v>633</v>
      </c>
      <c r="B740" s="3" t="s">
        <v>781</v>
      </c>
      <c r="C740" s="3" t="s">
        <v>653</v>
      </c>
      <c r="D740" s="3"/>
      <c r="E740" s="2" t="str">
        <f>HYPERLINK("https://old.ukr-mobil.com/podsvetka_displeya_samsung_a105_galaxy_a10_10001802", "Перейти")</f>
        <v>Перейти</v>
      </c>
      <c r="F740" s="2">
        <v>10001802</v>
      </c>
      <c r="G740" s="4" t="s">
        <v>803</v>
      </c>
      <c r="H740" s="1">
        <v>6</v>
      </c>
      <c r="I740" s="1">
        <v>6</v>
      </c>
      <c r="J740" s="1">
        <v>6</v>
      </c>
      <c r="K740" s="2">
        <v>1.5</v>
      </c>
    </row>
    <row r="741" spans="1:12">
      <c r="A741" s="3" t="s">
        <v>633</v>
      </c>
      <c r="B741" s="3" t="s">
        <v>781</v>
      </c>
      <c r="C741" s="3" t="s">
        <v>653</v>
      </c>
      <c r="D741" s="3"/>
      <c r="E741" s="2" t="str">
        <f>HYPERLINK("https://old.ukr-mobil.com/podsvetka_displeya_samsung_a107_galaxy_a10s_10001804", "Перейти")</f>
        <v>Перейти</v>
      </c>
      <c r="F741" s="2">
        <v>10001804</v>
      </c>
      <c r="G741" s="4" t="s">
        <v>804</v>
      </c>
      <c r="H741" s="1">
        <v>1</v>
      </c>
      <c r="I741" s="1">
        <v>6</v>
      </c>
      <c r="J741" s="1">
        <v>6</v>
      </c>
      <c r="K741" s="2">
        <v>1.5</v>
      </c>
    </row>
    <row r="742" spans="1:12">
      <c r="A742" s="3" t="s">
        <v>633</v>
      </c>
      <c r="B742" s="3" t="s">
        <v>781</v>
      </c>
      <c r="C742" s="3" t="s">
        <v>653</v>
      </c>
      <c r="D742" s="3"/>
      <c r="E742" s="2" t="str">
        <f>HYPERLINK("https://old.ukr-mobil.com/podsvetka_displeya_samsung_a115_galaxy_a11_m115_galaxy_m11_10001805", "Перейти")</f>
        <v>Перейти</v>
      </c>
      <c r="F742" s="2">
        <v>10001805</v>
      </c>
      <c r="G742" s="4" t="s">
        <v>805</v>
      </c>
      <c r="H742" s="1">
        <v>4</v>
      </c>
      <c r="I742" s="1">
        <v>6</v>
      </c>
      <c r="J742" s="1">
        <v>3</v>
      </c>
      <c r="K742" s="2">
        <v>2.0</v>
      </c>
    </row>
    <row r="743" spans="1:12">
      <c r="A743" s="3" t="s">
        <v>633</v>
      </c>
      <c r="B743" s="3" t="s">
        <v>781</v>
      </c>
      <c r="C743" s="3" t="s">
        <v>653</v>
      </c>
      <c r="D743" s="3"/>
      <c r="E743" s="2" t="str">
        <f>HYPERLINK("https://old.ukr-mobil.com/podsvetka_displeya_samsung_a125_galaxy_a12_a022_galaxy_a02_a325_galaxy_a32_a326_galaxy_a32_5g_m127_galaxy_m12_10001806", "Перейти")</f>
        <v>Перейти</v>
      </c>
      <c r="F743" s="2">
        <v>10001806</v>
      </c>
      <c r="G743" s="4" t="s">
        <v>806</v>
      </c>
      <c r="H743" s="1">
        <v>0</v>
      </c>
      <c r="I743" s="1">
        <v>0</v>
      </c>
      <c r="J743" s="1">
        <v>2</v>
      </c>
      <c r="K743" s="2">
        <v>1.5</v>
      </c>
    </row>
    <row r="744" spans="1:12">
      <c r="A744" s="3" t="s">
        <v>633</v>
      </c>
      <c r="B744" s="3" t="s">
        <v>781</v>
      </c>
      <c r="C744" s="3" t="s">
        <v>653</v>
      </c>
      <c r="D744" s="3"/>
      <c r="E744" s="2" t="str">
        <f>HYPERLINK("https://old.ukr-mobil.com/podsvetka_displeya_samsung_a135_galaxy_a13_10002963", "Перейти")</f>
        <v>Перейти</v>
      </c>
      <c r="F744" s="2">
        <v>10002963</v>
      </c>
      <c r="G744" s="4" t="s">
        <v>807</v>
      </c>
      <c r="H744" s="1">
        <v>10</v>
      </c>
      <c r="I744" s="1">
        <v>8</v>
      </c>
      <c r="J744" s="1">
        <v>4</v>
      </c>
      <c r="K744" s="2">
        <v>2.0</v>
      </c>
    </row>
    <row r="745" spans="1:12">
      <c r="A745" s="3" t="s">
        <v>633</v>
      </c>
      <c r="B745" s="3" t="s">
        <v>781</v>
      </c>
      <c r="C745" s="3" t="s">
        <v>653</v>
      </c>
      <c r="D745" s="3"/>
      <c r="E745" s="2" t="str">
        <f>HYPERLINK("https://old.ukr-mobil.com/podsvetka_displeya_samsung_a207_galaxy_a20s_10001807", "Перейти")</f>
        <v>Перейти</v>
      </c>
      <c r="F745" s="2">
        <v>10001807</v>
      </c>
      <c r="G745" s="4" t="s">
        <v>808</v>
      </c>
      <c r="H745" s="1">
        <v>2</v>
      </c>
      <c r="I745" s="1">
        <v>4</v>
      </c>
      <c r="J745" s="1">
        <v>2</v>
      </c>
      <c r="K745" s="2">
        <v>2.0</v>
      </c>
    </row>
    <row r="746" spans="1:12">
      <c r="A746" s="3" t="s">
        <v>633</v>
      </c>
      <c r="B746" s="3" t="s">
        <v>781</v>
      </c>
      <c r="C746" s="3" t="s">
        <v>653</v>
      </c>
      <c r="D746" s="3"/>
      <c r="E746" s="2" t="str">
        <f>HYPERLINK("https://old.ukr-mobil.com/podsvetka_displeya_samsung_a217_galaxy_a21s_10001808", "Перейти")</f>
        <v>Перейти</v>
      </c>
      <c r="F746" s="2">
        <v>10001808</v>
      </c>
      <c r="G746" s="4" t="s">
        <v>809</v>
      </c>
      <c r="H746" s="1">
        <v>3</v>
      </c>
      <c r="I746" s="1">
        <v>2</v>
      </c>
      <c r="J746" s="1">
        <v>1</v>
      </c>
      <c r="K746" s="2">
        <v>2.0</v>
      </c>
    </row>
    <row r="747" spans="1:12">
      <c r="A747" s="3" t="s">
        <v>633</v>
      </c>
      <c r="B747" s="3" t="s">
        <v>781</v>
      </c>
      <c r="C747" s="3" t="s">
        <v>653</v>
      </c>
      <c r="D747" s="3"/>
      <c r="E747" s="2" t="str">
        <f>HYPERLINK("https://old.ukr-mobil.com/podsvetka_displeya_samsung_a226_galaxy_a22_5g_10003850", "Перейти")</f>
        <v>Перейти</v>
      </c>
      <c r="F747" s="2">
        <v>10003850</v>
      </c>
      <c r="G747" s="4" t="s">
        <v>810</v>
      </c>
      <c r="H747" s="1">
        <v>13</v>
      </c>
      <c r="I747" s="1">
        <v>7</v>
      </c>
      <c r="J747" s="1">
        <v>6</v>
      </c>
      <c r="K747" s="2">
        <v>2.0</v>
      </c>
    </row>
    <row r="748" spans="1:12">
      <c r="A748" s="3" t="s">
        <v>633</v>
      </c>
      <c r="B748" s="3" t="s">
        <v>781</v>
      </c>
      <c r="C748" s="3" t="s">
        <v>653</v>
      </c>
      <c r="D748" s="3"/>
      <c r="E748" s="2" t="str">
        <f>HYPERLINK("https://old.ukr-mobil.com/podsvetka_displeya_samsung_m205_galaxy_m20_10003849", "Перейти")</f>
        <v>Перейти</v>
      </c>
      <c r="F748" s="2">
        <v>10003849</v>
      </c>
      <c r="G748" s="4" t="s">
        <v>811</v>
      </c>
      <c r="H748" s="1">
        <v>9</v>
      </c>
      <c r="I748" s="1">
        <v>8</v>
      </c>
      <c r="J748" s="1">
        <v>6</v>
      </c>
      <c r="K748" s="2">
        <v>2.0</v>
      </c>
    </row>
    <row r="749" spans="1:12">
      <c r="A749" s="3" t="s">
        <v>633</v>
      </c>
      <c r="B749" s="3" t="s">
        <v>781</v>
      </c>
      <c r="C749" s="3" t="s">
        <v>812</v>
      </c>
      <c r="D749" s="3"/>
      <c r="E749" s="2" t="str">
        <f>HYPERLINK("https://old.ukr-mobil.com/podsvetka_displeya_vivo_y11_2019_y12_2019_y15_2019_y17_2019_10001827", "Перейти")</f>
        <v>Перейти</v>
      </c>
      <c r="F749" s="2">
        <v>10001827</v>
      </c>
      <c r="G749" s="4" t="s">
        <v>813</v>
      </c>
      <c r="H749" s="1">
        <v>9</v>
      </c>
      <c r="I749" s="1">
        <v>5</v>
      </c>
      <c r="J749" s="1">
        <v>2</v>
      </c>
      <c r="K749" s="2">
        <v>2.0</v>
      </c>
    </row>
    <row r="750" spans="1:12">
      <c r="A750" s="3" t="s">
        <v>633</v>
      </c>
      <c r="B750" s="3" t="s">
        <v>781</v>
      </c>
      <c r="C750" s="3" t="s">
        <v>814</v>
      </c>
      <c r="D750" s="3"/>
      <c r="E750" s="2" t="str">
        <f>HYPERLINK("https://old.ukr-mobil.com/podsvetka_displeya_xiaomi_mi_8_lite_10001811", "Перейти")</f>
        <v>Перейти</v>
      </c>
      <c r="F750" s="2">
        <v>10001811</v>
      </c>
      <c r="G750" s="4" t="s">
        <v>815</v>
      </c>
      <c r="H750" s="1">
        <v>7</v>
      </c>
      <c r="I750" s="1">
        <v>5</v>
      </c>
      <c r="J750" s="1">
        <v>1</v>
      </c>
      <c r="K750" s="2">
        <v>2.0</v>
      </c>
    </row>
    <row r="751" spans="1:12">
      <c r="A751" s="3" t="s">
        <v>633</v>
      </c>
      <c r="B751" s="3" t="s">
        <v>781</v>
      </c>
      <c r="C751" s="3" t="s">
        <v>814</v>
      </c>
      <c r="D751" s="3"/>
      <c r="E751" s="2" t="str">
        <f>HYPERLINK("https://old.ukr-mobil.com/podsvetka_displeya_xiaomi_mi_a2_10001812", "Перейти")</f>
        <v>Перейти</v>
      </c>
      <c r="F751" s="2">
        <v>10001812</v>
      </c>
      <c r="G751" s="4" t="s">
        <v>816</v>
      </c>
      <c r="H751" s="1">
        <v>0</v>
      </c>
      <c r="I751" s="1">
        <v>1</v>
      </c>
      <c r="J751" s="1">
        <v>0</v>
      </c>
      <c r="K751" s="2">
        <v>2.0</v>
      </c>
    </row>
    <row r="752" spans="1:12">
      <c r="A752" s="3" t="s">
        <v>633</v>
      </c>
      <c r="B752" s="3" t="s">
        <v>781</v>
      </c>
      <c r="C752" s="3" t="s">
        <v>814</v>
      </c>
      <c r="D752" s="3"/>
      <c r="E752" s="2" t="str">
        <f>HYPERLINK("https://old.ukr-mobil.com/podsvetka_displeya_xiaomi_mi_a2_lite_redmi_6_pro_10001813", "Перейти")</f>
        <v>Перейти</v>
      </c>
      <c r="F752" s="2">
        <v>10001813</v>
      </c>
      <c r="G752" s="4" t="s">
        <v>817</v>
      </c>
      <c r="H752" s="1">
        <v>4</v>
      </c>
      <c r="I752" s="1">
        <v>4</v>
      </c>
      <c r="J752" s="1">
        <v>2</v>
      </c>
      <c r="K752" s="2">
        <v>2.0</v>
      </c>
    </row>
    <row r="753" spans="1:12">
      <c r="A753" s="3" t="s">
        <v>633</v>
      </c>
      <c r="B753" s="3" t="s">
        <v>781</v>
      </c>
      <c r="C753" s="3" t="s">
        <v>814</v>
      </c>
      <c r="D753" s="3"/>
      <c r="E753" s="2" t="str">
        <f>HYPERLINK("https://old.ukr-mobil.com/podsvetka_displeya_xiaomi_mi_max_3_10001814", "Перейти")</f>
        <v>Перейти</v>
      </c>
      <c r="F753" s="2">
        <v>10001814</v>
      </c>
      <c r="G753" s="4" t="s">
        <v>818</v>
      </c>
      <c r="H753" s="1">
        <v>1</v>
      </c>
      <c r="I753" s="1">
        <v>3</v>
      </c>
      <c r="J753" s="1">
        <v>1</v>
      </c>
      <c r="K753" s="2">
        <v>2.0</v>
      </c>
    </row>
    <row r="754" spans="1:12">
      <c r="A754" s="3" t="s">
        <v>633</v>
      </c>
      <c r="B754" s="3" t="s">
        <v>781</v>
      </c>
      <c r="C754" s="3" t="s">
        <v>814</v>
      </c>
      <c r="D754" s="3"/>
      <c r="E754" s="2" t="str">
        <f>HYPERLINK("https://old.ukr-mobil.com/podsvetka_displeya_xiaomi_redmi_10_redmi_note_11_4g_10003852", "Перейти")</f>
        <v>Перейти</v>
      </c>
      <c r="F754" s="2">
        <v>10003852</v>
      </c>
      <c r="G754" s="4" t="s">
        <v>819</v>
      </c>
      <c r="H754" s="1">
        <v>4</v>
      </c>
      <c r="I754" s="1">
        <v>6</v>
      </c>
      <c r="J754" s="1">
        <v>1</v>
      </c>
      <c r="K754" s="2">
        <v>2.0</v>
      </c>
    </row>
    <row r="755" spans="1:12">
      <c r="A755" s="3" t="s">
        <v>633</v>
      </c>
      <c r="B755" s="3" t="s">
        <v>781</v>
      </c>
      <c r="C755" s="3" t="s">
        <v>814</v>
      </c>
      <c r="D755" s="3"/>
      <c r="E755" s="2" t="str">
        <f>HYPERLINK("https://old.ukr-mobil.com/podsvetka_displeya_xiaomi_redmi_10c_redmi_10_power_poco_c40_10003851", "Перейти")</f>
        <v>Перейти</v>
      </c>
      <c r="F755" s="2">
        <v>10003851</v>
      </c>
      <c r="G755" s="4" t="s">
        <v>820</v>
      </c>
      <c r="H755" s="1">
        <v>1</v>
      </c>
      <c r="I755" s="1">
        <v>5</v>
      </c>
      <c r="J755" s="1">
        <v>6</v>
      </c>
      <c r="K755" s="2">
        <v>2.0</v>
      </c>
    </row>
    <row r="756" spans="1:12">
      <c r="A756" s="3" t="s">
        <v>633</v>
      </c>
      <c r="B756" s="3" t="s">
        <v>781</v>
      </c>
      <c r="C756" s="3" t="s">
        <v>814</v>
      </c>
      <c r="D756" s="3"/>
      <c r="E756" s="2" t="str">
        <f>HYPERLINK("https://old.ukr-mobil.com/podsvetka_displeya_xiaomi_redmi_5_plus_redmi_note_5_10001815", "Перейти")</f>
        <v>Перейти</v>
      </c>
      <c r="F756" s="2">
        <v>10001815</v>
      </c>
      <c r="G756" s="4" t="s">
        <v>821</v>
      </c>
      <c r="H756" s="1">
        <v>1</v>
      </c>
      <c r="I756" s="1">
        <v>2</v>
      </c>
      <c r="J756" s="1">
        <v>0</v>
      </c>
      <c r="K756" s="2">
        <v>2.0</v>
      </c>
    </row>
    <row r="757" spans="1:12">
      <c r="A757" s="3" t="s">
        <v>633</v>
      </c>
      <c r="B757" s="3" t="s">
        <v>781</v>
      </c>
      <c r="C757" s="3" t="s">
        <v>814</v>
      </c>
      <c r="D757" s="3"/>
      <c r="E757" s="2" t="str">
        <f>HYPERLINK("https://old.ukr-mobil.com/podsvetka_displeya_xiaomi_redmi_7_10001816", "Перейти")</f>
        <v>Перейти</v>
      </c>
      <c r="F757" s="2">
        <v>10001816</v>
      </c>
      <c r="G757" s="4" t="s">
        <v>822</v>
      </c>
      <c r="H757" s="1">
        <v>10</v>
      </c>
      <c r="I757" s="1">
        <v>2</v>
      </c>
      <c r="J757" s="1">
        <v>6</v>
      </c>
      <c r="K757" s="2">
        <v>1.5</v>
      </c>
    </row>
    <row r="758" spans="1:12">
      <c r="A758" s="3" t="s">
        <v>633</v>
      </c>
      <c r="B758" s="3" t="s">
        <v>781</v>
      </c>
      <c r="C758" s="3" t="s">
        <v>814</v>
      </c>
      <c r="D758" s="3"/>
      <c r="E758" s="2" t="str">
        <f>HYPERLINK("https://old.ukr-mobil.com/podsvetka_displeya_xiaomi_redmi_8_redmi_8a_10001817", "Перейти")</f>
        <v>Перейти</v>
      </c>
      <c r="F758" s="2">
        <v>10001817</v>
      </c>
      <c r="G758" s="4" t="s">
        <v>823</v>
      </c>
      <c r="H758" s="1">
        <v>0</v>
      </c>
      <c r="I758" s="1">
        <v>7</v>
      </c>
      <c r="J758" s="1">
        <v>5</v>
      </c>
      <c r="K758" s="2">
        <v>1.5</v>
      </c>
    </row>
    <row r="759" spans="1:12">
      <c r="A759" s="3" t="s">
        <v>633</v>
      </c>
      <c r="B759" s="3" t="s">
        <v>781</v>
      </c>
      <c r="C759" s="3" t="s">
        <v>814</v>
      </c>
      <c r="D759" s="3"/>
      <c r="E759" s="2" t="str">
        <f>HYPERLINK("https://old.ukr-mobil.com/podsvetka_displeya_xiaomi_redmi_9_10001818", "Перейти")</f>
        <v>Перейти</v>
      </c>
      <c r="F759" s="2">
        <v>10001818</v>
      </c>
      <c r="G759" s="4" t="s">
        <v>824</v>
      </c>
      <c r="H759" s="1">
        <v>0</v>
      </c>
      <c r="I759" s="1">
        <v>0</v>
      </c>
      <c r="J759" s="1">
        <v>1</v>
      </c>
      <c r="K759" s="2">
        <v>2.0</v>
      </c>
    </row>
    <row r="760" spans="1:12">
      <c r="A760" s="3" t="s">
        <v>633</v>
      </c>
      <c r="B760" s="3" t="s">
        <v>781</v>
      </c>
      <c r="C760" s="3" t="s">
        <v>814</v>
      </c>
      <c r="D760" s="3"/>
      <c r="E760" s="2" t="str">
        <f>HYPERLINK("https://old.ukr-mobil.com/podsvetka_displeya_xiaomi_redmi_9t_redmi_9_power_redmi_note_9_4g_poco_m3_10001828", "Перейти")</f>
        <v>Перейти</v>
      </c>
      <c r="F760" s="2">
        <v>10001828</v>
      </c>
      <c r="G760" s="4" t="s">
        <v>825</v>
      </c>
      <c r="H760" s="1">
        <v>11</v>
      </c>
      <c r="I760" s="1">
        <v>19</v>
      </c>
      <c r="J760" s="1">
        <v>10</v>
      </c>
      <c r="K760" s="2">
        <v>2.0</v>
      </c>
    </row>
    <row r="761" spans="1:12">
      <c r="A761" s="3" t="s">
        <v>633</v>
      </c>
      <c r="B761" s="3" t="s">
        <v>781</v>
      </c>
      <c r="C761" s="3" t="s">
        <v>814</v>
      </c>
      <c r="D761" s="3"/>
      <c r="E761" s="2" t="str">
        <f>HYPERLINK("https://old.ukr-mobil.com/podsvetka_displeya_xiaomi_redmi_note_10_5g_10002959", "Перейти")</f>
        <v>Перейти</v>
      </c>
      <c r="F761" s="2">
        <v>10002959</v>
      </c>
      <c r="G761" s="4" t="s">
        <v>826</v>
      </c>
      <c r="H761" s="1">
        <v>0</v>
      </c>
      <c r="I761" s="1">
        <v>5</v>
      </c>
      <c r="J761" s="1">
        <v>5</v>
      </c>
      <c r="K761" s="2">
        <v>2.0</v>
      </c>
    </row>
    <row r="762" spans="1:12">
      <c r="A762" s="3" t="s">
        <v>633</v>
      </c>
      <c r="B762" s="3" t="s">
        <v>781</v>
      </c>
      <c r="C762" s="3" t="s">
        <v>814</v>
      </c>
      <c r="D762" s="3"/>
      <c r="E762" s="2" t="str">
        <f>HYPERLINK("https://old.ukr-mobil.com/podsvetka_displeya_xiaomi_redmi_note_6_pro_10001820", "Перейти")</f>
        <v>Перейти</v>
      </c>
      <c r="F762" s="2">
        <v>10001820</v>
      </c>
      <c r="G762" s="4" t="s">
        <v>827</v>
      </c>
      <c r="H762" s="1">
        <v>13</v>
      </c>
      <c r="I762" s="1">
        <v>9</v>
      </c>
      <c r="J762" s="1">
        <v>7</v>
      </c>
      <c r="K762" s="2">
        <v>2.0</v>
      </c>
    </row>
    <row r="763" spans="1:12">
      <c r="A763" s="3" t="s">
        <v>633</v>
      </c>
      <c r="B763" s="3" t="s">
        <v>781</v>
      </c>
      <c r="C763" s="3" t="s">
        <v>814</v>
      </c>
      <c r="D763" s="3"/>
      <c r="E763" s="2" t="str">
        <f>HYPERLINK("https://old.ukr-mobil.com/podsvetka_displeya_xiaomi_redmi_note_7_redmi_note_7_pro_redmi_note_8_redmi_note_8t_10001821", "Перейти")</f>
        <v>Перейти</v>
      </c>
      <c r="F763" s="2">
        <v>10001821</v>
      </c>
      <c r="G763" s="4" t="s">
        <v>828</v>
      </c>
      <c r="H763" s="1">
        <v>24</v>
      </c>
      <c r="I763" s="1">
        <v>17</v>
      </c>
      <c r="J763" s="1">
        <v>8</v>
      </c>
      <c r="K763" s="2">
        <v>1.5</v>
      </c>
    </row>
    <row r="764" spans="1:12">
      <c r="A764" s="3" t="s">
        <v>633</v>
      </c>
      <c r="B764" s="3" t="s">
        <v>781</v>
      </c>
      <c r="C764" s="3" t="s">
        <v>814</v>
      </c>
      <c r="D764" s="3"/>
      <c r="E764" s="2" t="str">
        <f>HYPERLINK("https://old.ukr-mobil.com/podsvetka_displeya_xiaomi_redmi_note_8_pro_10001822", "Перейти")</f>
        <v>Перейти</v>
      </c>
      <c r="F764" s="2">
        <v>10001822</v>
      </c>
      <c r="G764" s="4" t="s">
        <v>829</v>
      </c>
      <c r="H764" s="1">
        <v>0</v>
      </c>
      <c r="I764" s="1">
        <v>1</v>
      </c>
      <c r="J764" s="1">
        <v>3</v>
      </c>
      <c r="K764" s="2">
        <v>2.0</v>
      </c>
    </row>
    <row r="765" spans="1:12">
      <c r="A765" s="3" t="s">
        <v>633</v>
      </c>
      <c r="B765" s="3" t="s">
        <v>781</v>
      </c>
      <c r="C765" s="3" t="s">
        <v>814</v>
      </c>
      <c r="D765" s="3"/>
      <c r="E765" s="2" t="str">
        <f>HYPERLINK("https://old.ukr-mobil.com/podsvetka_displeya_xiaomi_redmi_note_9_pro_redmi_note_9s_10001824", "Перейти")</f>
        <v>Перейти</v>
      </c>
      <c r="F765" s="2">
        <v>10001824</v>
      </c>
      <c r="G765" s="4" t="s">
        <v>830</v>
      </c>
      <c r="H765" s="1">
        <v>4</v>
      </c>
      <c r="I765" s="1">
        <v>0</v>
      </c>
      <c r="J765" s="1">
        <v>0</v>
      </c>
      <c r="K765" s="2">
        <v>1.5</v>
      </c>
    </row>
    <row r="766" spans="1:12">
      <c r="A766" s="3" t="s">
        <v>633</v>
      </c>
      <c r="B766" s="3" t="s">
        <v>831</v>
      </c>
      <c r="C766" s="3"/>
      <c r="D766" s="3"/>
      <c r="E766" s="2" t="str">
        <f>HYPERLINK("https://old.ukr-mobil.com/polyarizacionnaya_plenka_apple_iphone_4_iphone_4s_7903", "Перейти")</f>
        <v>Перейти</v>
      </c>
      <c r="F766" s="2">
        <v>7903</v>
      </c>
      <c r="G766" s="4" t="s">
        <v>832</v>
      </c>
      <c r="H766" s="1">
        <v>65</v>
      </c>
      <c r="I766" s="1">
        <v>0</v>
      </c>
      <c r="J766" s="1">
        <v>0</v>
      </c>
      <c r="K766" s="2">
        <v>0.86</v>
      </c>
    </row>
    <row r="767" spans="1:12">
      <c r="A767" s="3" t="s">
        <v>633</v>
      </c>
      <c r="B767" s="3" t="s">
        <v>831</v>
      </c>
      <c r="C767" s="3"/>
      <c r="D767" s="3"/>
      <c r="E767" s="2" t="str">
        <f>HYPERLINK("https://old.ukr-mobil.com/polyarizacionnaya_plenka_samsung_g930_galaxy_s7_11732", "Перейти")</f>
        <v>Перейти</v>
      </c>
      <c r="F767" s="2">
        <v>11732</v>
      </c>
      <c r="G767" s="4" t="s">
        <v>833</v>
      </c>
      <c r="H767" s="1">
        <v>46</v>
      </c>
      <c r="I767" s="1">
        <v>0</v>
      </c>
      <c r="J767" s="1">
        <v>5</v>
      </c>
      <c r="K767" s="2">
        <v>0.86</v>
      </c>
    </row>
    <row r="768" spans="1:12">
      <c r="A768" s="3" t="s">
        <v>633</v>
      </c>
      <c r="B768" s="3" t="s">
        <v>831</v>
      </c>
      <c r="C768" s="3"/>
      <c r="D768" s="3"/>
      <c r="E768" s="2" t="str">
        <f>HYPERLINK("https://old.ukr-mobil.com/polyarizacionnaya_plenka_samsung_g935_galaxy_s7_edge_11733", "Перейти")</f>
        <v>Перейти</v>
      </c>
      <c r="F768" s="2">
        <v>11733</v>
      </c>
      <c r="G768" s="4" t="s">
        <v>834</v>
      </c>
      <c r="H768" s="1">
        <v>65</v>
      </c>
      <c r="I768" s="1">
        <v>0</v>
      </c>
      <c r="J768" s="1">
        <v>7</v>
      </c>
      <c r="K768" s="2">
        <v>1.31</v>
      </c>
    </row>
    <row r="769" spans="1:12">
      <c r="A769" s="3" t="s">
        <v>633</v>
      </c>
      <c r="B769" s="3" t="s">
        <v>831</v>
      </c>
      <c r="C769" s="3"/>
      <c r="D769" s="3"/>
      <c r="E769" s="2" t="str">
        <f>HYPERLINK("https://old.ukr-mobil.com/polyarizacionnaya_plenka_samsung_g950_galaxy_s8_11734", "Перейти")</f>
        <v>Перейти</v>
      </c>
      <c r="F769" s="2">
        <v>11734</v>
      </c>
      <c r="G769" s="4" t="s">
        <v>835</v>
      </c>
      <c r="H769" s="1">
        <v>59</v>
      </c>
      <c r="I769" s="1">
        <v>0</v>
      </c>
      <c r="J769" s="1">
        <v>7</v>
      </c>
      <c r="K769" s="2">
        <v>1.51</v>
      </c>
    </row>
    <row r="770" spans="1:12">
      <c r="A770" s="3" t="s">
        <v>633</v>
      </c>
      <c r="B770" s="3" t="s">
        <v>831</v>
      </c>
      <c r="C770" s="3"/>
      <c r="D770" s="3"/>
      <c r="E770" s="2" t="str">
        <f>HYPERLINK("https://old.ukr-mobil.com/polyarizacionnaya_plenka_samsung_g955_galaxy_s8_plus_11735", "Перейти")</f>
        <v>Перейти</v>
      </c>
      <c r="F770" s="2">
        <v>11735</v>
      </c>
      <c r="G770" s="4" t="s">
        <v>836</v>
      </c>
      <c r="H770" s="1">
        <v>2</v>
      </c>
      <c r="I770" s="1">
        <v>0</v>
      </c>
      <c r="J770" s="1">
        <v>0</v>
      </c>
      <c r="K770" s="2">
        <v>1.51</v>
      </c>
    </row>
    <row r="771" spans="1:12">
      <c r="A771" s="3" t="s">
        <v>633</v>
      </c>
      <c r="B771" s="3" t="s">
        <v>831</v>
      </c>
      <c r="C771" s="3"/>
      <c r="D771" s="3"/>
      <c r="E771" s="2" t="str">
        <f>HYPERLINK("https://old.ukr-mobil.com/polyarizacionnaya_plenka_dlya_lcd_ips_displeev_10_inch_220_x_140_mm_10003776", "Перейти")</f>
        <v>Перейти</v>
      </c>
      <c r="F771" s="2">
        <v>10003776</v>
      </c>
      <c r="G771" s="4" t="s">
        <v>837</v>
      </c>
      <c r="H771" s="1">
        <v>3</v>
      </c>
      <c r="I771" s="1">
        <v>23</v>
      </c>
      <c r="J771" s="1">
        <v>3</v>
      </c>
      <c r="K771" s="2">
        <v>1.25</v>
      </c>
    </row>
    <row r="772" spans="1:12">
      <c r="A772" s="3" t="s">
        <v>633</v>
      </c>
      <c r="B772" s="3" t="s">
        <v>831</v>
      </c>
      <c r="C772" s="3"/>
      <c r="D772" s="3"/>
      <c r="E772" s="2" t="str">
        <f>HYPERLINK("https://old.ukr-mobil.com/polyarizacionnaya_plenka_dlya_lcd_ips_displeev_12_inch_255_x_173_mm_10004381", "Перейти")</f>
        <v>Перейти</v>
      </c>
      <c r="F772" s="2">
        <v>10004381</v>
      </c>
      <c r="G772" s="4" t="s">
        <v>838</v>
      </c>
      <c r="H772" s="1">
        <v>83</v>
      </c>
      <c r="I772" s="1">
        <v>67</v>
      </c>
      <c r="J772" s="1">
        <v>9</v>
      </c>
      <c r="K772" s="2">
        <v>1.85</v>
      </c>
    </row>
    <row r="773" spans="1:12">
      <c r="A773" s="3" t="s">
        <v>633</v>
      </c>
      <c r="B773" s="3" t="s">
        <v>831</v>
      </c>
      <c r="C773" s="3"/>
      <c r="D773" s="3"/>
      <c r="E773" s="2" t="str">
        <f>HYPERLINK("https://old.ukr-mobil.com/polyarizacionnaya_plenka_dlya_lcd_ips_displeev_7_inch_155_x_100_mm_10003775", "Перейти")</f>
        <v>Перейти</v>
      </c>
      <c r="F773" s="2">
        <v>10003775</v>
      </c>
      <c r="G773" s="4" t="s">
        <v>839</v>
      </c>
      <c r="H773" s="1">
        <v>42</v>
      </c>
      <c r="I773" s="1">
        <v>24</v>
      </c>
      <c r="J773" s="1">
        <v>0</v>
      </c>
      <c r="K773" s="2">
        <v>1.2</v>
      </c>
    </row>
    <row r="774" spans="1:12">
      <c r="A774" s="3" t="s">
        <v>633</v>
      </c>
      <c r="B774" s="3" t="s">
        <v>831</v>
      </c>
      <c r="C774" s="3"/>
      <c r="D774" s="3"/>
      <c r="E774" s="2" t="str">
        <f>HYPERLINK("https://old.ukr-mobil.com/polyarizacionnaya_plenka_dlya_oled_amoled_displeev_10_inch_220_x_140_mm_10003777", "Перейти")</f>
        <v>Перейти</v>
      </c>
      <c r="F774" s="2">
        <v>10003777</v>
      </c>
      <c r="G774" s="4" t="s">
        <v>840</v>
      </c>
      <c r="H774" s="1">
        <v>33</v>
      </c>
      <c r="I774" s="1">
        <v>28</v>
      </c>
      <c r="J774" s="1">
        <v>4</v>
      </c>
      <c r="K774" s="2">
        <v>1.75</v>
      </c>
    </row>
    <row r="775" spans="1:12">
      <c r="A775" s="3" t="s">
        <v>633</v>
      </c>
      <c r="B775" s="3" t="s">
        <v>831</v>
      </c>
      <c r="C775" s="3"/>
      <c r="D775" s="3"/>
      <c r="E775" s="2" t="str">
        <f>HYPERLINK("https://old.ukr-mobil.com/polyarizacionnaya_plenka_dlya_oled_amoled_displeev_12_inch_255_x_173_mm_10004382", "Перейти")</f>
        <v>Перейти</v>
      </c>
      <c r="F775" s="2">
        <v>10004382</v>
      </c>
      <c r="G775" s="4" t="s">
        <v>841</v>
      </c>
      <c r="H775" s="1">
        <v>140</v>
      </c>
      <c r="I775" s="1">
        <v>93</v>
      </c>
      <c r="J775" s="1">
        <v>17</v>
      </c>
      <c r="K775" s="2">
        <v>1.85</v>
      </c>
    </row>
    <row r="776" spans="1:12">
      <c r="A776" s="3" t="s">
        <v>633</v>
      </c>
      <c r="B776" s="3" t="s">
        <v>831</v>
      </c>
      <c r="C776" s="3"/>
      <c r="D776" s="3"/>
      <c r="E776" s="2" t="str">
        <f>HYPERLINK("https://old.ukr-mobil.com/polyarizacionnaya_plenka_dlya_oled_amoled_displeev_9_7_inch_10001841", "Перейти")</f>
        <v>Перейти</v>
      </c>
      <c r="F776" s="2">
        <v>10001841</v>
      </c>
      <c r="G776" s="4" t="s">
        <v>842</v>
      </c>
      <c r="H776" s="1">
        <v>8</v>
      </c>
      <c r="I776" s="1">
        <v>8</v>
      </c>
      <c r="J776" s="1">
        <v>6</v>
      </c>
      <c r="K776" s="2">
        <v>1.25</v>
      </c>
    </row>
    <row r="777" spans="1:12">
      <c r="A777" s="3" t="s">
        <v>633</v>
      </c>
      <c r="B777" s="3" t="s">
        <v>843</v>
      </c>
      <c r="C777" s="3"/>
      <c r="D777" s="3"/>
      <c r="E777" s="2" t="str">
        <f>HYPERLINK("https://old.ukr-mobil.com/ramka_displeya_iphone_11_pro_max_original_10000549", "Перейти")</f>
        <v>Перейти</v>
      </c>
      <c r="F777" s="2">
        <v>10000549</v>
      </c>
      <c r="G777" s="4" t="s">
        <v>844</v>
      </c>
      <c r="H777" s="1">
        <v>4</v>
      </c>
      <c r="I777" s="1">
        <v>2</v>
      </c>
      <c r="J777" s="1">
        <v>2</v>
      </c>
      <c r="K777" s="2">
        <v>2.75</v>
      </c>
    </row>
    <row r="778" spans="1:12">
      <c r="A778" s="3" t="s">
        <v>633</v>
      </c>
      <c r="B778" s="3" t="s">
        <v>843</v>
      </c>
      <c r="C778" s="3"/>
      <c r="D778" s="3"/>
      <c r="E778" s="2" t="str">
        <f>HYPERLINK("https://old.ukr-mobil.com/ramka_displeya_iphone_11_pro_original_10000548", "Перейти")</f>
        <v>Перейти</v>
      </c>
      <c r="F778" s="2">
        <v>10000548</v>
      </c>
      <c r="G778" s="4" t="s">
        <v>845</v>
      </c>
      <c r="H778" s="1">
        <v>1</v>
      </c>
      <c r="I778" s="1">
        <v>1</v>
      </c>
      <c r="J778" s="1">
        <v>1</v>
      </c>
      <c r="K778" s="2">
        <v>2.75</v>
      </c>
    </row>
    <row r="779" spans="1:12">
      <c r="A779" s="3" t="s">
        <v>633</v>
      </c>
      <c r="B779" s="3" t="s">
        <v>843</v>
      </c>
      <c r="C779" s="3"/>
      <c r="D779" s="3"/>
      <c r="E779" s="2" t="str">
        <f>HYPERLINK("https://old.ukr-mobil.com/ramka_displeya_iphone_11_original_10000547", "Перейти")</f>
        <v>Перейти</v>
      </c>
      <c r="F779" s="2">
        <v>10000547</v>
      </c>
      <c r="G779" s="4" t="s">
        <v>846</v>
      </c>
      <c r="H779" s="1">
        <v>4</v>
      </c>
      <c r="I779" s="1">
        <v>8</v>
      </c>
      <c r="J779" s="1">
        <v>1</v>
      </c>
      <c r="K779" s="2">
        <v>3.25</v>
      </c>
    </row>
    <row r="780" spans="1:12">
      <c r="A780" s="3" t="s">
        <v>633</v>
      </c>
      <c r="B780" s="3" t="s">
        <v>843</v>
      </c>
      <c r="C780" s="3"/>
      <c r="D780" s="3"/>
      <c r="E780" s="2" t="str">
        <f>HYPERLINK("https://old.ukr-mobil.com/ramka_displeya_apple_iphone_12_mini_10003097", "Перейти")</f>
        <v>Перейти</v>
      </c>
      <c r="F780" s="2">
        <v>10003097</v>
      </c>
      <c r="G780" s="4" t="s">
        <v>847</v>
      </c>
      <c r="H780" s="1">
        <v>0</v>
      </c>
      <c r="I780" s="1">
        <v>8</v>
      </c>
      <c r="J780" s="1">
        <v>8</v>
      </c>
      <c r="K780" s="2">
        <v>3.25</v>
      </c>
    </row>
    <row r="781" spans="1:12">
      <c r="A781" s="3" t="s">
        <v>633</v>
      </c>
      <c r="B781" s="3" t="s">
        <v>843</v>
      </c>
      <c r="C781" s="3"/>
      <c r="D781" s="3"/>
      <c r="E781" s="2" t="str">
        <f>HYPERLINK("https://old.ukr-mobil.com/ramka_displeya_iphone_12_pro_max_original_10001269", "Перейти")</f>
        <v>Перейти</v>
      </c>
      <c r="F781" s="2">
        <v>10001269</v>
      </c>
      <c r="G781" s="4" t="s">
        <v>848</v>
      </c>
      <c r="H781" s="1">
        <v>19</v>
      </c>
      <c r="I781" s="1">
        <v>5</v>
      </c>
      <c r="J781" s="1">
        <v>6</v>
      </c>
      <c r="K781" s="2">
        <v>6.0</v>
      </c>
    </row>
    <row r="782" spans="1:12">
      <c r="A782" s="3" t="s">
        <v>633</v>
      </c>
      <c r="B782" s="3" t="s">
        <v>843</v>
      </c>
      <c r="C782" s="3"/>
      <c r="D782" s="3"/>
      <c r="E782" s="2" t="str">
        <f>HYPERLINK("https://old.ukr-mobil.com/ramka_displeya_iphone_12_iphone_12_pro_original_10001268", "Перейти")</f>
        <v>Перейти</v>
      </c>
      <c r="F782" s="2">
        <v>10001268</v>
      </c>
      <c r="G782" s="4" t="s">
        <v>849</v>
      </c>
      <c r="H782" s="1">
        <v>34</v>
      </c>
      <c r="I782" s="1">
        <v>4</v>
      </c>
      <c r="J782" s="1">
        <v>8</v>
      </c>
      <c r="K782" s="2">
        <v>3.5</v>
      </c>
    </row>
    <row r="783" spans="1:12">
      <c r="A783" s="3" t="s">
        <v>633</v>
      </c>
      <c r="B783" s="3" t="s">
        <v>843</v>
      </c>
      <c r="C783" s="3"/>
      <c r="D783" s="3"/>
      <c r="E783" s="2" t="str">
        <f>HYPERLINK("https://old.ukr-mobil.com/ramka_displeya_apple_iphone_13_10002421", "Перейти")</f>
        <v>Перейти</v>
      </c>
      <c r="F783" s="2">
        <v>10002421</v>
      </c>
      <c r="G783" s="4" t="s">
        <v>850</v>
      </c>
      <c r="H783" s="1">
        <v>15</v>
      </c>
      <c r="I783" s="1">
        <v>2</v>
      </c>
      <c r="J783" s="1">
        <v>10</v>
      </c>
      <c r="K783" s="2">
        <v>7.5</v>
      </c>
    </row>
    <row r="784" spans="1:12">
      <c r="A784" s="3" t="s">
        <v>633</v>
      </c>
      <c r="B784" s="3" t="s">
        <v>843</v>
      </c>
      <c r="C784" s="3"/>
      <c r="D784" s="3"/>
      <c r="E784" s="2" t="str">
        <f>HYPERLINK("https://old.ukr-mobil.com/ramka_displeya_apple_iphone_13_mini_10003096", "Перейти")</f>
        <v>Перейти</v>
      </c>
      <c r="F784" s="2">
        <v>10003096</v>
      </c>
      <c r="G784" s="4" t="s">
        <v>851</v>
      </c>
      <c r="H784" s="1">
        <v>12</v>
      </c>
      <c r="I784" s="1">
        <v>3</v>
      </c>
      <c r="J784" s="1">
        <v>4</v>
      </c>
      <c r="K784" s="2">
        <v>5.5</v>
      </c>
    </row>
    <row r="785" spans="1:12">
      <c r="A785" s="3" t="s">
        <v>633</v>
      </c>
      <c r="B785" s="3" t="s">
        <v>843</v>
      </c>
      <c r="C785" s="3"/>
      <c r="D785" s="3"/>
      <c r="E785" s="2" t="str">
        <f>HYPERLINK("https://old.ukr-mobil.com/ramka_displeya_apple_iphone_13_apple_iphone_13_pro_original_10002150", "Перейти")</f>
        <v>Перейти</v>
      </c>
      <c r="F785" s="2">
        <v>10002150</v>
      </c>
      <c r="G785" s="4" t="s">
        <v>852</v>
      </c>
      <c r="H785" s="1">
        <v>16</v>
      </c>
      <c r="I785" s="1">
        <v>0</v>
      </c>
      <c r="J785" s="1">
        <v>9</v>
      </c>
      <c r="K785" s="2">
        <v>7.5</v>
      </c>
    </row>
    <row r="786" spans="1:12">
      <c r="A786" s="3" t="s">
        <v>633</v>
      </c>
      <c r="B786" s="3" t="s">
        <v>843</v>
      </c>
      <c r="C786" s="3"/>
      <c r="D786" s="3"/>
      <c r="E786" s="2" t="str">
        <f>HYPERLINK("https://old.ukr-mobil.com/ramka_displeya_apple_iphone_13_pro_max_original_10002149", "Перейти")</f>
        <v>Перейти</v>
      </c>
      <c r="F786" s="2">
        <v>10002149</v>
      </c>
      <c r="G786" s="4" t="s">
        <v>853</v>
      </c>
      <c r="H786" s="1">
        <v>2</v>
      </c>
      <c r="I786" s="1">
        <v>1</v>
      </c>
      <c r="J786" s="1">
        <v>3</v>
      </c>
      <c r="K786" s="2">
        <v>7.5</v>
      </c>
    </row>
    <row r="787" spans="1:12">
      <c r="A787" s="3" t="s">
        <v>633</v>
      </c>
      <c r="B787" s="3" t="s">
        <v>843</v>
      </c>
      <c r="C787" s="3"/>
      <c r="D787" s="3"/>
      <c r="E787" s="2" t="str">
        <f>HYPERLINK("https://old.ukr-mobil.com/ramka_displeya_apple_iphone_14_plus_original_10003084", "Перейти")</f>
        <v>Перейти</v>
      </c>
      <c r="F787" s="2">
        <v>10003084</v>
      </c>
      <c r="G787" s="4" t="s">
        <v>854</v>
      </c>
      <c r="H787" s="1">
        <v>20</v>
      </c>
      <c r="I787" s="1">
        <v>5</v>
      </c>
      <c r="J787" s="1">
        <v>5</v>
      </c>
      <c r="K787" s="2">
        <v>7.5</v>
      </c>
    </row>
    <row r="788" spans="1:12">
      <c r="A788" s="3" t="s">
        <v>633</v>
      </c>
      <c r="B788" s="3" t="s">
        <v>843</v>
      </c>
      <c r="C788" s="3"/>
      <c r="D788" s="3"/>
      <c r="E788" s="2" t="str">
        <f>HYPERLINK("https://old.ukr-mobil.com/ramka_displeya_apple_iphone_14_pro_max_original_10003086", "Перейти")</f>
        <v>Перейти</v>
      </c>
      <c r="F788" s="2">
        <v>10003086</v>
      </c>
      <c r="G788" s="4" t="s">
        <v>855</v>
      </c>
      <c r="H788" s="1">
        <v>18</v>
      </c>
      <c r="I788" s="1">
        <v>4</v>
      </c>
      <c r="J788" s="1">
        <v>5</v>
      </c>
      <c r="K788" s="2">
        <v>8.0</v>
      </c>
    </row>
    <row r="789" spans="1:12">
      <c r="A789" s="3" t="s">
        <v>633</v>
      </c>
      <c r="B789" s="3" t="s">
        <v>843</v>
      </c>
      <c r="C789" s="3"/>
      <c r="D789" s="3"/>
      <c r="E789" s="2" t="str">
        <f>HYPERLINK("https://old.ukr-mobil.com/ramka_displeya_apple_iphone_14_pro_original_10003085", "Перейти")</f>
        <v>Перейти</v>
      </c>
      <c r="F789" s="2">
        <v>10003085</v>
      </c>
      <c r="G789" s="4" t="s">
        <v>856</v>
      </c>
      <c r="H789" s="1">
        <v>12</v>
      </c>
      <c r="I789" s="1">
        <v>3</v>
      </c>
      <c r="J789" s="1">
        <v>4</v>
      </c>
      <c r="K789" s="2">
        <v>7.5</v>
      </c>
    </row>
    <row r="790" spans="1:12">
      <c r="A790" s="3" t="s">
        <v>633</v>
      </c>
      <c r="B790" s="3" t="s">
        <v>843</v>
      </c>
      <c r="C790" s="3"/>
      <c r="D790" s="3"/>
      <c r="E790" s="2" t="str">
        <f>HYPERLINK("https://old.ukr-mobil.com/ramka_displeya_apple_iphone_14_original_10003083", "Перейти")</f>
        <v>Перейти</v>
      </c>
      <c r="F790" s="2">
        <v>10003083</v>
      </c>
      <c r="G790" s="4" t="s">
        <v>857</v>
      </c>
      <c r="H790" s="1">
        <v>15</v>
      </c>
      <c r="I790" s="1">
        <v>8</v>
      </c>
      <c r="J790" s="1">
        <v>5</v>
      </c>
      <c r="K790" s="2">
        <v>7.0</v>
      </c>
    </row>
    <row r="791" spans="1:12">
      <c r="A791" s="3" t="s">
        <v>633</v>
      </c>
      <c r="B791" s="3" t="s">
        <v>843</v>
      </c>
      <c r="C791" s="3"/>
      <c r="D791" s="3"/>
      <c r="E791" s="2" t="str">
        <f>HYPERLINK("https://old.ukr-mobil.com/ramka_displeya_iphone_5_black_6106", "Перейти")</f>
        <v>Перейти</v>
      </c>
      <c r="F791" s="2">
        <v>6106</v>
      </c>
      <c r="G791" s="4" t="s">
        <v>858</v>
      </c>
      <c r="H791" s="1">
        <v>15</v>
      </c>
      <c r="I791" s="1">
        <v>0</v>
      </c>
      <c r="J791" s="1">
        <v>0</v>
      </c>
      <c r="K791" s="2">
        <v>0.5</v>
      </c>
    </row>
    <row r="792" spans="1:12">
      <c r="A792" s="3" t="s">
        <v>633</v>
      </c>
      <c r="B792" s="3" t="s">
        <v>843</v>
      </c>
      <c r="C792" s="3"/>
      <c r="D792" s="3"/>
      <c r="E792" s="2" t="str">
        <f>HYPERLINK("https://old.ukr-mobil.com/ramka_displeya_iphone_5_white_6708", "Перейти")</f>
        <v>Перейти</v>
      </c>
      <c r="F792" s="2">
        <v>6708</v>
      </c>
      <c r="G792" s="4" t="s">
        <v>859</v>
      </c>
      <c r="H792" s="1">
        <v>72</v>
      </c>
      <c r="I792" s="1">
        <v>0</v>
      </c>
      <c r="J792" s="1">
        <v>0</v>
      </c>
      <c r="K792" s="2">
        <v>0.35</v>
      </c>
    </row>
    <row r="793" spans="1:12">
      <c r="A793" s="3" t="s">
        <v>633</v>
      </c>
      <c r="B793" s="3" t="s">
        <v>843</v>
      </c>
      <c r="C793" s="3"/>
      <c r="D793" s="3"/>
      <c r="E793" s="2" t="str">
        <f>HYPERLINK("https://old.ukr-mobil.com/ramka_displeya_iphone_6_plus_black_7000", "Перейти")</f>
        <v>Перейти</v>
      </c>
      <c r="F793" s="2">
        <v>7000</v>
      </c>
      <c r="G793" s="4" t="s">
        <v>860</v>
      </c>
      <c r="H793" s="1">
        <v>49</v>
      </c>
      <c r="I793" s="1">
        <v>0</v>
      </c>
      <c r="J793" s="1">
        <v>1</v>
      </c>
      <c r="K793" s="2">
        <v>0.6</v>
      </c>
    </row>
    <row r="794" spans="1:12">
      <c r="A794" s="3" t="s">
        <v>633</v>
      </c>
      <c r="B794" s="3" t="s">
        <v>843</v>
      </c>
      <c r="C794" s="3"/>
      <c r="D794" s="3"/>
      <c r="E794" s="2" t="str">
        <f>HYPERLINK("https://old.ukr-mobil.com/ramka_displeya_iphone_6_plus_white_7001", "Перейти")</f>
        <v>Перейти</v>
      </c>
      <c r="F794" s="2">
        <v>7001</v>
      </c>
      <c r="G794" s="4" t="s">
        <v>861</v>
      </c>
      <c r="H794" s="1">
        <v>20</v>
      </c>
      <c r="I794" s="1">
        <v>0</v>
      </c>
      <c r="J794" s="1">
        <v>1</v>
      </c>
      <c r="K794" s="2">
        <v>0.6</v>
      </c>
    </row>
    <row r="795" spans="1:12">
      <c r="A795" s="3" t="s">
        <v>633</v>
      </c>
      <c r="B795" s="3" t="s">
        <v>843</v>
      </c>
      <c r="C795" s="3"/>
      <c r="D795" s="3"/>
      <c r="E795" s="2" t="str">
        <f>HYPERLINK("https://old.ukr-mobil.com/ramka_displeya_iphone_6_black_6710", "Перейти")</f>
        <v>Перейти</v>
      </c>
      <c r="F795" s="2">
        <v>6710</v>
      </c>
      <c r="G795" s="4" t="s">
        <v>862</v>
      </c>
      <c r="H795" s="1">
        <v>5</v>
      </c>
      <c r="I795" s="1">
        <v>0</v>
      </c>
      <c r="J795" s="1">
        <v>2</v>
      </c>
      <c r="K795" s="2">
        <v>0.5</v>
      </c>
    </row>
    <row r="796" spans="1:12">
      <c r="A796" s="3" t="s">
        <v>633</v>
      </c>
      <c r="B796" s="3" t="s">
        <v>843</v>
      </c>
      <c r="C796" s="3"/>
      <c r="D796" s="3"/>
      <c r="E796" s="2" t="str">
        <f>HYPERLINK("https://old.ukr-mobil.com/ramka_displeya_iphone_6_white_6709", "Перейти")</f>
        <v>Перейти</v>
      </c>
      <c r="F796" s="2">
        <v>6709</v>
      </c>
      <c r="G796" s="4" t="s">
        <v>863</v>
      </c>
      <c r="H796" s="1">
        <v>23</v>
      </c>
      <c r="I796" s="1">
        <v>0</v>
      </c>
      <c r="J796" s="1">
        <v>2</v>
      </c>
      <c r="K796" s="2">
        <v>0.6</v>
      </c>
    </row>
    <row r="797" spans="1:12">
      <c r="A797" s="3" t="s">
        <v>633</v>
      </c>
      <c r="B797" s="3" t="s">
        <v>843</v>
      </c>
      <c r="C797" s="3"/>
      <c r="D797" s="3"/>
      <c r="E797" s="2" t="str">
        <f>HYPERLINK("https://old.ukr-mobil.com/ramka_displeya_iphone_6s_plus_white_7445", "Перейти")</f>
        <v>Перейти</v>
      </c>
      <c r="F797" s="2">
        <v>7445</v>
      </c>
      <c r="G797" s="4" t="s">
        <v>864</v>
      </c>
      <c r="H797" s="1">
        <v>5</v>
      </c>
      <c r="I797" s="1">
        <v>0</v>
      </c>
      <c r="J797" s="1">
        <v>1</v>
      </c>
      <c r="K797" s="2">
        <v>2.27</v>
      </c>
    </row>
    <row r="798" spans="1:12">
      <c r="A798" s="3" t="s">
        <v>633</v>
      </c>
      <c r="B798" s="3" t="s">
        <v>843</v>
      </c>
      <c r="C798" s="3"/>
      <c r="D798" s="3"/>
      <c r="E798" s="2" t="str">
        <f>HYPERLINK("https://old.ukr-mobil.com/ramka_displeya_iphone_6s_black_8070", "Перейти")</f>
        <v>Перейти</v>
      </c>
      <c r="F798" s="2">
        <v>8070</v>
      </c>
      <c r="G798" s="4" t="s">
        <v>865</v>
      </c>
      <c r="H798" s="1">
        <v>18</v>
      </c>
      <c r="I798" s="1">
        <v>0</v>
      </c>
      <c r="J798" s="1">
        <v>1</v>
      </c>
      <c r="K798" s="2">
        <v>0.4</v>
      </c>
    </row>
    <row r="799" spans="1:12">
      <c r="A799" s="3" t="s">
        <v>633</v>
      </c>
      <c r="B799" s="3" t="s">
        <v>843</v>
      </c>
      <c r="C799" s="3"/>
      <c r="D799" s="3"/>
      <c r="E799" s="2" t="str">
        <f>HYPERLINK("https://old.ukr-mobil.com/ramka_displeya_iphone_6s_white_8071", "Перейти")</f>
        <v>Перейти</v>
      </c>
      <c r="F799" s="2">
        <v>8071</v>
      </c>
      <c r="G799" s="4" t="s">
        <v>866</v>
      </c>
      <c r="H799" s="1">
        <v>29</v>
      </c>
      <c r="I799" s="1">
        <v>2</v>
      </c>
      <c r="J799" s="1">
        <v>5</v>
      </c>
      <c r="K799" s="2">
        <v>0.7</v>
      </c>
    </row>
    <row r="800" spans="1:12">
      <c r="A800" s="3" t="s">
        <v>633</v>
      </c>
      <c r="B800" s="3" t="s">
        <v>843</v>
      </c>
      <c r="C800" s="3"/>
      <c r="D800" s="3"/>
      <c r="E800" s="2" t="str">
        <f>HYPERLINK("https://old.ukr-mobil.com/ramka_displeya_iphone_7_plus_black_9244", "Перейти")</f>
        <v>Перейти</v>
      </c>
      <c r="F800" s="2">
        <v>9244</v>
      </c>
      <c r="G800" s="4" t="s">
        <v>867</v>
      </c>
      <c r="H800" s="1">
        <v>22</v>
      </c>
      <c r="I800" s="1">
        <v>5</v>
      </c>
      <c r="J800" s="1">
        <v>2</v>
      </c>
      <c r="K800" s="2">
        <v>0.7</v>
      </c>
    </row>
    <row r="801" spans="1:12">
      <c r="A801" s="3" t="s">
        <v>633</v>
      </c>
      <c r="B801" s="3" t="s">
        <v>843</v>
      </c>
      <c r="C801" s="3"/>
      <c r="D801" s="3"/>
      <c r="E801" s="2" t="str">
        <f>HYPERLINK("https://old.ukr-mobil.com/ramka_displeya_iphone_7_plus_white_8461", "Перейти")</f>
        <v>Перейти</v>
      </c>
      <c r="F801" s="2">
        <v>8461</v>
      </c>
      <c r="G801" s="4" t="s">
        <v>868</v>
      </c>
      <c r="H801" s="1">
        <v>21</v>
      </c>
      <c r="I801" s="1">
        <v>5</v>
      </c>
      <c r="J801" s="1">
        <v>5</v>
      </c>
      <c r="K801" s="2">
        <v>2.52</v>
      </c>
    </row>
    <row r="802" spans="1:12">
      <c r="A802" s="3" t="s">
        <v>633</v>
      </c>
      <c r="B802" s="3" t="s">
        <v>843</v>
      </c>
      <c r="C802" s="3"/>
      <c r="D802" s="3"/>
      <c r="E802" s="2" t="str">
        <f>HYPERLINK("https://old.ukr-mobil.com/ramka_displeya_iphone_7_black_7003", "Перейти")</f>
        <v>Перейти</v>
      </c>
      <c r="F802" s="2">
        <v>7003</v>
      </c>
      <c r="G802" s="4" t="s">
        <v>869</v>
      </c>
      <c r="H802" s="1">
        <v>29</v>
      </c>
      <c r="I802" s="1">
        <v>0</v>
      </c>
      <c r="J802" s="1">
        <v>5</v>
      </c>
      <c r="K802" s="2">
        <v>0.8</v>
      </c>
    </row>
    <row r="803" spans="1:12">
      <c r="A803" s="3" t="s">
        <v>633</v>
      </c>
      <c r="B803" s="3" t="s">
        <v>843</v>
      </c>
      <c r="C803" s="3"/>
      <c r="D803" s="3"/>
      <c r="E803" s="2" t="str">
        <f>HYPERLINK("https://old.ukr-mobil.com/ramka_displeya_iphone_7_white_7002", "Перейти")</f>
        <v>Перейти</v>
      </c>
      <c r="F803" s="2">
        <v>7002</v>
      </c>
      <c r="G803" s="4" t="s">
        <v>870</v>
      </c>
      <c r="H803" s="1">
        <v>38</v>
      </c>
      <c r="I803" s="1">
        <v>0</v>
      </c>
      <c r="J803" s="1">
        <v>8</v>
      </c>
      <c r="K803" s="2">
        <v>0.8</v>
      </c>
    </row>
    <row r="804" spans="1:12">
      <c r="A804" s="3" t="s">
        <v>633</v>
      </c>
      <c r="B804" s="3" t="s">
        <v>843</v>
      </c>
      <c r="C804" s="3"/>
      <c r="D804" s="3"/>
      <c r="E804" s="2" t="str">
        <f>HYPERLINK("https://old.ukr-mobil.com/ramka_displeya_iphone_8_plus_black_9438", "Перейти")</f>
        <v>Перейти</v>
      </c>
      <c r="F804" s="2">
        <v>9438</v>
      </c>
      <c r="G804" s="4" t="s">
        <v>871</v>
      </c>
      <c r="H804" s="1">
        <v>11</v>
      </c>
      <c r="I804" s="1">
        <v>0</v>
      </c>
      <c r="J804" s="1">
        <v>1</v>
      </c>
      <c r="K804" s="2">
        <v>1.0</v>
      </c>
    </row>
    <row r="805" spans="1:12">
      <c r="A805" s="3" t="s">
        <v>633</v>
      </c>
      <c r="B805" s="3" t="s">
        <v>843</v>
      </c>
      <c r="C805" s="3"/>
      <c r="D805" s="3"/>
      <c r="E805" s="2" t="str">
        <f>HYPERLINK("https://old.ukr-mobil.com/ramka_displeya_iphone_x_original_9655", "Перейти")</f>
        <v>Перейти</v>
      </c>
      <c r="F805" s="2">
        <v>9655</v>
      </c>
      <c r="G805" s="4" t="s">
        <v>872</v>
      </c>
      <c r="H805" s="1">
        <v>0</v>
      </c>
      <c r="I805" s="1">
        <v>0</v>
      </c>
      <c r="J805" s="1">
        <v>0</v>
      </c>
      <c r="K805" s="2">
        <v>1.85</v>
      </c>
    </row>
    <row r="806" spans="1:12">
      <c r="A806" s="3" t="s">
        <v>633</v>
      </c>
      <c r="B806" s="3" t="s">
        <v>843</v>
      </c>
      <c r="C806" s="3"/>
      <c r="D806" s="3"/>
      <c r="E806" s="2" t="str">
        <f>HYPERLINK("https://old.ukr-mobil.com/ramka_displeya_iphone_xr_original_10000546", "Перейти")</f>
        <v>Перейти</v>
      </c>
      <c r="F806" s="2">
        <v>10000546</v>
      </c>
      <c r="G806" s="4" t="s">
        <v>873</v>
      </c>
      <c r="H806" s="1">
        <v>13</v>
      </c>
      <c r="I806" s="1">
        <v>7</v>
      </c>
      <c r="J806" s="1">
        <v>2</v>
      </c>
      <c r="K806" s="2">
        <v>2.75</v>
      </c>
    </row>
    <row r="807" spans="1:12">
      <c r="A807" s="3" t="s">
        <v>633</v>
      </c>
      <c r="B807" s="3" t="s">
        <v>843</v>
      </c>
      <c r="C807" s="3"/>
      <c r="D807" s="3"/>
      <c r="E807" s="2" t="str">
        <f>HYPERLINK("https://old.ukr-mobil.com/ramka_displeya_iphone_xs_max_original_11151", "Перейти")</f>
        <v>Перейти</v>
      </c>
      <c r="F807" s="2">
        <v>11151</v>
      </c>
      <c r="G807" s="4" t="s">
        <v>874</v>
      </c>
      <c r="H807" s="1">
        <v>6</v>
      </c>
      <c r="I807" s="1">
        <v>3</v>
      </c>
      <c r="J807" s="1">
        <v>12</v>
      </c>
      <c r="K807" s="2">
        <v>1.85</v>
      </c>
    </row>
    <row r="808" spans="1:12">
      <c r="A808" s="3" t="s">
        <v>633</v>
      </c>
      <c r="B808" s="3" t="s">
        <v>843</v>
      </c>
      <c r="C808" s="3"/>
      <c r="D808" s="3"/>
      <c r="E808" s="2" t="str">
        <f>HYPERLINK("https://old.ukr-mobil.com/ramka_displeya_iphone_xs_original_11408", "Перейти")</f>
        <v>Перейти</v>
      </c>
      <c r="F808" s="2">
        <v>11408</v>
      </c>
      <c r="G808" s="4" t="s">
        <v>875</v>
      </c>
      <c r="H808" s="1">
        <v>6</v>
      </c>
      <c r="I808" s="1">
        <v>1</v>
      </c>
      <c r="J808" s="1">
        <v>8</v>
      </c>
      <c r="K808" s="2">
        <v>2.75</v>
      </c>
    </row>
    <row r="809" spans="1:12">
      <c r="A809" s="3" t="s">
        <v>633</v>
      </c>
      <c r="B809" s="3" t="s">
        <v>876</v>
      </c>
      <c r="C809" s="3"/>
      <c r="D809" s="3"/>
      <c r="E809" s="2" t="str">
        <f>HYPERLINK("https://old.ukr-mobil.com/sensor_displeya_iphone_5_black_10040", "Перейти")</f>
        <v>Перейти</v>
      </c>
      <c r="F809" s="2">
        <v>10040</v>
      </c>
      <c r="G809" s="4" t="s">
        <v>877</v>
      </c>
      <c r="H809" s="1">
        <v>0</v>
      </c>
      <c r="I809" s="1">
        <v>0</v>
      </c>
      <c r="J809" s="1">
        <v>0</v>
      </c>
      <c r="K809" s="2">
        <v>4.33</v>
      </c>
    </row>
    <row r="810" spans="1:12">
      <c r="A810" s="3" t="s">
        <v>633</v>
      </c>
      <c r="B810" s="3" t="s">
        <v>876</v>
      </c>
      <c r="C810" s="3"/>
      <c r="D810" s="3"/>
      <c r="E810" s="2" t="str">
        <f>HYPERLINK("https://old.ukr-mobil.com/sensor_displeya_iphone_5_white_10041", "Перейти")</f>
        <v>Перейти</v>
      </c>
      <c r="F810" s="2">
        <v>10041</v>
      </c>
      <c r="G810" s="4" t="s">
        <v>878</v>
      </c>
      <c r="H810" s="1">
        <v>18</v>
      </c>
      <c r="I810" s="1">
        <v>4</v>
      </c>
      <c r="J810" s="1">
        <v>0</v>
      </c>
      <c r="K810" s="2">
        <v>4.33</v>
      </c>
    </row>
    <row r="811" spans="1:12">
      <c r="A811" s="3" t="s">
        <v>633</v>
      </c>
      <c r="B811" s="3" t="s">
        <v>876</v>
      </c>
      <c r="C811" s="3"/>
      <c r="D811" s="3"/>
      <c r="E811" s="2" t="str">
        <f>HYPERLINK("https://old.ukr-mobil.com/sensor_displeya_iphone_5s_black_10043", "Перейти")</f>
        <v>Перейти</v>
      </c>
      <c r="F811" s="2">
        <v>10043</v>
      </c>
      <c r="G811" s="4" t="s">
        <v>879</v>
      </c>
      <c r="H811" s="1">
        <v>0</v>
      </c>
      <c r="I811" s="1">
        <v>0</v>
      </c>
      <c r="J811" s="1">
        <v>0</v>
      </c>
      <c r="K811" s="2">
        <v>4.33</v>
      </c>
    </row>
    <row r="812" spans="1:12">
      <c r="A812" s="3" t="s">
        <v>633</v>
      </c>
      <c r="B812" s="3" t="s">
        <v>876</v>
      </c>
      <c r="C812" s="3"/>
      <c r="D812" s="3"/>
      <c r="E812" s="2" t="str">
        <f>HYPERLINK("https://old.ukr-mobil.com/sensor_displeya_iphone_5s_white_10042", "Перейти")</f>
        <v>Перейти</v>
      </c>
      <c r="F812" s="2">
        <v>10042</v>
      </c>
      <c r="G812" s="4" t="s">
        <v>880</v>
      </c>
      <c r="H812" s="1">
        <v>0</v>
      </c>
      <c r="I812" s="1">
        <v>0</v>
      </c>
      <c r="J812" s="1">
        <v>0</v>
      </c>
      <c r="K812" s="2">
        <v>4.33</v>
      </c>
    </row>
    <row r="813" spans="1:12">
      <c r="A813" s="3" t="s">
        <v>633</v>
      </c>
      <c r="B813" s="3" t="s">
        <v>881</v>
      </c>
      <c r="C813" s="3"/>
      <c r="D813" s="3"/>
      <c r="E813" s="2" t="str">
        <f>HYPERLINK("https://old.ukr-mobil.com/setka_dinamika_iphone_6_plus_8265", "Перейти")</f>
        <v>Перейти</v>
      </c>
      <c r="F813" s="2">
        <v>8265</v>
      </c>
      <c r="G813" s="4" t="s">
        <v>882</v>
      </c>
      <c r="H813" s="1">
        <v>23</v>
      </c>
      <c r="I813" s="1">
        <v>15</v>
      </c>
      <c r="J813" s="1">
        <v>0</v>
      </c>
      <c r="K813" s="2">
        <v>0.5</v>
      </c>
    </row>
    <row r="814" spans="1:12">
      <c r="A814" s="3" t="s">
        <v>633</v>
      </c>
      <c r="B814" s="3" t="s">
        <v>883</v>
      </c>
      <c r="C814" s="3" t="s">
        <v>635</v>
      </c>
      <c r="D814" s="3"/>
      <c r="E814" s="2" t="str">
        <f>HYPERLINK("https://old.ukr-mobil.com/index.php?route=product&amp;product_id=10004758", "Перейти")</f>
        <v>Перейти</v>
      </c>
      <c r="F814" s="2">
        <v>10004758</v>
      </c>
      <c r="G814" s="4" t="s">
        <v>884</v>
      </c>
      <c r="H814" s="1">
        <v>1</v>
      </c>
      <c r="I814" s="1">
        <v>3</v>
      </c>
      <c r="J814" s="1">
        <v>2</v>
      </c>
      <c r="K814" s="2">
        <v>4.0</v>
      </c>
    </row>
    <row r="815" spans="1:12">
      <c r="A815" s="3" t="s">
        <v>633</v>
      </c>
      <c r="B815" s="3" t="s">
        <v>883</v>
      </c>
      <c r="C815" s="3" t="s">
        <v>635</v>
      </c>
      <c r="D815" s="3"/>
      <c r="E815" s="2" t="str">
        <f>HYPERLINK("https://old.ukr-mobil.com/index.php?route=product&amp;product_id=10004756", "Перейти")</f>
        <v>Перейти</v>
      </c>
      <c r="F815" s="2">
        <v>10004756</v>
      </c>
      <c r="G815" s="4" t="s">
        <v>885</v>
      </c>
      <c r="H815" s="1">
        <v>0</v>
      </c>
      <c r="I815" s="1">
        <v>0</v>
      </c>
      <c r="J815" s="1">
        <v>0</v>
      </c>
      <c r="K815" s="2">
        <v>4.0</v>
      </c>
    </row>
    <row r="816" spans="1:12">
      <c r="A816" s="3" t="s">
        <v>633</v>
      </c>
      <c r="B816" s="3" t="s">
        <v>883</v>
      </c>
      <c r="C816" s="3" t="s">
        <v>886</v>
      </c>
      <c r="D816" s="3"/>
      <c r="E816" s="2" t="str">
        <f>HYPERLINK("https://old.ukr-mobil.com/steklo_iphone_4g_black_4113", "Перейти")</f>
        <v>Перейти</v>
      </c>
      <c r="F816" s="2">
        <v>4113</v>
      </c>
      <c r="G816" s="4" t="s">
        <v>887</v>
      </c>
      <c r="H816" s="1">
        <v>73</v>
      </c>
      <c r="I816" s="1">
        <v>0</v>
      </c>
      <c r="J816" s="1">
        <v>0</v>
      </c>
      <c r="K816" s="2">
        <v>1.51</v>
      </c>
    </row>
    <row r="817" spans="1:12">
      <c r="A817" s="3" t="s">
        <v>633</v>
      </c>
      <c r="B817" s="3" t="s">
        <v>883</v>
      </c>
      <c r="C817" s="3" t="s">
        <v>886</v>
      </c>
      <c r="D817" s="3"/>
      <c r="E817" s="2" t="str">
        <f>HYPERLINK("https://old.ukr-mobil.com/steklo_iphone_5_5s_black_4117", "Перейти")</f>
        <v>Перейти</v>
      </c>
      <c r="F817" s="2">
        <v>4117</v>
      </c>
      <c r="G817" s="4" t="s">
        <v>888</v>
      </c>
      <c r="H817" s="1">
        <v>0</v>
      </c>
      <c r="I817" s="1">
        <v>0</v>
      </c>
      <c r="J817" s="1">
        <v>0</v>
      </c>
      <c r="K817" s="2">
        <v>1.51</v>
      </c>
    </row>
    <row r="818" spans="1:12">
      <c r="A818" s="3" t="s">
        <v>633</v>
      </c>
      <c r="B818" s="3" t="s">
        <v>883</v>
      </c>
      <c r="C818" s="3" t="s">
        <v>886</v>
      </c>
      <c r="D818" s="3"/>
      <c r="E818" s="2" t="str">
        <f>HYPERLINK("https://old.ukr-mobil.com/steklo_iphone_5_5s_white_4118", "Перейти")</f>
        <v>Перейти</v>
      </c>
      <c r="F818" s="2">
        <v>4118</v>
      </c>
      <c r="G818" s="4" t="s">
        <v>889</v>
      </c>
      <c r="H818" s="1">
        <v>24</v>
      </c>
      <c r="I818" s="1">
        <v>10</v>
      </c>
      <c r="J818" s="1">
        <v>5</v>
      </c>
      <c r="K818" s="2">
        <v>1.51</v>
      </c>
    </row>
    <row r="819" spans="1:12">
      <c r="A819" s="3" t="s">
        <v>633</v>
      </c>
      <c r="B819" s="3" t="s">
        <v>883</v>
      </c>
      <c r="C819" s="3" t="s">
        <v>886</v>
      </c>
      <c r="D819" s="3"/>
      <c r="E819" s="2" t="str">
        <f>HYPERLINK("https://old.ukr-mobil.com/steklo_iphone_6_plus_6s_plus_black_5310", "Перейти")</f>
        <v>Перейти</v>
      </c>
      <c r="F819" s="2">
        <v>5310</v>
      </c>
      <c r="G819" s="4" t="s">
        <v>890</v>
      </c>
      <c r="H819" s="1">
        <v>39</v>
      </c>
      <c r="I819" s="1">
        <v>19</v>
      </c>
      <c r="J819" s="1">
        <v>5</v>
      </c>
      <c r="K819" s="2">
        <v>2.52</v>
      </c>
    </row>
    <row r="820" spans="1:12">
      <c r="A820" s="3" t="s">
        <v>633</v>
      </c>
      <c r="B820" s="3" t="s">
        <v>883</v>
      </c>
      <c r="C820" s="3" t="s">
        <v>886</v>
      </c>
      <c r="D820" s="3"/>
      <c r="E820" s="2" t="str">
        <f>HYPERLINK("https://old.ukr-mobil.com/steklo_iphone_6_plus_6s_plus_white_5311", "Перейти")</f>
        <v>Перейти</v>
      </c>
      <c r="F820" s="2">
        <v>5311</v>
      </c>
      <c r="G820" s="4" t="s">
        <v>891</v>
      </c>
      <c r="H820" s="1">
        <v>29</v>
      </c>
      <c r="I820" s="1">
        <v>19</v>
      </c>
      <c r="J820" s="1">
        <v>0</v>
      </c>
      <c r="K820" s="2">
        <v>2.52</v>
      </c>
    </row>
    <row r="821" spans="1:12">
      <c r="A821" s="3" t="s">
        <v>633</v>
      </c>
      <c r="B821" s="3" t="s">
        <v>883</v>
      </c>
      <c r="C821" s="3" t="s">
        <v>886</v>
      </c>
      <c r="D821" s="3"/>
      <c r="E821" s="2" t="str">
        <f>HYPERLINK("https://old.ukr-mobil.com/steklo_iphone_7_plus_black_7448", "Перейти")</f>
        <v>Перейти</v>
      </c>
      <c r="F821" s="2">
        <v>7448</v>
      </c>
      <c r="G821" s="4" t="s">
        <v>892</v>
      </c>
      <c r="H821" s="1">
        <v>4</v>
      </c>
      <c r="I821" s="1">
        <v>4</v>
      </c>
      <c r="J821" s="1">
        <v>0</v>
      </c>
      <c r="K821" s="2">
        <v>3.02</v>
      </c>
    </row>
    <row r="822" spans="1:12">
      <c r="A822" s="3" t="s">
        <v>633</v>
      </c>
      <c r="B822" s="3" t="s">
        <v>883</v>
      </c>
      <c r="C822" s="3" t="s">
        <v>886</v>
      </c>
      <c r="D822" s="3"/>
      <c r="E822" s="2" t="str">
        <f>HYPERLINK("https://old.ukr-mobil.com/steklo_iphone_7_plus_black_original_9639", "Перейти")</f>
        <v>Перейти</v>
      </c>
      <c r="F822" s="2">
        <v>9639</v>
      </c>
      <c r="G822" s="4" t="s">
        <v>893</v>
      </c>
      <c r="H822" s="1">
        <v>4</v>
      </c>
      <c r="I822" s="1">
        <v>7</v>
      </c>
      <c r="J822" s="1">
        <v>1</v>
      </c>
      <c r="K822" s="2">
        <v>4.03</v>
      </c>
    </row>
    <row r="823" spans="1:12">
      <c r="A823" s="3" t="s">
        <v>633</v>
      </c>
      <c r="B823" s="3" t="s">
        <v>883</v>
      </c>
      <c r="C823" s="3" t="s">
        <v>886</v>
      </c>
      <c r="D823" s="3"/>
      <c r="E823" s="2" t="str">
        <f>HYPERLINK("https://old.ukr-mobil.com/steklo_iphone_7_plus_white_7449", "Перейти")</f>
        <v>Перейти</v>
      </c>
      <c r="F823" s="2">
        <v>7449</v>
      </c>
      <c r="G823" s="4" t="s">
        <v>894</v>
      </c>
      <c r="H823" s="1">
        <v>0</v>
      </c>
      <c r="I823" s="1">
        <v>0</v>
      </c>
      <c r="J823" s="1">
        <v>0</v>
      </c>
      <c r="K823" s="2">
        <v>3.02</v>
      </c>
    </row>
    <row r="824" spans="1:12">
      <c r="A824" s="3" t="s">
        <v>633</v>
      </c>
      <c r="B824" s="3" t="s">
        <v>883</v>
      </c>
      <c r="C824" s="3" t="s">
        <v>886</v>
      </c>
      <c r="D824" s="3"/>
      <c r="E824" s="2" t="str">
        <f>HYPERLINK("https://old.ukr-mobil.com/steklo_iphone_7_plus_white_original_9640", "Перейти")</f>
        <v>Перейти</v>
      </c>
      <c r="F824" s="2">
        <v>9640</v>
      </c>
      <c r="G824" s="4" t="s">
        <v>895</v>
      </c>
      <c r="H824" s="1">
        <v>0</v>
      </c>
      <c r="I824" s="1">
        <v>0</v>
      </c>
      <c r="J824" s="1">
        <v>0</v>
      </c>
      <c r="K824" s="2">
        <v>4.03</v>
      </c>
    </row>
    <row r="825" spans="1:12">
      <c r="A825" s="3" t="s">
        <v>633</v>
      </c>
      <c r="B825" s="3" t="s">
        <v>883</v>
      </c>
      <c r="C825" s="3" t="s">
        <v>886</v>
      </c>
      <c r="D825" s="3"/>
      <c r="E825" s="2" t="str">
        <f>HYPERLINK("https://old.ukr-mobil.com/steklo_iphone_7_black_original_8212", "Перейти")</f>
        <v>Перейти</v>
      </c>
      <c r="F825" s="2">
        <v>8212</v>
      </c>
      <c r="G825" s="4" t="s">
        <v>896</v>
      </c>
      <c r="H825" s="1">
        <v>0</v>
      </c>
      <c r="I825" s="1">
        <v>0</v>
      </c>
      <c r="J825" s="1">
        <v>0</v>
      </c>
      <c r="K825" s="2">
        <v>4.03</v>
      </c>
    </row>
    <row r="826" spans="1:12">
      <c r="A826" s="3" t="s">
        <v>633</v>
      </c>
      <c r="B826" s="3" t="s">
        <v>883</v>
      </c>
      <c r="C826" s="3" t="s">
        <v>886</v>
      </c>
      <c r="D826" s="3"/>
      <c r="E826" s="2" t="str">
        <f>HYPERLINK("https://old.ukr-mobil.com/steklo_iphone_7_white_7446", "Перейти")</f>
        <v>Перейти</v>
      </c>
      <c r="F826" s="2">
        <v>7446</v>
      </c>
      <c r="G826" s="4" t="s">
        <v>897</v>
      </c>
      <c r="H826" s="1">
        <v>5</v>
      </c>
      <c r="I826" s="1">
        <v>0</v>
      </c>
      <c r="J826" s="1">
        <v>2</v>
      </c>
      <c r="K826" s="2">
        <v>3.02</v>
      </c>
    </row>
    <row r="827" spans="1:12">
      <c r="A827" s="3" t="s">
        <v>633</v>
      </c>
      <c r="B827" s="3" t="s">
        <v>883</v>
      </c>
      <c r="C827" s="3" t="s">
        <v>886</v>
      </c>
      <c r="D827" s="3"/>
      <c r="E827" s="2" t="str">
        <f>HYPERLINK("https://old.ukr-mobil.com/steklo_iphone_7_white_original_8214", "Перейти")</f>
        <v>Перейти</v>
      </c>
      <c r="F827" s="2">
        <v>8214</v>
      </c>
      <c r="G827" s="4" t="s">
        <v>898</v>
      </c>
      <c r="H827" s="1">
        <v>37</v>
      </c>
      <c r="I827" s="1">
        <v>5</v>
      </c>
      <c r="J827" s="1">
        <v>5</v>
      </c>
      <c r="K827" s="2">
        <v>4.03</v>
      </c>
    </row>
    <row r="828" spans="1:12">
      <c r="A828" s="3" t="s">
        <v>633</v>
      </c>
      <c r="B828" s="3" t="s">
        <v>883</v>
      </c>
      <c r="C828" s="3" t="s">
        <v>886</v>
      </c>
      <c r="D828" s="3"/>
      <c r="E828" s="2" t="str">
        <f>HYPERLINK("https://old.ukr-mobil.com/steklo_iphone_8_plus_black_original_9433", "Перейти")</f>
        <v>Перейти</v>
      </c>
      <c r="F828" s="2">
        <v>9433</v>
      </c>
      <c r="G828" s="4" t="s">
        <v>899</v>
      </c>
      <c r="H828" s="1">
        <v>0</v>
      </c>
      <c r="I828" s="1">
        <v>0</v>
      </c>
      <c r="J828" s="1">
        <v>0</v>
      </c>
      <c r="K828" s="2">
        <v>8.06</v>
      </c>
    </row>
    <row r="829" spans="1:12">
      <c r="A829" s="3" t="s">
        <v>633</v>
      </c>
      <c r="B829" s="3" t="s">
        <v>883</v>
      </c>
      <c r="C829" s="3" t="s">
        <v>886</v>
      </c>
      <c r="D829" s="3"/>
      <c r="E829" s="2" t="str">
        <f>HYPERLINK("https://old.ukr-mobil.com/steklo_iphone_8_plus_white_original_9434", "Перейти")</f>
        <v>Перейти</v>
      </c>
      <c r="F829" s="2">
        <v>9434</v>
      </c>
      <c r="G829" s="4" t="s">
        <v>900</v>
      </c>
      <c r="H829" s="1">
        <v>0</v>
      </c>
      <c r="I829" s="1">
        <v>0</v>
      </c>
      <c r="J829" s="1">
        <v>0</v>
      </c>
      <c r="K829" s="2">
        <v>8.06</v>
      </c>
    </row>
    <row r="830" spans="1:12">
      <c r="A830" s="3" t="s">
        <v>633</v>
      </c>
      <c r="B830" s="3" t="s">
        <v>883</v>
      </c>
      <c r="C830" s="3" t="s">
        <v>886</v>
      </c>
      <c r="D830" s="3"/>
      <c r="E830" s="2" t="str">
        <f>HYPERLINK("https://old.ukr-mobil.com/steklo_iphone_8_black_original_9432", "Перейти")</f>
        <v>Перейти</v>
      </c>
      <c r="F830" s="2">
        <v>9432</v>
      </c>
      <c r="G830" s="4" t="s">
        <v>901</v>
      </c>
      <c r="H830" s="1">
        <v>0</v>
      </c>
      <c r="I830" s="1">
        <v>0</v>
      </c>
      <c r="J830" s="1">
        <v>0</v>
      </c>
      <c r="K830" s="2">
        <v>6.05</v>
      </c>
    </row>
    <row r="831" spans="1:12">
      <c r="A831" s="3" t="s">
        <v>633</v>
      </c>
      <c r="B831" s="3" t="s">
        <v>883</v>
      </c>
      <c r="C831" s="3" t="s">
        <v>886</v>
      </c>
      <c r="D831" s="3"/>
      <c r="E831" s="2" t="str">
        <f>HYPERLINK("https://old.ukr-mobil.com/steklo_displeya_s_plenkoj_oca_iphone_11_pro_max_original_black_10000458", "Перейти")</f>
        <v>Перейти</v>
      </c>
      <c r="F831" s="2">
        <v>10000458</v>
      </c>
      <c r="G831" s="4" t="s">
        <v>902</v>
      </c>
      <c r="H831" s="1">
        <v>0</v>
      </c>
      <c r="I831" s="1">
        <v>0</v>
      </c>
      <c r="J831" s="1">
        <v>4</v>
      </c>
      <c r="K831" s="2">
        <v>2.5</v>
      </c>
    </row>
    <row r="832" spans="1:12">
      <c r="A832" s="3" t="s">
        <v>633</v>
      </c>
      <c r="B832" s="3" t="s">
        <v>883</v>
      </c>
      <c r="C832" s="3" t="s">
        <v>886</v>
      </c>
      <c r="D832" s="3"/>
      <c r="E832" s="2" t="str">
        <f>HYPERLINK("https://old.ukr-mobil.com/steklo_displeya_apple_iphone_11_pro_max_s_tachskrinom_original_black_10001738", "Перейти")</f>
        <v>Перейти</v>
      </c>
      <c r="F832" s="2">
        <v>10001738</v>
      </c>
      <c r="G832" s="4" t="s">
        <v>903</v>
      </c>
      <c r="H832" s="1">
        <v>5</v>
      </c>
      <c r="I832" s="1">
        <v>2</v>
      </c>
      <c r="J832" s="1">
        <v>1</v>
      </c>
      <c r="K832" s="2">
        <v>17.0</v>
      </c>
    </row>
    <row r="833" spans="1:12">
      <c r="A833" s="3" t="s">
        <v>633</v>
      </c>
      <c r="B833" s="3" t="s">
        <v>883</v>
      </c>
      <c r="C833" s="3" t="s">
        <v>886</v>
      </c>
      <c r="D833" s="3"/>
      <c r="E833" s="2" t="str">
        <f>HYPERLINK("https://old.ukr-mobil.com/steklo_displeya_apple_iphone_11_pro_max_s_tachskrinom_s_plenkoj_oca_original_black_10002917", "Перейти")</f>
        <v>Перейти</v>
      </c>
      <c r="F833" s="2">
        <v>10002917</v>
      </c>
      <c r="G833" s="4" t="s">
        <v>904</v>
      </c>
      <c r="H833" s="1">
        <v>10</v>
      </c>
      <c r="I833" s="1">
        <v>5</v>
      </c>
      <c r="J833" s="1">
        <v>2</v>
      </c>
      <c r="K833" s="2">
        <v>18.0</v>
      </c>
    </row>
    <row r="834" spans="1:12">
      <c r="A834" s="3" t="s">
        <v>633</v>
      </c>
      <c r="B834" s="3" t="s">
        <v>883</v>
      </c>
      <c r="C834" s="3" t="s">
        <v>886</v>
      </c>
      <c r="D834" s="3"/>
      <c r="E834" s="2" t="str">
        <f>HYPERLINK("https://old.ukr-mobil.com/steklo_displeya_s_plenkoj_oca_iphone_11_pro_original_black_10000457", "Перейти")</f>
        <v>Перейти</v>
      </c>
      <c r="F834" s="2">
        <v>10000457</v>
      </c>
      <c r="G834" s="4" t="s">
        <v>905</v>
      </c>
      <c r="H834" s="1">
        <v>2</v>
      </c>
      <c r="I834" s="1">
        <v>0</v>
      </c>
      <c r="J834" s="1">
        <v>2</v>
      </c>
      <c r="K834" s="2">
        <v>2.5</v>
      </c>
    </row>
    <row r="835" spans="1:12">
      <c r="A835" s="3" t="s">
        <v>633</v>
      </c>
      <c r="B835" s="3" t="s">
        <v>883</v>
      </c>
      <c r="C835" s="3" t="s">
        <v>886</v>
      </c>
      <c r="D835" s="3"/>
      <c r="E835" s="2" t="str">
        <f>HYPERLINK("https://old.ukr-mobil.com/steklo_displeya_apple_iphone_11_pro_s_tachskrinom_original_black_10001739", "Перейти")</f>
        <v>Перейти</v>
      </c>
      <c r="F835" s="2">
        <v>10001739</v>
      </c>
      <c r="G835" s="4" t="s">
        <v>906</v>
      </c>
      <c r="H835" s="1">
        <v>5</v>
      </c>
      <c r="I835" s="1">
        <v>0</v>
      </c>
      <c r="J835" s="1">
        <v>1</v>
      </c>
      <c r="K835" s="2">
        <v>15.5</v>
      </c>
    </row>
    <row r="836" spans="1:12">
      <c r="A836" s="3" t="s">
        <v>633</v>
      </c>
      <c r="B836" s="3" t="s">
        <v>883</v>
      </c>
      <c r="C836" s="3" t="s">
        <v>886</v>
      </c>
      <c r="D836" s="3"/>
      <c r="E836" s="2" t="str">
        <f>HYPERLINK("https://old.ukr-mobil.com/steklo_displeya_apple_iphone_11_pro_s_tachskrinom_s_plenkoj_oca_original_10002921", "Перейти")</f>
        <v>Перейти</v>
      </c>
      <c r="F836" s="2">
        <v>10002921</v>
      </c>
      <c r="G836" s="4" t="s">
        <v>907</v>
      </c>
      <c r="H836" s="1">
        <v>24</v>
      </c>
      <c r="I836" s="1">
        <v>8</v>
      </c>
      <c r="J836" s="1">
        <v>1</v>
      </c>
      <c r="K836" s="2">
        <v>17.0</v>
      </c>
    </row>
    <row r="837" spans="1:12">
      <c r="A837" s="3" t="s">
        <v>633</v>
      </c>
      <c r="B837" s="3" t="s">
        <v>883</v>
      </c>
      <c r="C837" s="3" t="s">
        <v>886</v>
      </c>
      <c r="D837" s="3"/>
      <c r="E837" s="2" t="str">
        <f>HYPERLINK("https://old.ukr-mobil.com/steklo_displeya_iphone_11_s_plenkoj_oca_original_black_10000586", "Перейти")</f>
        <v>Перейти</v>
      </c>
      <c r="F837" s="2">
        <v>10000586</v>
      </c>
      <c r="G837" s="4" t="s">
        <v>908</v>
      </c>
      <c r="H837" s="1">
        <v>2</v>
      </c>
      <c r="I837" s="1">
        <v>3</v>
      </c>
      <c r="J837" s="1">
        <v>6</v>
      </c>
      <c r="K837" s="2">
        <v>2.0</v>
      </c>
    </row>
    <row r="838" spans="1:12">
      <c r="A838" s="3" t="s">
        <v>633</v>
      </c>
      <c r="B838" s="3" t="s">
        <v>883</v>
      </c>
      <c r="C838" s="3" t="s">
        <v>886</v>
      </c>
      <c r="D838" s="3"/>
      <c r="E838" s="2" t="str">
        <f>HYPERLINK("https://old.ukr-mobil.com/steklo_displeya_iphone_11_s_plenkoj_oca_i_ramkoj_original_black_10000456", "Перейти")</f>
        <v>Перейти</v>
      </c>
      <c r="F838" s="2">
        <v>10000456</v>
      </c>
      <c r="G838" s="4" t="s">
        <v>909</v>
      </c>
      <c r="H838" s="1">
        <v>6</v>
      </c>
      <c r="I838" s="1">
        <v>0</v>
      </c>
      <c r="J838" s="1">
        <v>1</v>
      </c>
      <c r="K838" s="2">
        <v>3.5</v>
      </c>
    </row>
    <row r="839" spans="1:12">
      <c r="A839" s="3" t="s">
        <v>633</v>
      </c>
      <c r="B839" s="3" t="s">
        <v>883</v>
      </c>
      <c r="C839" s="3" t="s">
        <v>886</v>
      </c>
      <c r="D839" s="3"/>
      <c r="E839" s="2" t="str">
        <f>HYPERLINK("https://old.ukr-mobil.com/steklo_displeya_apple_iphone_11_s_tachskrinom_s_ramkoj_original_black_10001740", "Перейти")</f>
        <v>Перейти</v>
      </c>
      <c r="F839" s="2">
        <v>10001740</v>
      </c>
      <c r="G839" s="4" t="s">
        <v>910</v>
      </c>
      <c r="H839" s="1">
        <v>0</v>
      </c>
      <c r="I839" s="1">
        <v>0</v>
      </c>
      <c r="J839" s="1">
        <v>0</v>
      </c>
      <c r="K839" s="2">
        <v>21.0</v>
      </c>
    </row>
    <row r="840" spans="1:12">
      <c r="A840" s="3" t="s">
        <v>633</v>
      </c>
      <c r="B840" s="3" t="s">
        <v>883</v>
      </c>
      <c r="C840" s="3" t="s">
        <v>886</v>
      </c>
      <c r="D840" s="3"/>
      <c r="E840" s="2" t="str">
        <f>HYPERLINK("https://old.ukr-mobil.com/steklo_displeya_apple_iphone_11_s_tachskrinom_s_ramkoj_s_plenkoj_oca_original_10002920", "Перейти")</f>
        <v>Перейти</v>
      </c>
      <c r="F840" s="2">
        <v>10002920</v>
      </c>
      <c r="G840" s="4" t="s">
        <v>911</v>
      </c>
      <c r="H840" s="1">
        <v>5</v>
      </c>
      <c r="I840" s="1">
        <v>4</v>
      </c>
      <c r="J840" s="1">
        <v>3</v>
      </c>
      <c r="K840" s="2">
        <v>17.0</v>
      </c>
    </row>
    <row r="841" spans="1:12">
      <c r="A841" s="3" t="s">
        <v>633</v>
      </c>
      <c r="B841" s="3" t="s">
        <v>883</v>
      </c>
      <c r="C841" s="3" t="s">
        <v>886</v>
      </c>
      <c r="D841" s="3"/>
      <c r="E841" s="2" t="str">
        <f>HYPERLINK("https://old.ukr-mobil.com/steklo_displeya_apple_iphone_12_mini_s_plenkoj_oca_original_10004526", "Перейти")</f>
        <v>Перейти</v>
      </c>
      <c r="F841" s="2">
        <v>10004526</v>
      </c>
      <c r="G841" s="4" t="s">
        <v>912</v>
      </c>
      <c r="H841" s="1">
        <v>1</v>
      </c>
      <c r="I841" s="1">
        <v>1</v>
      </c>
      <c r="J841" s="1">
        <v>0</v>
      </c>
      <c r="K841" s="2">
        <v>3.75</v>
      </c>
    </row>
    <row r="842" spans="1:12">
      <c r="A842" s="3" t="s">
        <v>633</v>
      </c>
      <c r="B842" s="3" t="s">
        <v>883</v>
      </c>
      <c r="C842" s="3" t="s">
        <v>886</v>
      </c>
      <c r="D842" s="3"/>
      <c r="E842" s="2" t="str">
        <f>HYPERLINK("https://old.ukr-mobil.com/steklo_displeya_iphone_12_pro_max_s_plenkoj_oca_original_10001267", "Перейти")</f>
        <v>Перейти</v>
      </c>
      <c r="F842" s="2">
        <v>10001267</v>
      </c>
      <c r="G842" s="4" t="s">
        <v>913</v>
      </c>
      <c r="H842" s="1">
        <v>9</v>
      </c>
      <c r="I842" s="1">
        <v>6</v>
      </c>
      <c r="J842" s="1">
        <v>6</v>
      </c>
      <c r="K842" s="2">
        <v>2.75</v>
      </c>
    </row>
    <row r="843" spans="1:12">
      <c r="A843" s="3" t="s">
        <v>633</v>
      </c>
      <c r="B843" s="3" t="s">
        <v>883</v>
      </c>
      <c r="C843" s="3" t="s">
        <v>886</v>
      </c>
      <c r="D843" s="3"/>
      <c r="E843" s="2" t="str">
        <f>HYPERLINK("https://old.ukr-mobil.com/steklo_displeya_apple_iphone_12_pro_max_s_plenkoj_oca_original_10002916", "Перейти")</f>
        <v>Перейти</v>
      </c>
      <c r="F843" s="2">
        <v>10002916</v>
      </c>
      <c r="G843" s="4" t="s">
        <v>914</v>
      </c>
      <c r="H843" s="1">
        <v>26</v>
      </c>
      <c r="I843" s="1">
        <v>3</v>
      </c>
      <c r="J843" s="1">
        <v>3</v>
      </c>
      <c r="K843" s="2">
        <v>4.5</v>
      </c>
    </row>
    <row r="844" spans="1:12">
      <c r="A844" s="3" t="s">
        <v>633</v>
      </c>
      <c r="B844" s="3" t="s">
        <v>883</v>
      </c>
      <c r="C844" s="3" t="s">
        <v>886</v>
      </c>
      <c r="D844" s="3"/>
      <c r="E844" s="2" t="str">
        <f>HYPERLINK("https://old.ukr-mobil.com/steklo_displeya_iphone_12_iphone_12_pro_s_plenkoj_oca_original_10001266", "Перейти")</f>
        <v>Перейти</v>
      </c>
      <c r="F844" s="2">
        <v>10001266</v>
      </c>
      <c r="G844" s="4" t="s">
        <v>915</v>
      </c>
      <c r="H844" s="1">
        <v>0</v>
      </c>
      <c r="I844" s="1">
        <v>0</v>
      </c>
      <c r="J844" s="1">
        <v>0</v>
      </c>
      <c r="K844" s="2">
        <v>3.5</v>
      </c>
    </row>
    <row r="845" spans="1:12">
      <c r="A845" s="3" t="s">
        <v>633</v>
      </c>
      <c r="B845" s="3" t="s">
        <v>883</v>
      </c>
      <c r="C845" s="3" t="s">
        <v>886</v>
      </c>
      <c r="D845" s="3"/>
      <c r="E845" s="2" t="str">
        <f>HYPERLINK("https://old.ukr-mobil.com/steklo_displeya_apple_iphone_12_iphone_12_pro_s_tachskrinom_s_plenkoj_oca_original_10002922", "Перейти")</f>
        <v>Перейти</v>
      </c>
      <c r="F845" s="2">
        <v>10002922</v>
      </c>
      <c r="G845" s="4" t="s">
        <v>916</v>
      </c>
      <c r="H845" s="1">
        <v>25</v>
      </c>
      <c r="I845" s="1">
        <v>7</v>
      </c>
      <c r="J845" s="1">
        <v>3</v>
      </c>
      <c r="K845" s="2">
        <v>14.38</v>
      </c>
    </row>
    <row r="846" spans="1:12">
      <c r="A846" s="3" t="s">
        <v>633</v>
      </c>
      <c r="B846" s="3" t="s">
        <v>883</v>
      </c>
      <c r="C846" s="3" t="s">
        <v>886</v>
      </c>
      <c r="D846" s="3"/>
      <c r="E846" s="2" t="str">
        <f>HYPERLINK("https://old.ukr-mobil.com/steklo_displeya_apple_iphone_13_mini_s_plenkoj_oca_original_10004527", "Перейти")</f>
        <v>Перейти</v>
      </c>
      <c r="F846" s="2">
        <v>10004527</v>
      </c>
      <c r="G846" s="4" t="s">
        <v>917</v>
      </c>
      <c r="H846" s="1">
        <v>5</v>
      </c>
      <c r="I846" s="1">
        <v>2</v>
      </c>
      <c r="J846" s="1">
        <v>0</v>
      </c>
      <c r="K846" s="2">
        <v>4.25</v>
      </c>
    </row>
    <row r="847" spans="1:12">
      <c r="A847" s="3" t="s">
        <v>633</v>
      </c>
      <c r="B847" s="3" t="s">
        <v>883</v>
      </c>
      <c r="C847" s="3" t="s">
        <v>886</v>
      </c>
      <c r="D847" s="3"/>
      <c r="E847" s="2" t="str">
        <f>HYPERLINK("https://old.ukr-mobil.com/steklo_displeya_apple_iphone_13_pro_max_s_plenkoj_oca_original_10002153", "Перейти")</f>
        <v>Перейти</v>
      </c>
      <c r="F847" s="2">
        <v>10002153</v>
      </c>
      <c r="G847" s="4" t="s">
        <v>918</v>
      </c>
      <c r="H847" s="1">
        <v>1</v>
      </c>
      <c r="I847" s="1">
        <v>0</v>
      </c>
      <c r="J847" s="1">
        <v>4</v>
      </c>
      <c r="K847" s="2">
        <v>3.75</v>
      </c>
    </row>
    <row r="848" spans="1:12">
      <c r="A848" s="3" t="s">
        <v>633</v>
      </c>
      <c r="B848" s="3" t="s">
        <v>883</v>
      </c>
      <c r="C848" s="3" t="s">
        <v>886</v>
      </c>
      <c r="D848" s="3"/>
      <c r="E848" s="2" t="str">
        <f>HYPERLINK("https://old.ukr-mobil.com/steklo_displeya_apple_iphone_13_iphone_13_pro_s_plenkoj_oca_original_10002154", "Перейти")</f>
        <v>Перейти</v>
      </c>
      <c r="F848" s="2">
        <v>10002154</v>
      </c>
      <c r="G848" s="4" t="s">
        <v>919</v>
      </c>
      <c r="H848" s="1">
        <v>0</v>
      </c>
      <c r="I848" s="1">
        <v>0</v>
      </c>
      <c r="J848" s="1">
        <v>0</v>
      </c>
      <c r="K848" s="2">
        <v>3.75</v>
      </c>
    </row>
    <row r="849" spans="1:12">
      <c r="A849" s="3" t="s">
        <v>633</v>
      </c>
      <c r="B849" s="3" t="s">
        <v>883</v>
      </c>
      <c r="C849" s="3" t="s">
        <v>886</v>
      </c>
      <c r="D849" s="3"/>
      <c r="E849" s="2" t="str">
        <f>HYPERLINK("https://old.ukr-mobil.com/steklo_displeya_apple_iphone_14_plus_s_plenkoj_oca_original_10003080", "Перейти")</f>
        <v>Перейти</v>
      </c>
      <c r="F849" s="2">
        <v>10003080</v>
      </c>
      <c r="G849" s="4" t="s">
        <v>920</v>
      </c>
      <c r="H849" s="1">
        <v>16</v>
      </c>
      <c r="I849" s="1">
        <v>2</v>
      </c>
      <c r="J849" s="1">
        <v>5</v>
      </c>
      <c r="K849" s="2">
        <v>4.0</v>
      </c>
    </row>
    <row r="850" spans="1:12">
      <c r="A850" s="3" t="s">
        <v>633</v>
      </c>
      <c r="B850" s="3" t="s">
        <v>883</v>
      </c>
      <c r="C850" s="3" t="s">
        <v>886</v>
      </c>
      <c r="D850" s="3"/>
      <c r="E850" s="2" t="str">
        <f>HYPERLINK("https://old.ukr-mobil.com/steklo_displeya_apple_iphone_14_pro_max_s_plenkoj_oca_original_10003082", "Перейти")</f>
        <v>Перейти</v>
      </c>
      <c r="F850" s="2">
        <v>10003082</v>
      </c>
      <c r="G850" s="4" t="s">
        <v>921</v>
      </c>
      <c r="H850" s="1">
        <v>0</v>
      </c>
      <c r="I850" s="1">
        <v>1</v>
      </c>
      <c r="J850" s="1">
        <v>5</v>
      </c>
      <c r="K850" s="2">
        <v>4.0</v>
      </c>
    </row>
    <row r="851" spans="1:12">
      <c r="A851" s="3" t="s">
        <v>633</v>
      </c>
      <c r="B851" s="3" t="s">
        <v>883</v>
      </c>
      <c r="C851" s="3" t="s">
        <v>886</v>
      </c>
      <c r="D851" s="3"/>
      <c r="E851" s="2" t="str">
        <f>HYPERLINK("https://old.ukr-mobil.com/steklo_displeya_apple_iphone_14_pro_s_plenkoj_oca_original_10003081", "Перейти")</f>
        <v>Перейти</v>
      </c>
      <c r="F851" s="2">
        <v>10003081</v>
      </c>
      <c r="G851" s="4" t="s">
        <v>922</v>
      </c>
      <c r="H851" s="1">
        <v>5</v>
      </c>
      <c r="I851" s="1">
        <v>3</v>
      </c>
      <c r="J851" s="1">
        <v>0</v>
      </c>
      <c r="K851" s="2">
        <v>4.0</v>
      </c>
    </row>
    <row r="852" spans="1:12">
      <c r="A852" s="3" t="s">
        <v>633</v>
      </c>
      <c r="B852" s="3" t="s">
        <v>883</v>
      </c>
      <c r="C852" s="3" t="s">
        <v>886</v>
      </c>
      <c r="D852" s="3"/>
      <c r="E852" s="2" t="str">
        <f>HYPERLINK("https://old.ukr-mobil.com/steklo_displeya_apple_iphone_14_s_plenkoj_oca_original_10003079", "Перейти")</f>
        <v>Перейти</v>
      </c>
      <c r="F852" s="2">
        <v>10003079</v>
      </c>
      <c r="G852" s="4" t="s">
        <v>923</v>
      </c>
      <c r="H852" s="1">
        <v>13</v>
      </c>
      <c r="I852" s="1">
        <v>1</v>
      </c>
      <c r="J852" s="1">
        <v>5</v>
      </c>
      <c r="K852" s="2">
        <v>4.0</v>
      </c>
    </row>
    <row r="853" spans="1:12">
      <c r="A853" s="3" t="s">
        <v>633</v>
      </c>
      <c r="B853" s="3" t="s">
        <v>883</v>
      </c>
      <c r="C853" s="3" t="s">
        <v>886</v>
      </c>
      <c r="D853" s="3"/>
      <c r="E853" s="2" t="str">
        <f>HYPERLINK("https://old.ukr-mobil.com/steklo_displeya_iphone_x_original_9654", "Перейти")</f>
        <v>Перейти</v>
      </c>
      <c r="F853" s="2">
        <v>9654</v>
      </c>
      <c r="G853" s="4" t="s">
        <v>924</v>
      </c>
      <c r="H853" s="1">
        <v>0</v>
      </c>
      <c r="I853" s="1">
        <v>5</v>
      </c>
      <c r="J853" s="1">
        <v>0</v>
      </c>
      <c r="K853" s="2">
        <v>1.5</v>
      </c>
    </row>
    <row r="854" spans="1:12">
      <c r="A854" s="3" t="s">
        <v>633</v>
      </c>
      <c r="B854" s="3" t="s">
        <v>883</v>
      </c>
      <c r="C854" s="3" t="s">
        <v>886</v>
      </c>
      <c r="D854" s="3"/>
      <c r="E854" s="2" t="str">
        <f>HYPERLINK("https://old.ukr-mobil.com/steklo_displeya_s_plenkoj_oca_iphone_x_xs_original_black_10204", "Перейти")</f>
        <v>Перейти</v>
      </c>
      <c r="F854" s="2">
        <v>10204</v>
      </c>
      <c r="G854" s="4" t="s">
        <v>925</v>
      </c>
      <c r="H854" s="1">
        <v>64</v>
      </c>
      <c r="I854" s="1">
        <v>10</v>
      </c>
      <c r="J854" s="1">
        <v>16</v>
      </c>
      <c r="K854" s="2">
        <v>2.0</v>
      </c>
    </row>
    <row r="855" spans="1:12">
      <c r="A855" s="3" t="s">
        <v>633</v>
      </c>
      <c r="B855" s="3" t="s">
        <v>883</v>
      </c>
      <c r="C855" s="3" t="s">
        <v>886</v>
      </c>
      <c r="D855" s="3"/>
      <c r="E855" s="2" t="str">
        <f>HYPERLINK("https://old.ukr-mobil.com/steklo_displeya_apple_iphone_x_s_plenkoj_oca_s_ramkoj_original_10001850", "Перейти")</f>
        <v>Перейти</v>
      </c>
      <c r="F855" s="2">
        <v>10001850</v>
      </c>
      <c r="G855" s="4" t="s">
        <v>926</v>
      </c>
      <c r="H855" s="1">
        <v>0</v>
      </c>
      <c r="I855" s="1">
        <v>1</v>
      </c>
      <c r="J855" s="1">
        <v>4</v>
      </c>
      <c r="K855" s="2">
        <v>3.75</v>
      </c>
    </row>
    <row r="856" spans="1:12">
      <c r="A856" s="3" t="s">
        <v>633</v>
      </c>
      <c r="B856" s="3" t="s">
        <v>883</v>
      </c>
      <c r="C856" s="3" t="s">
        <v>886</v>
      </c>
      <c r="D856" s="3"/>
      <c r="E856" s="2" t="str">
        <f>HYPERLINK("https://old.ukr-mobil.com/steklo_displeya_apple_iphone_x_s_tachskrinom_original_10001849", "Перейти")</f>
        <v>Перейти</v>
      </c>
      <c r="F856" s="2">
        <v>10001849</v>
      </c>
      <c r="G856" s="4" t="s">
        <v>927</v>
      </c>
      <c r="H856" s="1">
        <v>0</v>
      </c>
      <c r="I856" s="1">
        <v>0</v>
      </c>
      <c r="J856" s="1">
        <v>2</v>
      </c>
      <c r="K856" s="2">
        <v>8.0</v>
      </c>
    </row>
    <row r="857" spans="1:12">
      <c r="A857" s="3" t="s">
        <v>633</v>
      </c>
      <c r="B857" s="3" t="s">
        <v>883</v>
      </c>
      <c r="C857" s="3" t="s">
        <v>886</v>
      </c>
      <c r="D857" s="3"/>
      <c r="E857" s="2" t="str">
        <f>HYPERLINK("https://old.ukr-mobil.com/steklo_displeya_apple_iphone_x_s_tachskrinom_original_black_10001741", "Перейти")</f>
        <v>Перейти</v>
      </c>
      <c r="F857" s="2">
        <v>10001741</v>
      </c>
      <c r="G857" s="4" t="s">
        <v>928</v>
      </c>
      <c r="H857" s="1">
        <v>0</v>
      </c>
      <c r="I857" s="1">
        <v>0</v>
      </c>
      <c r="J857" s="1">
        <v>0</v>
      </c>
      <c r="K857" s="2">
        <v>9.5</v>
      </c>
    </row>
    <row r="858" spans="1:12">
      <c r="A858" s="3" t="s">
        <v>633</v>
      </c>
      <c r="B858" s="3" t="s">
        <v>883</v>
      </c>
      <c r="C858" s="3" t="s">
        <v>886</v>
      </c>
      <c r="D858" s="3"/>
      <c r="E858" s="2" t="str">
        <f>HYPERLINK("https://old.ukr-mobil.com/steklo_displeya_apple_iphone_x_s_tachskrinom_s_plenkoj_oca_original_10002417", "Перейти")</f>
        <v>Перейти</v>
      </c>
      <c r="F858" s="2">
        <v>10002417</v>
      </c>
      <c r="G858" s="4" t="s">
        <v>929</v>
      </c>
      <c r="H858" s="1">
        <v>0</v>
      </c>
      <c r="I858" s="1">
        <v>0</v>
      </c>
      <c r="J858" s="1">
        <v>0</v>
      </c>
      <c r="K858" s="2">
        <v>12.5</v>
      </c>
    </row>
    <row r="859" spans="1:12">
      <c r="A859" s="3" t="s">
        <v>633</v>
      </c>
      <c r="B859" s="3" t="s">
        <v>883</v>
      </c>
      <c r="C859" s="3" t="s">
        <v>886</v>
      </c>
      <c r="D859" s="3"/>
      <c r="E859" s="2" t="str">
        <f>HYPERLINK("https://old.ukr-mobil.com/steklo_displeya_s_plenkoj_oca_iphone_xr_original_black_11989", "Перейти")</f>
        <v>Перейти</v>
      </c>
      <c r="F859" s="2">
        <v>11989</v>
      </c>
      <c r="G859" s="4" t="s">
        <v>930</v>
      </c>
      <c r="H859" s="1">
        <v>0</v>
      </c>
      <c r="I859" s="1">
        <v>0</v>
      </c>
      <c r="J859" s="1">
        <v>0</v>
      </c>
      <c r="K859" s="2">
        <v>2.25</v>
      </c>
    </row>
    <row r="860" spans="1:12">
      <c r="A860" s="3" t="s">
        <v>633</v>
      </c>
      <c r="B860" s="3" t="s">
        <v>883</v>
      </c>
      <c r="C860" s="3" t="s">
        <v>886</v>
      </c>
      <c r="D860" s="3"/>
      <c r="E860" s="2" t="str">
        <f>HYPERLINK("https://old.ukr-mobil.com/steklo_displeya_apple_iphone_xr_s_plenkoj_oca_s_ramkoj_original_10002914", "Перейти")</f>
        <v>Перейти</v>
      </c>
      <c r="F860" s="2">
        <v>10002914</v>
      </c>
      <c r="G860" s="4" t="s">
        <v>931</v>
      </c>
      <c r="H860" s="1">
        <v>0</v>
      </c>
      <c r="I860" s="1">
        <v>0</v>
      </c>
      <c r="J860" s="1">
        <v>0</v>
      </c>
      <c r="K860" s="2">
        <v>3.75</v>
      </c>
    </row>
    <row r="861" spans="1:12">
      <c r="A861" s="3" t="s">
        <v>633</v>
      </c>
      <c r="B861" s="3" t="s">
        <v>883</v>
      </c>
      <c r="C861" s="3" t="s">
        <v>886</v>
      </c>
      <c r="D861" s="3"/>
      <c r="E861" s="2" t="str">
        <f>HYPERLINK("https://old.ukr-mobil.com/steklo_displeya_apple_iphone_xr_s_tachskrinom_s_ramkoj_original_black_10001742", "Перейти")</f>
        <v>Перейти</v>
      </c>
      <c r="F861" s="2">
        <v>10001742</v>
      </c>
      <c r="G861" s="4" t="s">
        <v>932</v>
      </c>
      <c r="H861" s="1">
        <v>0</v>
      </c>
      <c r="I861" s="1">
        <v>0</v>
      </c>
      <c r="J861" s="1">
        <v>0</v>
      </c>
      <c r="K861" s="2">
        <v>15.5</v>
      </c>
    </row>
    <row r="862" spans="1:12">
      <c r="A862" s="3" t="s">
        <v>633</v>
      </c>
      <c r="B862" s="3" t="s">
        <v>883</v>
      </c>
      <c r="C862" s="3" t="s">
        <v>886</v>
      </c>
      <c r="D862" s="3"/>
      <c r="E862" s="2" t="str">
        <f>HYPERLINK("https://old.ukr-mobil.com/steklo_displeya_apple_iphone_xr_s_tachskrinom_s_ramkoj_s_plenkoj_oca_original_10002919", "Перейти")</f>
        <v>Перейти</v>
      </c>
      <c r="F862" s="2">
        <v>10002919</v>
      </c>
      <c r="G862" s="4" t="s">
        <v>933</v>
      </c>
      <c r="H862" s="1">
        <v>3</v>
      </c>
      <c r="I862" s="1">
        <v>0</v>
      </c>
      <c r="J862" s="1">
        <v>0</v>
      </c>
      <c r="K862" s="2">
        <v>12.5</v>
      </c>
    </row>
    <row r="863" spans="1:12">
      <c r="A863" s="3" t="s">
        <v>633</v>
      </c>
      <c r="B863" s="3" t="s">
        <v>883</v>
      </c>
      <c r="C863" s="3" t="s">
        <v>886</v>
      </c>
      <c r="D863" s="3"/>
      <c r="E863" s="2" t="str">
        <f>HYPERLINK("https://old.ukr-mobil.com/steklo_displeya_iphone_xs_max_original_11150", "Перейти")</f>
        <v>Перейти</v>
      </c>
      <c r="F863" s="2">
        <v>11150</v>
      </c>
      <c r="G863" s="4" t="s">
        <v>934</v>
      </c>
      <c r="H863" s="1">
        <v>15</v>
      </c>
      <c r="I863" s="1">
        <v>8</v>
      </c>
      <c r="J863" s="1">
        <v>5</v>
      </c>
      <c r="K863" s="2">
        <v>2.0</v>
      </c>
    </row>
    <row r="864" spans="1:12">
      <c r="A864" s="3" t="s">
        <v>633</v>
      </c>
      <c r="B864" s="3" t="s">
        <v>883</v>
      </c>
      <c r="C864" s="3" t="s">
        <v>886</v>
      </c>
      <c r="D864" s="3"/>
      <c r="E864" s="2" t="str">
        <f>HYPERLINK("https://old.ukr-mobil.com/steklo_displeya_s_plenkoj_oca_iphone_xs_max_original_black_11894", "Перейти")</f>
        <v>Перейти</v>
      </c>
      <c r="F864" s="2">
        <v>11894</v>
      </c>
      <c r="G864" s="4" t="s">
        <v>935</v>
      </c>
      <c r="H864" s="1">
        <v>59</v>
      </c>
      <c r="I864" s="1">
        <v>5</v>
      </c>
      <c r="J864" s="1">
        <v>8</v>
      </c>
      <c r="K864" s="2">
        <v>2.0</v>
      </c>
    </row>
    <row r="865" spans="1:12">
      <c r="A865" s="3" t="s">
        <v>633</v>
      </c>
      <c r="B865" s="3" t="s">
        <v>883</v>
      </c>
      <c r="C865" s="3" t="s">
        <v>886</v>
      </c>
      <c r="D865" s="3"/>
      <c r="E865" s="2" t="str">
        <f>HYPERLINK("https://old.ukr-mobil.com/steklo_displeya_apple_iphone_xs_max_s_tachskrinom_original_black_10001743", "Перейти")</f>
        <v>Перейти</v>
      </c>
      <c r="F865" s="2">
        <v>10001743</v>
      </c>
      <c r="G865" s="4" t="s">
        <v>936</v>
      </c>
      <c r="H865" s="1">
        <v>2</v>
      </c>
      <c r="I865" s="1">
        <v>1</v>
      </c>
      <c r="J865" s="1">
        <v>0</v>
      </c>
      <c r="K865" s="2">
        <v>16.0</v>
      </c>
    </row>
    <row r="866" spans="1:12">
      <c r="A866" s="3" t="s">
        <v>633</v>
      </c>
      <c r="B866" s="3" t="s">
        <v>883</v>
      </c>
      <c r="C866" s="3" t="s">
        <v>886</v>
      </c>
      <c r="D866" s="3"/>
      <c r="E866" s="2" t="str">
        <f>HYPERLINK("https://old.ukr-mobil.com/steklo_displeya_apple_iphone_xs_max_s_tachskrinom_s_plenkoj_oca_original_10002918", "Перейти")</f>
        <v>Перейти</v>
      </c>
      <c r="F866" s="2">
        <v>10002918</v>
      </c>
      <c r="G866" s="4" t="s">
        <v>937</v>
      </c>
      <c r="H866" s="1">
        <v>3</v>
      </c>
      <c r="I866" s="1">
        <v>0</v>
      </c>
      <c r="J866" s="1">
        <v>5</v>
      </c>
      <c r="K866" s="2">
        <v>15.5</v>
      </c>
    </row>
    <row r="867" spans="1:12">
      <c r="A867" s="3" t="s">
        <v>633</v>
      </c>
      <c r="B867" s="3" t="s">
        <v>883</v>
      </c>
      <c r="C867" s="3" t="s">
        <v>886</v>
      </c>
      <c r="D867" s="3"/>
      <c r="E867" s="2" t="str">
        <f>HYPERLINK("https://old.ukr-mobil.com/steklo_displeya_apple_iphone_xs_s_tachskrinom_original_black_10001744", "Перейти")</f>
        <v>Перейти</v>
      </c>
      <c r="F867" s="2">
        <v>10001744</v>
      </c>
      <c r="G867" s="4" t="s">
        <v>938</v>
      </c>
      <c r="H867" s="1">
        <v>0</v>
      </c>
      <c r="I867" s="1">
        <v>0</v>
      </c>
      <c r="J867" s="1">
        <v>0</v>
      </c>
      <c r="K867" s="2">
        <v>13.5</v>
      </c>
    </row>
    <row r="868" spans="1:12">
      <c r="A868" s="3" t="s">
        <v>633</v>
      </c>
      <c r="B868" s="3" t="s">
        <v>883</v>
      </c>
      <c r="C868" s="3" t="s">
        <v>886</v>
      </c>
      <c r="D868" s="3"/>
      <c r="E868" s="2" t="str">
        <f>HYPERLINK("https://old.ukr-mobil.com/steklo_displeya_apple_iphone_xs_s_tachskrinom_s_plenkoj_oca_original_10002418", "Перейти")</f>
        <v>Перейти</v>
      </c>
      <c r="F868" s="2">
        <v>10002418</v>
      </c>
      <c r="G868" s="4" t="s">
        <v>939</v>
      </c>
      <c r="H868" s="1">
        <v>0</v>
      </c>
      <c r="I868" s="1">
        <v>0</v>
      </c>
      <c r="J868" s="1">
        <v>1</v>
      </c>
      <c r="K868" s="2">
        <v>13.5</v>
      </c>
    </row>
    <row r="869" spans="1:12">
      <c r="A869" s="3" t="s">
        <v>633</v>
      </c>
      <c r="B869" s="3" t="s">
        <v>883</v>
      </c>
      <c r="C869" s="3" t="s">
        <v>886</v>
      </c>
      <c r="D869" s="3"/>
      <c r="E869" s="2" t="str">
        <f>HYPERLINK("https://old.ukr-mobil.com/steklo_displeya_s_ramkoj_i_plenkoj_oca_iphone_6_plus_original_white_6143", "Перейти")</f>
        <v>Перейти</v>
      </c>
      <c r="F869" s="2">
        <v>6143</v>
      </c>
      <c r="G869" s="4" t="s">
        <v>940</v>
      </c>
      <c r="H869" s="1">
        <v>5</v>
      </c>
      <c r="I869" s="1">
        <v>0</v>
      </c>
      <c r="J869" s="1">
        <v>1</v>
      </c>
      <c r="K869" s="2">
        <v>3.28</v>
      </c>
    </row>
    <row r="870" spans="1:12">
      <c r="A870" s="3" t="s">
        <v>633</v>
      </c>
      <c r="B870" s="3" t="s">
        <v>883</v>
      </c>
      <c r="C870" s="3" t="s">
        <v>886</v>
      </c>
      <c r="D870" s="3"/>
      <c r="E870" s="2" t="str">
        <f>HYPERLINK("https://old.ukr-mobil.com/steklo_displeya_s_ramkoj_i_plenkoj_oca_iphone_7_plus_original_black_8923", "Перейти")</f>
        <v>Перейти</v>
      </c>
      <c r="F870" s="2">
        <v>8923</v>
      </c>
      <c r="G870" s="4" t="s">
        <v>941</v>
      </c>
      <c r="H870" s="1">
        <v>19</v>
      </c>
      <c r="I870" s="1">
        <v>7</v>
      </c>
      <c r="J870" s="1">
        <v>13</v>
      </c>
      <c r="K870" s="2">
        <v>1.5</v>
      </c>
    </row>
    <row r="871" spans="1:12">
      <c r="A871" s="3" t="s">
        <v>633</v>
      </c>
      <c r="B871" s="3" t="s">
        <v>883</v>
      </c>
      <c r="C871" s="3" t="s">
        <v>886</v>
      </c>
      <c r="D871" s="3"/>
      <c r="E871" s="2" t="str">
        <f>HYPERLINK("https://old.ukr-mobil.com/steklo_displeya_s_ramkoj_i_plenkoj_oca_iphone_7_plus_original_white_8924", "Перейти")</f>
        <v>Перейти</v>
      </c>
      <c r="F871" s="2">
        <v>8924</v>
      </c>
      <c r="G871" s="4" t="s">
        <v>942</v>
      </c>
      <c r="H871" s="1">
        <v>40</v>
      </c>
      <c r="I871" s="1">
        <v>9</v>
      </c>
      <c r="J871" s="1">
        <v>5</v>
      </c>
      <c r="K871" s="2">
        <v>1.5</v>
      </c>
    </row>
    <row r="872" spans="1:12">
      <c r="A872" s="3" t="s">
        <v>633</v>
      </c>
      <c r="B872" s="3" t="s">
        <v>883</v>
      </c>
      <c r="C872" s="3" t="s">
        <v>886</v>
      </c>
      <c r="D872" s="3"/>
      <c r="E872" s="2" t="str">
        <f>HYPERLINK("https://old.ukr-mobil.com/steklo_displeya_s_ramkoj_i_plenkoj_oca_iphone_7_original_white_9237", "Перейти")</f>
        <v>Перейти</v>
      </c>
      <c r="F872" s="2">
        <v>9237</v>
      </c>
      <c r="G872" s="4" t="s">
        <v>943</v>
      </c>
      <c r="H872" s="1">
        <v>14</v>
      </c>
      <c r="I872" s="1">
        <v>5</v>
      </c>
      <c r="J872" s="1">
        <v>4</v>
      </c>
      <c r="K872" s="2">
        <v>1.5</v>
      </c>
    </row>
    <row r="873" spans="1:12">
      <c r="A873" s="3" t="s">
        <v>633</v>
      </c>
      <c r="B873" s="3" t="s">
        <v>883</v>
      </c>
      <c r="C873" s="3" t="s">
        <v>886</v>
      </c>
      <c r="D873" s="3"/>
      <c r="E873" s="2" t="str">
        <f>HYPERLINK("https://old.ukr-mobil.com/steklo_displeya_s_ramkoj_i_plenkoj_oca_iphone_8_plus_original_black_11210", "Перейти")</f>
        <v>Перейти</v>
      </c>
      <c r="F873" s="2">
        <v>11210</v>
      </c>
      <c r="G873" s="4" t="s">
        <v>944</v>
      </c>
      <c r="H873" s="1">
        <v>25</v>
      </c>
      <c r="I873" s="1">
        <v>5</v>
      </c>
      <c r="J873" s="1">
        <v>3</v>
      </c>
      <c r="K873" s="2">
        <v>1.5</v>
      </c>
    </row>
    <row r="874" spans="1:12">
      <c r="A874" s="3" t="s">
        <v>633</v>
      </c>
      <c r="B874" s="3" t="s">
        <v>883</v>
      </c>
      <c r="C874" s="3" t="s">
        <v>886</v>
      </c>
      <c r="D874" s="3"/>
      <c r="E874" s="2" t="str">
        <f>HYPERLINK("https://old.ukr-mobil.com/steklo_displeya_s_ramkoj_i_plenkoj_oca_iphone_8_plus_original_white_11211", "Перейти")</f>
        <v>Перейти</v>
      </c>
      <c r="F874" s="2">
        <v>11211</v>
      </c>
      <c r="G874" s="4" t="s">
        <v>945</v>
      </c>
      <c r="H874" s="1">
        <v>19</v>
      </c>
      <c r="I874" s="1">
        <v>3</v>
      </c>
      <c r="J874" s="1">
        <v>6</v>
      </c>
      <c r="K874" s="2">
        <v>1.5</v>
      </c>
    </row>
    <row r="875" spans="1:12">
      <c r="A875" s="3" t="s">
        <v>633</v>
      </c>
      <c r="B875" s="3" t="s">
        <v>883</v>
      </c>
      <c r="C875" s="3" t="s">
        <v>886</v>
      </c>
      <c r="D875" s="3"/>
      <c r="E875" s="2" t="str">
        <f>HYPERLINK("https://old.ukr-mobil.com/steklo_displeya_s_ramkoj_i_plenkoj_oca_iphone_8_original_white_11213", "Перейти")</f>
        <v>Перейти</v>
      </c>
      <c r="F875" s="2">
        <v>11213</v>
      </c>
      <c r="G875" s="4" t="s">
        <v>946</v>
      </c>
      <c r="H875" s="1">
        <v>36</v>
      </c>
      <c r="I875" s="1">
        <v>12</v>
      </c>
      <c r="J875" s="1">
        <v>16</v>
      </c>
      <c r="K875" s="2">
        <v>1.5</v>
      </c>
    </row>
    <row r="876" spans="1:12">
      <c r="A876" s="3" t="s">
        <v>633</v>
      </c>
      <c r="B876" s="3" t="s">
        <v>883</v>
      </c>
      <c r="C876" s="3" t="s">
        <v>947</v>
      </c>
      <c r="D876" s="3"/>
      <c r="E876" s="2" t="str">
        <f>HYPERLINK("https://old.ukr-mobil.com/steklo_displeya_apple_watch_series_7_41_mm_original_prc_10002464", "Перейти")</f>
        <v>Перейти</v>
      </c>
      <c r="F876" s="2">
        <v>10002464</v>
      </c>
      <c r="G876" s="4" t="s">
        <v>948</v>
      </c>
      <c r="H876" s="1">
        <v>11</v>
      </c>
      <c r="I876" s="1">
        <v>5</v>
      </c>
      <c r="J876" s="1">
        <v>4</v>
      </c>
      <c r="K876" s="2">
        <v>9.0</v>
      </c>
    </row>
    <row r="877" spans="1:12">
      <c r="A877" s="3" t="s">
        <v>633</v>
      </c>
      <c r="B877" s="3" t="s">
        <v>883</v>
      </c>
      <c r="C877" s="3" t="s">
        <v>947</v>
      </c>
      <c r="D877" s="3"/>
      <c r="E877" s="2" t="str">
        <f>HYPERLINK("https://old.ukr-mobil.com/steklo_displeya_apple_watch_series_7_45_mm_original_prc_10002465", "Перейти")</f>
        <v>Перейти</v>
      </c>
      <c r="F877" s="2">
        <v>10002465</v>
      </c>
      <c r="G877" s="4" t="s">
        <v>949</v>
      </c>
      <c r="H877" s="1">
        <v>9</v>
      </c>
      <c r="I877" s="1">
        <v>7</v>
      </c>
      <c r="J877" s="1">
        <v>4</v>
      </c>
      <c r="K877" s="2">
        <v>9.0</v>
      </c>
    </row>
    <row r="878" spans="1:12">
      <c r="A878" s="3" t="s">
        <v>633</v>
      </c>
      <c r="B878" s="3" t="s">
        <v>883</v>
      </c>
      <c r="C878" s="3" t="s">
        <v>950</v>
      </c>
      <c r="D878" s="3"/>
      <c r="E878" s="2" t="str">
        <f>HYPERLINK("https://old.ukr-mobil.com/steklo_displeya_asus_zenfone_max_pro_m2_zb631kl_black_11824", "Перейти")</f>
        <v>Перейти</v>
      </c>
      <c r="F878" s="2">
        <v>11824</v>
      </c>
      <c r="G878" s="4" t="s">
        <v>951</v>
      </c>
      <c r="H878" s="1">
        <v>0</v>
      </c>
      <c r="I878" s="1">
        <v>9</v>
      </c>
      <c r="J878" s="1">
        <v>1</v>
      </c>
      <c r="K878" s="2">
        <v>2.0</v>
      </c>
    </row>
    <row r="879" spans="1:12">
      <c r="A879" s="3" t="s">
        <v>633</v>
      </c>
      <c r="B879" s="3" t="s">
        <v>883</v>
      </c>
      <c r="C879" s="3" t="s">
        <v>952</v>
      </c>
      <c r="D879" s="3"/>
      <c r="E879" s="2" t="str">
        <f>HYPERLINK("https://old.ukr-mobil.com/steklo_displeya_google_pixel_2_xl_original_black_10001261", "Перейти")</f>
        <v>Перейти</v>
      </c>
      <c r="F879" s="2">
        <v>10001261</v>
      </c>
      <c r="G879" s="4" t="s">
        <v>953</v>
      </c>
      <c r="H879" s="1">
        <v>10</v>
      </c>
      <c r="I879" s="1">
        <v>4</v>
      </c>
      <c r="J879" s="1">
        <v>0</v>
      </c>
      <c r="K879" s="2">
        <v>3.5</v>
      </c>
    </row>
    <row r="880" spans="1:12">
      <c r="A880" s="3" t="s">
        <v>633</v>
      </c>
      <c r="B880" s="3" t="s">
        <v>883</v>
      </c>
      <c r="C880" s="3" t="s">
        <v>952</v>
      </c>
      <c r="D880" s="3"/>
      <c r="E880" s="2" t="str">
        <f>HYPERLINK("https://old.ukr-mobil.com/steklo_displeya_google_pixel_2_black_10000581", "Перейти")</f>
        <v>Перейти</v>
      </c>
      <c r="F880" s="2">
        <v>10000581</v>
      </c>
      <c r="G880" s="4" t="s">
        <v>954</v>
      </c>
      <c r="H880" s="1">
        <v>1</v>
      </c>
      <c r="I880" s="1">
        <v>0</v>
      </c>
      <c r="J880" s="1">
        <v>0</v>
      </c>
      <c r="K880" s="2">
        <v>2.0</v>
      </c>
    </row>
    <row r="881" spans="1:12">
      <c r="A881" s="3" t="s">
        <v>633</v>
      </c>
      <c r="B881" s="3" t="s">
        <v>883</v>
      </c>
      <c r="C881" s="3" t="s">
        <v>952</v>
      </c>
      <c r="D881" s="3"/>
      <c r="E881" s="2" t="str">
        <f>HYPERLINK("https://old.ukr-mobil.com/steklo_displeya_google_pixel_3_xl_black_10000453", "Перейти")</f>
        <v>Перейти</v>
      </c>
      <c r="F881" s="2">
        <v>10000453</v>
      </c>
      <c r="G881" s="4" t="s">
        <v>955</v>
      </c>
      <c r="H881" s="1">
        <v>9</v>
      </c>
      <c r="I881" s="1">
        <v>7</v>
      </c>
      <c r="J881" s="1">
        <v>2</v>
      </c>
      <c r="K881" s="2">
        <v>2.25</v>
      </c>
    </row>
    <row r="882" spans="1:12">
      <c r="A882" s="3" t="s">
        <v>633</v>
      </c>
      <c r="B882" s="3" t="s">
        <v>883</v>
      </c>
      <c r="C882" s="3" t="s">
        <v>952</v>
      </c>
      <c r="D882" s="3"/>
      <c r="E882" s="2" t="str">
        <f>HYPERLINK("https://old.ukr-mobil.com/steklo_displeya_google_pixel_3_black_10000451", "Перейти")</f>
        <v>Перейти</v>
      </c>
      <c r="F882" s="2">
        <v>10000451</v>
      </c>
      <c r="G882" s="4" t="s">
        <v>956</v>
      </c>
      <c r="H882" s="1">
        <v>1</v>
      </c>
      <c r="I882" s="1">
        <v>0</v>
      </c>
      <c r="J882" s="1">
        <v>0</v>
      </c>
      <c r="K882" s="2">
        <v>2.25</v>
      </c>
    </row>
    <row r="883" spans="1:12">
      <c r="A883" s="3" t="s">
        <v>633</v>
      </c>
      <c r="B883" s="3" t="s">
        <v>883</v>
      </c>
      <c r="C883" s="3" t="s">
        <v>952</v>
      </c>
      <c r="D883" s="3"/>
      <c r="E883" s="2" t="str">
        <f>HYPERLINK("https://old.ukr-mobil.com/steklo_displeya_google_pixel_3a_xl_s_oca_plenkoj_original_10002888", "Перейти")</f>
        <v>Перейти</v>
      </c>
      <c r="F883" s="2">
        <v>10002888</v>
      </c>
      <c r="G883" s="4" t="s">
        <v>957</v>
      </c>
      <c r="H883" s="1">
        <v>3</v>
      </c>
      <c r="I883" s="1">
        <v>9</v>
      </c>
      <c r="J883" s="1">
        <v>7</v>
      </c>
      <c r="K883" s="2">
        <v>2.5</v>
      </c>
    </row>
    <row r="884" spans="1:12">
      <c r="A884" s="3" t="s">
        <v>633</v>
      </c>
      <c r="B884" s="3" t="s">
        <v>883</v>
      </c>
      <c r="C884" s="3" t="s">
        <v>952</v>
      </c>
      <c r="D884" s="3"/>
      <c r="E884" s="2" t="str">
        <f>HYPERLINK("https://old.ukr-mobil.com/steklo_displeya_google_pixel_3a_original_black_10001265", "Перейти")</f>
        <v>Перейти</v>
      </c>
      <c r="F884" s="2">
        <v>10001265</v>
      </c>
      <c r="G884" s="4" t="s">
        <v>958</v>
      </c>
      <c r="H884" s="1">
        <v>1</v>
      </c>
      <c r="I884" s="1">
        <v>0</v>
      </c>
      <c r="J884" s="1">
        <v>0</v>
      </c>
      <c r="K884" s="2">
        <v>2.5</v>
      </c>
    </row>
    <row r="885" spans="1:12">
      <c r="A885" s="3" t="s">
        <v>633</v>
      </c>
      <c r="B885" s="3" t="s">
        <v>883</v>
      </c>
      <c r="C885" s="3" t="s">
        <v>952</v>
      </c>
      <c r="D885" s="3"/>
      <c r="E885" s="2" t="str">
        <f>HYPERLINK("https://old.ukr-mobil.com/steklo_displeya_google_pixel_3a_original_black_10002521", "Перейти")</f>
        <v>Перейти</v>
      </c>
      <c r="F885" s="2">
        <v>10002521</v>
      </c>
      <c r="G885" s="4" t="s">
        <v>959</v>
      </c>
      <c r="H885" s="1">
        <v>0</v>
      </c>
      <c r="I885" s="1">
        <v>0</v>
      </c>
      <c r="J885" s="1">
        <v>1</v>
      </c>
      <c r="K885" s="2">
        <v>2.5</v>
      </c>
    </row>
    <row r="886" spans="1:12">
      <c r="A886" s="3" t="s">
        <v>633</v>
      </c>
      <c r="B886" s="3" t="s">
        <v>883</v>
      </c>
      <c r="C886" s="3" t="s">
        <v>952</v>
      </c>
      <c r="D886" s="3"/>
      <c r="E886" s="2" t="str">
        <f>HYPERLINK("https://old.ukr-mobil.com/steklo_displeya_google_pixel_3a_s_oca_plenkoj_original_10002887", "Перейти")</f>
        <v>Перейти</v>
      </c>
      <c r="F886" s="2">
        <v>10002887</v>
      </c>
      <c r="G886" s="4" t="s">
        <v>960</v>
      </c>
      <c r="H886" s="1">
        <v>0</v>
      </c>
      <c r="I886" s="1">
        <v>0</v>
      </c>
      <c r="J886" s="1">
        <v>0</v>
      </c>
      <c r="K886" s="2">
        <v>2.95</v>
      </c>
    </row>
    <row r="887" spans="1:12">
      <c r="A887" s="3" t="s">
        <v>633</v>
      </c>
      <c r="B887" s="3" t="s">
        <v>883</v>
      </c>
      <c r="C887" s="3" t="s">
        <v>952</v>
      </c>
      <c r="D887" s="3"/>
      <c r="E887" s="2" t="str">
        <f>HYPERLINK("https://old.ukr-mobil.com/steklo_displeya_google_pixel_4_original_black_10001263", "Перейти")</f>
        <v>Перейти</v>
      </c>
      <c r="F887" s="2">
        <v>10001263</v>
      </c>
      <c r="G887" s="4" t="s">
        <v>961</v>
      </c>
      <c r="H887" s="1">
        <v>5</v>
      </c>
      <c r="I887" s="1">
        <v>1</v>
      </c>
      <c r="J887" s="1">
        <v>1</v>
      </c>
      <c r="K887" s="2">
        <v>2.25</v>
      </c>
    </row>
    <row r="888" spans="1:12">
      <c r="A888" s="3" t="s">
        <v>633</v>
      </c>
      <c r="B888" s="3" t="s">
        <v>883</v>
      </c>
      <c r="C888" s="3" t="s">
        <v>952</v>
      </c>
      <c r="D888" s="3"/>
      <c r="E888" s="2" t="str">
        <f>HYPERLINK("https://old.ukr-mobil.com/steklo_displeya_google_pixel_4_s_oca_plenkoj_original_10002889", "Перейти")</f>
        <v>Перейти</v>
      </c>
      <c r="F888" s="2">
        <v>10002889</v>
      </c>
      <c r="G888" s="4" t="s">
        <v>962</v>
      </c>
      <c r="H888" s="1">
        <v>0</v>
      </c>
      <c r="I888" s="1">
        <v>0</v>
      </c>
      <c r="J888" s="1">
        <v>4</v>
      </c>
      <c r="K888" s="2">
        <v>2.5</v>
      </c>
    </row>
    <row r="889" spans="1:12">
      <c r="A889" s="3" t="s">
        <v>633</v>
      </c>
      <c r="B889" s="3" t="s">
        <v>883</v>
      </c>
      <c r="C889" s="3" t="s">
        <v>952</v>
      </c>
      <c r="D889" s="3"/>
      <c r="E889" s="2" t="str">
        <f>HYPERLINK("https://old.ukr-mobil.com/steklo_displeya_google_pixel_4a_original_black_10001264", "Перейти")</f>
        <v>Перейти</v>
      </c>
      <c r="F889" s="2">
        <v>10001264</v>
      </c>
      <c r="G889" s="4" t="s">
        <v>963</v>
      </c>
      <c r="H889" s="1">
        <v>17</v>
      </c>
      <c r="I889" s="1">
        <v>13</v>
      </c>
      <c r="J889" s="1">
        <v>3</v>
      </c>
      <c r="K889" s="2">
        <v>2.25</v>
      </c>
    </row>
    <row r="890" spans="1:12">
      <c r="A890" s="3" t="s">
        <v>633</v>
      </c>
      <c r="B890" s="3" t="s">
        <v>883</v>
      </c>
      <c r="C890" s="3" t="s">
        <v>952</v>
      </c>
      <c r="D890" s="3"/>
      <c r="E890" s="2" t="str">
        <f>HYPERLINK("https://old.ukr-mobil.com/steklo_displeya_google_pixel_4a_5g_black_10002444", "Перейти")</f>
        <v>Перейти</v>
      </c>
      <c r="F890" s="2">
        <v>10002444</v>
      </c>
      <c r="G890" s="4" t="s">
        <v>964</v>
      </c>
      <c r="H890" s="1">
        <v>0</v>
      </c>
      <c r="I890" s="1">
        <v>2</v>
      </c>
      <c r="J890" s="1">
        <v>1</v>
      </c>
      <c r="K890" s="2">
        <v>2.0</v>
      </c>
    </row>
    <row r="891" spans="1:12">
      <c r="A891" s="3" t="s">
        <v>633</v>
      </c>
      <c r="B891" s="3" t="s">
        <v>883</v>
      </c>
      <c r="C891" s="3" t="s">
        <v>952</v>
      </c>
      <c r="D891" s="3"/>
      <c r="E891" s="2" t="str">
        <f>HYPERLINK("https://old.ukr-mobil.com/steklo_displeya_google_pixel_4a_5g_original_black_10002523", "Перейти")</f>
        <v>Перейти</v>
      </c>
      <c r="F891" s="2">
        <v>10002523</v>
      </c>
      <c r="G891" s="4" t="s">
        <v>965</v>
      </c>
      <c r="H891" s="1">
        <v>1</v>
      </c>
      <c r="I891" s="1">
        <v>0</v>
      </c>
      <c r="J891" s="1">
        <v>8</v>
      </c>
      <c r="K891" s="2">
        <v>2.25</v>
      </c>
    </row>
    <row r="892" spans="1:12">
      <c r="A892" s="3" t="s">
        <v>633</v>
      </c>
      <c r="B892" s="3" t="s">
        <v>883</v>
      </c>
      <c r="C892" s="3" t="s">
        <v>952</v>
      </c>
      <c r="D892" s="3"/>
      <c r="E892" s="2" t="str">
        <f>HYPERLINK("https://old.ukr-mobil.com/steklo_displeya_google_pixel_4a_5g_s_oca_plenkoj_original_10002891", "Перейти")</f>
        <v>Перейти</v>
      </c>
      <c r="F892" s="2">
        <v>10002891</v>
      </c>
      <c r="G892" s="4" t="s">
        <v>966</v>
      </c>
      <c r="H892" s="1">
        <v>0</v>
      </c>
      <c r="I892" s="1">
        <v>0</v>
      </c>
      <c r="J892" s="1">
        <v>0</v>
      </c>
      <c r="K892" s="2">
        <v>2.5</v>
      </c>
    </row>
    <row r="893" spans="1:12">
      <c r="A893" s="3" t="s">
        <v>633</v>
      </c>
      <c r="B893" s="3" t="s">
        <v>883</v>
      </c>
      <c r="C893" s="3" t="s">
        <v>952</v>
      </c>
      <c r="D893" s="3"/>
      <c r="E893" s="2" t="str">
        <f>HYPERLINK("https://old.ukr-mobil.com/steklo_displeya_google_pixel_4a_original_black_10002522", "Перейти")</f>
        <v>Перейти</v>
      </c>
      <c r="F893" s="2">
        <v>10002522</v>
      </c>
      <c r="G893" s="4" t="s">
        <v>967</v>
      </c>
      <c r="H893" s="1">
        <v>16</v>
      </c>
      <c r="I893" s="1">
        <v>3</v>
      </c>
      <c r="J893" s="1">
        <v>9</v>
      </c>
      <c r="K893" s="2">
        <v>2.25</v>
      </c>
    </row>
    <row r="894" spans="1:12">
      <c r="A894" s="3" t="s">
        <v>633</v>
      </c>
      <c r="B894" s="3" t="s">
        <v>883</v>
      </c>
      <c r="C894" s="3" t="s">
        <v>952</v>
      </c>
      <c r="D894" s="3"/>
      <c r="E894" s="2" t="str">
        <f>HYPERLINK("https://old.ukr-mobil.com/steklo_displeya_google_pixel_4a_s_oca_plenkoj_original_10002890", "Перейти")</f>
        <v>Перейти</v>
      </c>
      <c r="F894" s="2">
        <v>10002890</v>
      </c>
      <c r="G894" s="4" t="s">
        <v>968</v>
      </c>
      <c r="H894" s="1">
        <v>0</v>
      </c>
      <c r="I894" s="1">
        <v>0</v>
      </c>
      <c r="J894" s="1">
        <v>0</v>
      </c>
      <c r="K894" s="2">
        <v>2.5</v>
      </c>
    </row>
    <row r="895" spans="1:12">
      <c r="A895" s="3" t="s">
        <v>633</v>
      </c>
      <c r="B895" s="3" t="s">
        <v>883</v>
      </c>
      <c r="C895" s="3" t="s">
        <v>952</v>
      </c>
      <c r="D895" s="3"/>
      <c r="E895" s="2" t="str">
        <f>HYPERLINK("https://old.ukr-mobil.com/steklo_displeya_google_pixel_5_original_black_10001623", "Перейти")</f>
        <v>Перейти</v>
      </c>
      <c r="F895" s="2">
        <v>10001623</v>
      </c>
      <c r="G895" s="4" t="s">
        <v>969</v>
      </c>
      <c r="H895" s="1">
        <v>1</v>
      </c>
      <c r="I895" s="1">
        <v>0</v>
      </c>
      <c r="J895" s="1">
        <v>2</v>
      </c>
      <c r="K895" s="2">
        <v>1.75</v>
      </c>
    </row>
    <row r="896" spans="1:12">
      <c r="A896" s="3" t="s">
        <v>633</v>
      </c>
      <c r="B896" s="3" t="s">
        <v>883</v>
      </c>
      <c r="C896" s="3" t="s">
        <v>952</v>
      </c>
      <c r="D896" s="3"/>
      <c r="E896" s="2" t="str">
        <f>HYPERLINK("https://old.ukr-mobil.com/steklo_displeya_google_pixel_5_original_black_10002524", "Перейти")</f>
        <v>Перейти</v>
      </c>
      <c r="F896" s="2">
        <v>10002524</v>
      </c>
      <c r="G896" s="4" t="s">
        <v>970</v>
      </c>
      <c r="H896" s="1">
        <v>4</v>
      </c>
      <c r="I896" s="1">
        <v>8</v>
      </c>
      <c r="J896" s="1">
        <v>4</v>
      </c>
      <c r="K896" s="2">
        <v>2.25</v>
      </c>
    </row>
    <row r="897" spans="1:12">
      <c r="A897" s="3" t="s">
        <v>633</v>
      </c>
      <c r="B897" s="3" t="s">
        <v>883</v>
      </c>
      <c r="C897" s="3" t="s">
        <v>952</v>
      </c>
      <c r="D897" s="3"/>
      <c r="E897" s="2" t="str">
        <f>HYPERLINK("https://old.ukr-mobil.com/steklo_displeya_google_pixel_5_s_oca_plenkoj_original_10002892", "Перейти")</f>
        <v>Перейти</v>
      </c>
      <c r="F897" s="2">
        <v>10002892</v>
      </c>
      <c r="G897" s="4" t="s">
        <v>971</v>
      </c>
      <c r="H897" s="1">
        <v>0</v>
      </c>
      <c r="I897" s="1">
        <v>0</v>
      </c>
      <c r="J897" s="1">
        <v>0</v>
      </c>
      <c r="K897" s="2">
        <v>2.5</v>
      </c>
    </row>
    <row r="898" spans="1:12">
      <c r="A898" s="3" t="s">
        <v>633</v>
      </c>
      <c r="B898" s="3" t="s">
        <v>883</v>
      </c>
      <c r="C898" s="3" t="s">
        <v>952</v>
      </c>
      <c r="D898" s="3"/>
      <c r="E898" s="2" t="str">
        <f>HYPERLINK("https://old.ukr-mobil.com/steklo_displeya_google_pixel_5a_original_black_10002525", "Перейти")</f>
        <v>Перейти</v>
      </c>
      <c r="F898" s="2">
        <v>10002525</v>
      </c>
      <c r="G898" s="4" t="s">
        <v>972</v>
      </c>
      <c r="H898" s="1">
        <v>8</v>
      </c>
      <c r="I898" s="1">
        <v>0</v>
      </c>
      <c r="J898" s="1">
        <v>1</v>
      </c>
      <c r="K898" s="2">
        <v>2.25</v>
      </c>
    </row>
    <row r="899" spans="1:12">
      <c r="A899" s="3" t="s">
        <v>633</v>
      </c>
      <c r="B899" s="3" t="s">
        <v>883</v>
      </c>
      <c r="C899" s="3" t="s">
        <v>952</v>
      </c>
      <c r="D899" s="3"/>
      <c r="E899" s="2" t="str">
        <f>HYPERLINK("https://old.ukr-mobil.com/steklo_displeya_google_pixel_5a_s_oca_plenkoj_original_10002893", "Перейти")</f>
        <v>Перейти</v>
      </c>
      <c r="F899" s="2">
        <v>10002893</v>
      </c>
      <c r="G899" s="4" t="s">
        <v>973</v>
      </c>
      <c r="H899" s="1">
        <v>0</v>
      </c>
      <c r="I899" s="1">
        <v>0</v>
      </c>
      <c r="J899" s="1">
        <v>0</v>
      </c>
      <c r="K899" s="2">
        <v>2.75</v>
      </c>
    </row>
    <row r="900" spans="1:12">
      <c r="A900" s="3" t="s">
        <v>633</v>
      </c>
      <c r="B900" s="3" t="s">
        <v>883</v>
      </c>
      <c r="C900" s="3" t="s">
        <v>952</v>
      </c>
      <c r="D900" s="3"/>
      <c r="E900" s="2" t="str">
        <f>HYPERLINK("https://old.ukr-mobil.com/steklo_displeya_google_pixel_6_black_10002442", "Перейти")</f>
        <v>Перейти</v>
      </c>
      <c r="F900" s="2">
        <v>10002442</v>
      </c>
      <c r="G900" s="4" t="s">
        <v>974</v>
      </c>
      <c r="H900" s="1">
        <v>5</v>
      </c>
      <c r="I900" s="1">
        <v>10</v>
      </c>
      <c r="J900" s="1">
        <v>1</v>
      </c>
      <c r="K900" s="2">
        <v>2.5</v>
      </c>
    </row>
    <row r="901" spans="1:12">
      <c r="A901" s="3" t="s">
        <v>633</v>
      </c>
      <c r="B901" s="3" t="s">
        <v>883</v>
      </c>
      <c r="C901" s="3" t="s">
        <v>952</v>
      </c>
      <c r="D901" s="3"/>
      <c r="E901" s="2" t="str">
        <f>HYPERLINK("https://old.ukr-mobil.com/steklo_displeya_google_pixel_6_pro_original_black_10002443", "Перейти")</f>
        <v>Перейти</v>
      </c>
      <c r="F901" s="2">
        <v>10002443</v>
      </c>
      <c r="G901" s="4" t="s">
        <v>975</v>
      </c>
      <c r="H901" s="1">
        <v>1</v>
      </c>
      <c r="I901" s="1">
        <v>0</v>
      </c>
      <c r="J901" s="1">
        <v>0</v>
      </c>
      <c r="K901" s="2">
        <v>13.5</v>
      </c>
    </row>
    <row r="902" spans="1:12">
      <c r="A902" s="3" t="s">
        <v>633</v>
      </c>
      <c r="B902" s="3" t="s">
        <v>883</v>
      </c>
      <c r="C902" s="3" t="s">
        <v>952</v>
      </c>
      <c r="D902" s="3"/>
      <c r="E902" s="2" t="str">
        <f>HYPERLINK("https://old.ukr-mobil.com/steklo_displeya_google_pixel_6_s_oca_plenkoj_original_10002894", "Перейти")</f>
        <v>Перейти</v>
      </c>
      <c r="F902" s="2">
        <v>10002894</v>
      </c>
      <c r="G902" s="4" t="s">
        <v>976</v>
      </c>
      <c r="H902" s="1">
        <v>0</v>
      </c>
      <c r="I902" s="1">
        <v>0</v>
      </c>
      <c r="J902" s="1">
        <v>1</v>
      </c>
      <c r="K902" s="2">
        <v>2.75</v>
      </c>
    </row>
    <row r="903" spans="1:12">
      <c r="A903" s="3" t="s">
        <v>633</v>
      </c>
      <c r="B903" s="3" t="s">
        <v>883</v>
      </c>
      <c r="C903" s="3" t="s">
        <v>952</v>
      </c>
      <c r="D903" s="3"/>
      <c r="E903" s="2" t="str">
        <f>HYPERLINK("https://old.ukr-mobil.com/steklo_displeya_google_pixel_6a_s_oca_plenkoj_original_10003323", "Перейти")</f>
        <v>Перейти</v>
      </c>
      <c r="F903" s="2">
        <v>10003323</v>
      </c>
      <c r="G903" s="4" t="s">
        <v>977</v>
      </c>
      <c r="H903" s="1">
        <v>0</v>
      </c>
      <c r="I903" s="1">
        <v>0</v>
      </c>
      <c r="J903" s="1">
        <v>0</v>
      </c>
      <c r="K903" s="2">
        <v>6.0</v>
      </c>
    </row>
    <row r="904" spans="1:12">
      <c r="A904" s="3" t="s">
        <v>633</v>
      </c>
      <c r="B904" s="3" t="s">
        <v>883</v>
      </c>
      <c r="C904" s="3" t="s">
        <v>952</v>
      </c>
      <c r="D904" s="3"/>
      <c r="E904" s="2" t="str">
        <f>HYPERLINK("https://old.ukr-mobil.com/steklo_displeya_google_pixel_7_pro_s_oca_plenkoj_original_10003325", "Перейти")</f>
        <v>Перейти</v>
      </c>
      <c r="F904" s="2">
        <v>10003325</v>
      </c>
      <c r="G904" s="4" t="s">
        <v>978</v>
      </c>
      <c r="H904" s="1">
        <v>0</v>
      </c>
      <c r="I904" s="1">
        <v>1</v>
      </c>
      <c r="J904" s="1">
        <v>2</v>
      </c>
      <c r="K904" s="2">
        <v>10.0</v>
      </c>
    </row>
    <row r="905" spans="1:12">
      <c r="A905" s="3" t="s">
        <v>633</v>
      </c>
      <c r="B905" s="3" t="s">
        <v>883</v>
      </c>
      <c r="C905" s="3" t="s">
        <v>952</v>
      </c>
      <c r="D905" s="3"/>
      <c r="E905" s="2" t="str">
        <f>HYPERLINK("https://old.ukr-mobil.com/steklo_displeya_google_pixel_7_s_oca_plenkoj_original_10003324", "Перейти")</f>
        <v>Перейти</v>
      </c>
      <c r="F905" s="2">
        <v>10003324</v>
      </c>
      <c r="G905" s="4" t="s">
        <v>979</v>
      </c>
      <c r="H905" s="1">
        <v>0</v>
      </c>
      <c r="I905" s="1">
        <v>0</v>
      </c>
      <c r="J905" s="1">
        <v>0</v>
      </c>
      <c r="K905" s="2">
        <v>3.0</v>
      </c>
    </row>
    <row r="906" spans="1:12">
      <c r="A906" s="3" t="s">
        <v>633</v>
      </c>
      <c r="B906" s="3" t="s">
        <v>883</v>
      </c>
      <c r="C906" s="3" t="s">
        <v>640</v>
      </c>
      <c r="D906" s="3"/>
      <c r="E906" s="2" t="str">
        <f>HYPERLINK("https://old.ukr-mobil.com/steklo_displeya_huawei_honor_10_lite_hry-lx1_hry-lx2_honor_10i_hry-lx1t_s_oca_plenkoj_original_10002830", "Перейти")</f>
        <v>Перейти</v>
      </c>
      <c r="F906" s="2">
        <v>10002830</v>
      </c>
      <c r="G906" s="4" t="s">
        <v>980</v>
      </c>
      <c r="H906" s="1">
        <v>19</v>
      </c>
      <c r="I906" s="1">
        <v>4</v>
      </c>
      <c r="J906" s="1">
        <v>4</v>
      </c>
      <c r="K906" s="2">
        <v>2.5</v>
      </c>
    </row>
    <row r="907" spans="1:12">
      <c r="A907" s="3" t="s">
        <v>633</v>
      </c>
      <c r="B907" s="3" t="s">
        <v>883</v>
      </c>
      <c r="C907" s="3" t="s">
        <v>640</v>
      </c>
      <c r="D907" s="3"/>
      <c r="E907" s="2" t="str">
        <f>HYPERLINK("https://old.ukr-mobil.com/steklo_displeya_huawei_honor_20_yal-l21_honor_20_pro_nova_5t_original_black_10001523", "Перейти")</f>
        <v>Перейти</v>
      </c>
      <c r="F907" s="2">
        <v>10001523</v>
      </c>
      <c r="G907" s="4" t="s">
        <v>981</v>
      </c>
      <c r="H907" s="1">
        <v>12</v>
      </c>
      <c r="I907" s="1">
        <v>0</v>
      </c>
      <c r="J907" s="1">
        <v>1</v>
      </c>
      <c r="K907" s="2">
        <v>1.75</v>
      </c>
    </row>
    <row r="908" spans="1:12">
      <c r="A908" s="3" t="s">
        <v>633</v>
      </c>
      <c r="B908" s="3" t="s">
        <v>883</v>
      </c>
      <c r="C908" s="3" t="s">
        <v>640</v>
      </c>
      <c r="D908" s="3"/>
      <c r="E908" s="2" t="str">
        <f>HYPERLINK("https://old.ukr-mobil.com/steklo_displeya_huawei_honor_20_yal-l21_honor_20_pro_nova_5t_s_oca_plenkoj_original_10002831", "Перейти")</f>
        <v>Перейти</v>
      </c>
      <c r="F908" s="2">
        <v>10002831</v>
      </c>
      <c r="G908" s="4" t="s">
        <v>982</v>
      </c>
      <c r="H908" s="1">
        <v>0</v>
      </c>
      <c r="I908" s="1">
        <v>0</v>
      </c>
      <c r="J908" s="1">
        <v>0</v>
      </c>
      <c r="K908" s="2">
        <v>3.0</v>
      </c>
    </row>
    <row r="909" spans="1:12">
      <c r="A909" s="3" t="s">
        <v>633</v>
      </c>
      <c r="B909" s="3" t="s">
        <v>883</v>
      </c>
      <c r="C909" s="3" t="s">
        <v>640</v>
      </c>
      <c r="D909" s="3"/>
      <c r="E909" s="2" t="str">
        <f>HYPERLINK("https://old.ukr-mobil.com/steklo_displeya_huawei_honor_50_pro_s_oca_plenkoj_original_10002900", "Перейти")</f>
        <v>Перейти</v>
      </c>
      <c r="F909" s="2">
        <v>10002900</v>
      </c>
      <c r="G909" s="4" t="s">
        <v>983</v>
      </c>
      <c r="H909" s="1">
        <v>6</v>
      </c>
      <c r="I909" s="1">
        <v>2</v>
      </c>
      <c r="J909" s="1">
        <v>2</v>
      </c>
      <c r="K909" s="2">
        <v>12.0</v>
      </c>
    </row>
    <row r="910" spans="1:12">
      <c r="A910" s="3" t="s">
        <v>633</v>
      </c>
      <c r="B910" s="3" t="s">
        <v>883</v>
      </c>
      <c r="C910" s="3" t="s">
        <v>640</v>
      </c>
      <c r="D910" s="3"/>
      <c r="E910" s="2" t="str">
        <f>HYPERLINK("https://old.ukr-mobil.com/steklo_displeya_huawei_honor_50_s_oca_plenkoj_original_10002899", "Перейти")</f>
        <v>Перейти</v>
      </c>
      <c r="F910" s="2">
        <v>10002899</v>
      </c>
      <c r="G910" s="4" t="s">
        <v>984</v>
      </c>
      <c r="H910" s="1">
        <v>5</v>
      </c>
      <c r="I910" s="1">
        <v>2</v>
      </c>
      <c r="J910" s="1">
        <v>2</v>
      </c>
      <c r="K910" s="2">
        <v>11.0</v>
      </c>
    </row>
    <row r="911" spans="1:12">
      <c r="A911" s="3" t="s">
        <v>633</v>
      </c>
      <c r="B911" s="3" t="s">
        <v>883</v>
      </c>
      <c r="C911" s="3" t="s">
        <v>640</v>
      </c>
      <c r="D911" s="3"/>
      <c r="E911" s="2" t="str">
        <f>HYPERLINK("https://old.ukr-mobil.com/steklo_displeya_huawei_honor_8x_original_black_11423", "Перейти")</f>
        <v>Перейти</v>
      </c>
      <c r="F911" s="2">
        <v>11423</v>
      </c>
      <c r="G911" s="4" t="s">
        <v>985</v>
      </c>
      <c r="H911" s="1">
        <v>7</v>
      </c>
      <c r="I911" s="1">
        <v>3</v>
      </c>
      <c r="J911" s="1">
        <v>1</v>
      </c>
      <c r="K911" s="2">
        <v>1.75</v>
      </c>
    </row>
    <row r="912" spans="1:12">
      <c r="A912" s="3" t="s">
        <v>633</v>
      </c>
      <c r="B912" s="3" t="s">
        <v>883</v>
      </c>
      <c r="C912" s="3" t="s">
        <v>640</v>
      </c>
      <c r="D912" s="3"/>
      <c r="E912" s="2" t="str">
        <f>HYPERLINK("https://old.ukr-mobil.com/steklo_displeya_huawei_honor_8x_jsn-l21_s_oca_plenkoj_original_10002829", "Перейти")</f>
        <v>Перейти</v>
      </c>
      <c r="F912" s="2">
        <v>10002829</v>
      </c>
      <c r="G912" s="4" t="s">
        <v>986</v>
      </c>
      <c r="H912" s="1">
        <v>19</v>
      </c>
      <c r="I912" s="1">
        <v>10</v>
      </c>
      <c r="J912" s="1">
        <v>7</v>
      </c>
      <c r="K912" s="2">
        <v>2.25</v>
      </c>
    </row>
    <row r="913" spans="1:12">
      <c r="A913" s="3" t="s">
        <v>633</v>
      </c>
      <c r="B913" s="3" t="s">
        <v>883</v>
      </c>
      <c r="C913" s="3" t="s">
        <v>640</v>
      </c>
      <c r="D913" s="3"/>
      <c r="E913" s="2" t="str">
        <f>HYPERLINK("https://old.ukr-mobil.com/steklo_displeya_huawei_mate_10_gold_10594", "Перейти")</f>
        <v>Перейти</v>
      </c>
      <c r="F913" s="2">
        <v>10594</v>
      </c>
      <c r="G913" s="4" t="s">
        <v>987</v>
      </c>
      <c r="H913" s="1">
        <v>0</v>
      </c>
      <c r="I913" s="1">
        <v>2</v>
      </c>
      <c r="J913" s="1">
        <v>0</v>
      </c>
      <c r="K913" s="2">
        <v>1.5</v>
      </c>
    </row>
    <row r="914" spans="1:12">
      <c r="A914" s="3" t="s">
        <v>633</v>
      </c>
      <c r="B914" s="3" t="s">
        <v>883</v>
      </c>
      <c r="C914" s="3" t="s">
        <v>640</v>
      </c>
      <c r="D914" s="3"/>
      <c r="E914" s="2" t="str">
        <f>HYPERLINK("https://old.ukr-mobil.com/steklo_displeya_huawei_mate_20_hma-l29_hma-l09_black_10001383", "Перейти")</f>
        <v>Перейти</v>
      </c>
      <c r="F914" s="2">
        <v>10001383</v>
      </c>
      <c r="G914" s="4" t="s">
        <v>988</v>
      </c>
      <c r="H914" s="1">
        <v>1</v>
      </c>
      <c r="I914" s="1">
        <v>0</v>
      </c>
      <c r="J914" s="1">
        <v>0</v>
      </c>
      <c r="K914" s="2">
        <v>1.6</v>
      </c>
    </row>
    <row r="915" spans="1:12">
      <c r="A915" s="3" t="s">
        <v>633</v>
      </c>
      <c r="B915" s="3" t="s">
        <v>883</v>
      </c>
      <c r="C915" s="3" t="s">
        <v>640</v>
      </c>
      <c r="D915" s="3"/>
      <c r="E915" s="2" t="str">
        <f>HYPERLINK("https://old.ukr-mobil.com/steklo_displeya_huawei_mate_20_lite_original_black_11992", "Перейти")</f>
        <v>Перейти</v>
      </c>
      <c r="F915" s="2">
        <v>11992</v>
      </c>
      <c r="G915" s="4" t="s">
        <v>989</v>
      </c>
      <c r="H915" s="1">
        <v>0</v>
      </c>
      <c r="I915" s="1">
        <v>0</v>
      </c>
      <c r="J915" s="1">
        <v>0</v>
      </c>
      <c r="K915" s="2">
        <v>1.5</v>
      </c>
    </row>
    <row r="916" spans="1:12">
      <c r="A916" s="3" t="s">
        <v>633</v>
      </c>
      <c r="B916" s="3" t="s">
        <v>883</v>
      </c>
      <c r="C916" s="3" t="s">
        <v>640</v>
      </c>
      <c r="D916" s="3"/>
      <c r="E916" s="2" t="str">
        <f>HYPERLINK("https://old.ukr-mobil.com/steklo_displeya_huawei_mate_20_pro_black_11577", "Перейти")</f>
        <v>Перейти</v>
      </c>
      <c r="F916" s="2">
        <v>11577</v>
      </c>
      <c r="G916" s="4" t="s">
        <v>990</v>
      </c>
      <c r="H916" s="1">
        <v>21</v>
      </c>
      <c r="I916" s="1">
        <v>2</v>
      </c>
      <c r="J916" s="1">
        <v>2</v>
      </c>
      <c r="K916" s="2">
        <v>3.0</v>
      </c>
    </row>
    <row r="917" spans="1:12">
      <c r="A917" s="3" t="s">
        <v>633</v>
      </c>
      <c r="B917" s="3" t="s">
        <v>883</v>
      </c>
      <c r="C917" s="3" t="s">
        <v>640</v>
      </c>
      <c r="D917" s="3"/>
      <c r="E917" s="2" t="str">
        <f>HYPERLINK("https://old.ukr-mobil.com/steklo_displeya_huawei_mate_20_pro_lya-l29_s_oca_plenkoj_original_10002895", "Перейти")</f>
        <v>Перейти</v>
      </c>
      <c r="F917" s="2">
        <v>10002895</v>
      </c>
      <c r="G917" s="4" t="s">
        <v>991</v>
      </c>
      <c r="H917" s="1">
        <v>3</v>
      </c>
      <c r="I917" s="1">
        <v>1</v>
      </c>
      <c r="J917" s="1">
        <v>1</v>
      </c>
      <c r="K917" s="2">
        <v>7.0</v>
      </c>
    </row>
    <row r="918" spans="1:12">
      <c r="A918" s="3" t="s">
        <v>633</v>
      </c>
      <c r="B918" s="3" t="s">
        <v>883</v>
      </c>
      <c r="C918" s="3" t="s">
        <v>640</v>
      </c>
      <c r="D918" s="3"/>
      <c r="E918" s="2" t="str">
        <f>HYPERLINK("https://old.ukr-mobil.com/steklo_displeya_huawei_mate_30_pro_s_oca_plenkoj_original_10002896", "Перейти")</f>
        <v>Перейти</v>
      </c>
      <c r="F918" s="2">
        <v>10002896</v>
      </c>
      <c r="G918" s="4" t="s">
        <v>992</v>
      </c>
      <c r="H918" s="1">
        <v>6</v>
      </c>
      <c r="I918" s="1">
        <v>2</v>
      </c>
      <c r="J918" s="1">
        <v>2</v>
      </c>
      <c r="K918" s="2">
        <v>11.0</v>
      </c>
    </row>
    <row r="919" spans="1:12">
      <c r="A919" s="3" t="s">
        <v>633</v>
      </c>
      <c r="B919" s="3" t="s">
        <v>883</v>
      </c>
      <c r="C919" s="3" t="s">
        <v>640</v>
      </c>
      <c r="D919" s="3"/>
      <c r="E919" s="2" t="str">
        <f>HYPERLINK("https://old.ukr-mobil.com/steklo_displeya_huawei_mate_40_pro_s_oca_plenkoj_original_10002898", "Перейти")</f>
        <v>Перейти</v>
      </c>
      <c r="F919" s="2">
        <v>10002898</v>
      </c>
      <c r="G919" s="4" t="s">
        <v>993</v>
      </c>
      <c r="H919" s="1">
        <v>5</v>
      </c>
      <c r="I919" s="1">
        <v>2</v>
      </c>
      <c r="J919" s="1">
        <v>2</v>
      </c>
      <c r="K919" s="2">
        <v>10.5</v>
      </c>
    </row>
    <row r="920" spans="1:12">
      <c r="A920" s="3" t="s">
        <v>633</v>
      </c>
      <c r="B920" s="3" t="s">
        <v>883</v>
      </c>
      <c r="C920" s="3" t="s">
        <v>640</v>
      </c>
      <c r="D920" s="3"/>
      <c r="E920" s="2" t="str">
        <f>HYPERLINK("https://old.ukr-mobil.com/steklo_displeya_huawei_mate_40_s_oca_plenkoj_original_10002897", "Перейти")</f>
        <v>Перейти</v>
      </c>
      <c r="F920" s="2">
        <v>10002897</v>
      </c>
      <c r="G920" s="4" t="s">
        <v>994</v>
      </c>
      <c r="H920" s="1">
        <v>6</v>
      </c>
      <c r="I920" s="1">
        <v>2</v>
      </c>
      <c r="J920" s="1">
        <v>2</v>
      </c>
      <c r="K920" s="2">
        <v>10.0</v>
      </c>
    </row>
    <row r="921" spans="1:12">
      <c r="A921" s="3" t="s">
        <v>633</v>
      </c>
      <c r="B921" s="3" t="s">
        <v>883</v>
      </c>
      <c r="C921" s="3" t="s">
        <v>640</v>
      </c>
      <c r="D921" s="3"/>
      <c r="E921" s="2" t="str">
        <f>HYPERLINK("https://old.ukr-mobil.com/steklo_displeya_huawei_mate_8_gold_10598", "Перейти")</f>
        <v>Перейти</v>
      </c>
      <c r="F921" s="2">
        <v>10598</v>
      </c>
      <c r="G921" s="4" t="s">
        <v>995</v>
      </c>
      <c r="H921" s="1">
        <v>0</v>
      </c>
      <c r="I921" s="1">
        <v>0</v>
      </c>
      <c r="J921" s="1">
        <v>0</v>
      </c>
      <c r="K921" s="2">
        <v>2.5</v>
      </c>
    </row>
    <row r="922" spans="1:12">
      <c r="A922" s="3" t="s">
        <v>633</v>
      </c>
      <c r="B922" s="3" t="s">
        <v>883</v>
      </c>
      <c r="C922" s="3" t="s">
        <v>640</v>
      </c>
      <c r="D922" s="3"/>
      <c r="E922" s="2" t="str">
        <f>HYPERLINK("https://old.ukr-mobil.com/steklo_displeya_huawei_mate_8_mocha_brown_10688", "Перейти")</f>
        <v>Перейти</v>
      </c>
      <c r="F922" s="2">
        <v>10688</v>
      </c>
      <c r="G922" s="4" t="s">
        <v>996</v>
      </c>
      <c r="H922" s="1">
        <v>0</v>
      </c>
      <c r="I922" s="1">
        <v>2</v>
      </c>
      <c r="J922" s="1">
        <v>1</v>
      </c>
      <c r="K922" s="2">
        <v>2.5</v>
      </c>
    </row>
    <row r="923" spans="1:12">
      <c r="A923" s="3" t="s">
        <v>633</v>
      </c>
      <c r="B923" s="3" t="s">
        <v>883</v>
      </c>
      <c r="C923" s="3" t="s">
        <v>640</v>
      </c>
      <c r="D923" s="3"/>
      <c r="E923" s="2" t="str">
        <f>HYPERLINK("https://old.ukr-mobil.com/steklo_displeya_huawei_matepad_10_4_s_oca_plenkoj_original_prc_black_10004126", "Перейти")</f>
        <v>Перейти</v>
      </c>
      <c r="F923" s="2">
        <v>10004126</v>
      </c>
      <c r="G923" s="4" t="s">
        <v>997</v>
      </c>
      <c r="H923" s="1">
        <v>2</v>
      </c>
      <c r="I923" s="1">
        <v>3</v>
      </c>
      <c r="J923" s="1">
        <v>2</v>
      </c>
      <c r="K923" s="2">
        <v>3.75</v>
      </c>
    </row>
    <row r="924" spans="1:12">
      <c r="A924" s="3" t="s">
        <v>633</v>
      </c>
      <c r="B924" s="3" t="s">
        <v>883</v>
      </c>
      <c r="C924" s="3" t="s">
        <v>640</v>
      </c>
      <c r="D924" s="3"/>
      <c r="E924" s="2" t="str">
        <f>HYPERLINK("https://old.ukr-mobil.com/steklo_displeya_huawei_matepad_10_4_s_oca_plenkoj_original_prc_white_10004127", "Перейти")</f>
        <v>Перейти</v>
      </c>
      <c r="F924" s="2">
        <v>10004127</v>
      </c>
      <c r="G924" s="4" t="s">
        <v>998</v>
      </c>
      <c r="H924" s="1">
        <v>5</v>
      </c>
      <c r="I924" s="1">
        <v>3</v>
      </c>
      <c r="J924" s="1">
        <v>2</v>
      </c>
      <c r="K924" s="2">
        <v>2.0</v>
      </c>
    </row>
    <row r="925" spans="1:12">
      <c r="A925" s="3" t="s">
        <v>633</v>
      </c>
      <c r="B925" s="3" t="s">
        <v>883</v>
      </c>
      <c r="C925" s="3" t="s">
        <v>640</v>
      </c>
      <c r="D925" s="3"/>
      <c r="E925" s="2" t="str">
        <f>HYPERLINK("https://old.ukr-mobil.com/index.php?route=product&amp;product_id=10004749", "Перейти")</f>
        <v>Перейти</v>
      </c>
      <c r="F925" s="2">
        <v>10004749</v>
      </c>
      <c r="G925" s="4" t="s">
        <v>999</v>
      </c>
      <c r="H925" s="1">
        <v>9</v>
      </c>
      <c r="I925" s="1">
        <v>4</v>
      </c>
      <c r="J925" s="1">
        <v>5</v>
      </c>
      <c r="K925" s="2">
        <v>2.0</v>
      </c>
    </row>
    <row r="926" spans="1:12">
      <c r="A926" s="3" t="s">
        <v>633</v>
      </c>
      <c r="B926" s="3" t="s">
        <v>883</v>
      </c>
      <c r="C926" s="3" t="s">
        <v>640</v>
      </c>
      <c r="D926" s="3"/>
      <c r="E926" s="2" t="str">
        <f>HYPERLINK("https://old.ukr-mobil.com/index.php?route=product&amp;product_id=10004750", "Перейти")</f>
        <v>Перейти</v>
      </c>
      <c r="F926" s="2">
        <v>10004750</v>
      </c>
      <c r="G926" s="4" t="s">
        <v>1000</v>
      </c>
      <c r="H926" s="1">
        <v>10</v>
      </c>
      <c r="I926" s="1">
        <v>5</v>
      </c>
      <c r="J926" s="1">
        <v>5</v>
      </c>
      <c r="K926" s="2">
        <v>3.0</v>
      </c>
    </row>
    <row r="927" spans="1:12">
      <c r="A927" s="3" t="s">
        <v>633</v>
      </c>
      <c r="B927" s="3" t="s">
        <v>883</v>
      </c>
      <c r="C927" s="3" t="s">
        <v>640</v>
      </c>
      <c r="D927" s="3"/>
      <c r="E927" s="2" t="str">
        <f>HYPERLINK("https://old.ukr-mobil.com/steklo_displeya_huawei_matepad_t10_agr-w09_agr-l09_s_oca_plenkoj_original_prc_black_10004079", "Перейти")</f>
        <v>Перейти</v>
      </c>
      <c r="F927" s="2">
        <v>10004079</v>
      </c>
      <c r="G927" s="4" t="s">
        <v>1001</v>
      </c>
      <c r="H927" s="1">
        <v>4</v>
      </c>
      <c r="I927" s="1">
        <v>9</v>
      </c>
      <c r="J927" s="1">
        <v>7</v>
      </c>
      <c r="K927" s="2">
        <v>2.0</v>
      </c>
    </row>
    <row r="928" spans="1:12">
      <c r="A928" s="3" t="s">
        <v>633</v>
      </c>
      <c r="B928" s="3" t="s">
        <v>883</v>
      </c>
      <c r="C928" s="3" t="s">
        <v>640</v>
      </c>
      <c r="D928" s="3"/>
      <c r="E928" s="2" t="str">
        <f>HYPERLINK("https://old.ukr-mobil.com/steklo_displeya_huawei_matepad_t10s_ags3-l09_ags3-w09_s_oca_plenkoj_original_prc_black_10004080", "Перейти")</f>
        <v>Перейти</v>
      </c>
      <c r="F928" s="2">
        <v>10004080</v>
      </c>
      <c r="G928" s="4" t="s">
        <v>1002</v>
      </c>
      <c r="H928" s="1">
        <v>0</v>
      </c>
      <c r="I928" s="1">
        <v>0</v>
      </c>
      <c r="J928" s="1">
        <v>0</v>
      </c>
      <c r="K928" s="2">
        <v>3.75</v>
      </c>
    </row>
    <row r="929" spans="1:12">
      <c r="A929" s="3" t="s">
        <v>633</v>
      </c>
      <c r="B929" s="3" t="s">
        <v>883</v>
      </c>
      <c r="C929" s="3" t="s">
        <v>640</v>
      </c>
      <c r="D929" s="3"/>
      <c r="E929" s="2" t="str">
        <f>HYPERLINK("https://old.ukr-mobil.com/steklo_displeya_huawei_mediapad_t1-701u_white_10378", "Перейти")</f>
        <v>Перейти</v>
      </c>
      <c r="F929" s="2">
        <v>10378</v>
      </c>
      <c r="G929" s="4" t="s">
        <v>1003</v>
      </c>
      <c r="H929" s="1">
        <v>1</v>
      </c>
      <c r="I929" s="1">
        <v>0</v>
      </c>
      <c r="J929" s="1">
        <v>0</v>
      </c>
      <c r="K929" s="2">
        <v>1.5</v>
      </c>
    </row>
    <row r="930" spans="1:12">
      <c r="A930" s="3" t="s">
        <v>633</v>
      </c>
      <c r="B930" s="3" t="s">
        <v>883</v>
      </c>
      <c r="C930" s="3" t="s">
        <v>640</v>
      </c>
      <c r="D930" s="3"/>
      <c r="E930" s="2" t="str">
        <f>HYPERLINK("https://old.ukr-mobil.com/steklo_displeya_huawei_mediapad_t3_7_3g_t3-701_grey_10380", "Перейти")</f>
        <v>Перейти</v>
      </c>
      <c r="F930" s="2">
        <v>10380</v>
      </c>
      <c r="G930" s="4" t="s">
        <v>1004</v>
      </c>
      <c r="H930" s="1">
        <v>0</v>
      </c>
      <c r="I930" s="1">
        <v>0</v>
      </c>
      <c r="J930" s="1">
        <v>0</v>
      </c>
      <c r="K930" s="2">
        <v>3.35</v>
      </c>
    </row>
    <row r="931" spans="1:12">
      <c r="A931" s="3" t="s">
        <v>633</v>
      </c>
      <c r="B931" s="3" t="s">
        <v>883</v>
      </c>
      <c r="C931" s="3" t="s">
        <v>640</v>
      </c>
      <c r="D931" s="3"/>
      <c r="E931" s="2" t="str">
        <f>HYPERLINK("https://old.ukr-mobil.com/steklo_displeya_huawei_mediapad_t3_7_wi-fi_bg2-w09_t3-701_grey_10381", "Перейти")</f>
        <v>Перейти</v>
      </c>
      <c r="F931" s="2">
        <v>10381</v>
      </c>
      <c r="G931" s="4" t="s">
        <v>1005</v>
      </c>
      <c r="H931" s="1">
        <v>0</v>
      </c>
      <c r="I931" s="1">
        <v>0</v>
      </c>
      <c r="J931" s="1">
        <v>0</v>
      </c>
      <c r="K931" s="2">
        <v>3.35</v>
      </c>
    </row>
    <row r="932" spans="1:12">
      <c r="A932" s="3" t="s">
        <v>633</v>
      </c>
      <c r="B932" s="3" t="s">
        <v>883</v>
      </c>
      <c r="C932" s="3" t="s">
        <v>640</v>
      </c>
      <c r="D932" s="3"/>
      <c r="E932" s="2" t="str">
        <f>HYPERLINK("https://old.ukr-mobil.com/steklo_displeya_huawei_mediapad_t5_10_ags2-l09_ags2-w09_s_oca_plenkoj_original_prc_black_10004077", "Перейти")</f>
        <v>Перейти</v>
      </c>
      <c r="F932" s="2">
        <v>10004077</v>
      </c>
      <c r="G932" s="4" t="s">
        <v>1006</v>
      </c>
      <c r="H932" s="1">
        <v>7</v>
      </c>
      <c r="I932" s="1">
        <v>7</v>
      </c>
      <c r="J932" s="1">
        <v>2</v>
      </c>
      <c r="K932" s="2">
        <v>4.2</v>
      </c>
    </row>
    <row r="933" spans="1:12">
      <c r="A933" s="3" t="s">
        <v>633</v>
      </c>
      <c r="B933" s="3" t="s">
        <v>883</v>
      </c>
      <c r="C933" s="3" t="s">
        <v>640</v>
      </c>
      <c r="D933" s="3"/>
      <c r="E933" s="2" t="str">
        <f>HYPERLINK("https://old.ukr-mobil.com/steklo_displeya_huawei_mediapad_t5_10_ags2-l09_ags2-w09_s_oca_plenkoj_original_prc_white_10004078", "Перейти")</f>
        <v>Перейти</v>
      </c>
      <c r="F933" s="2">
        <v>10004078</v>
      </c>
      <c r="G933" s="4" t="s">
        <v>1007</v>
      </c>
      <c r="H933" s="1">
        <v>2</v>
      </c>
      <c r="I933" s="1">
        <v>2</v>
      </c>
      <c r="J933" s="1">
        <v>3</v>
      </c>
      <c r="K933" s="2">
        <v>2.0</v>
      </c>
    </row>
    <row r="934" spans="1:12">
      <c r="A934" s="3" t="s">
        <v>633</v>
      </c>
      <c r="B934" s="3" t="s">
        <v>883</v>
      </c>
      <c r="C934" s="3" t="s">
        <v>640</v>
      </c>
      <c r="D934" s="3"/>
      <c r="E934" s="2" t="str">
        <f>HYPERLINK("https://old.ukr-mobil.com/steklo_displeya_huawei_nova_2_plus_black_10602", "Перейти")</f>
        <v>Перейти</v>
      </c>
      <c r="F934" s="2">
        <v>10602</v>
      </c>
      <c r="G934" s="4" t="s">
        <v>1008</v>
      </c>
      <c r="H934" s="1">
        <v>0</v>
      </c>
      <c r="I934" s="1">
        <v>1</v>
      </c>
      <c r="J934" s="1">
        <v>0</v>
      </c>
      <c r="K934" s="2">
        <v>1.75</v>
      </c>
    </row>
    <row r="935" spans="1:12">
      <c r="A935" s="3" t="s">
        <v>633</v>
      </c>
      <c r="B935" s="3" t="s">
        <v>883</v>
      </c>
      <c r="C935" s="3" t="s">
        <v>640</v>
      </c>
      <c r="D935" s="3"/>
      <c r="E935" s="2" t="str">
        <f>HYPERLINK("https://old.ukr-mobil.com/steklo_displeya_huawei_nova_2_plus_white_10603", "Перейти")</f>
        <v>Перейти</v>
      </c>
      <c r="F935" s="2">
        <v>10603</v>
      </c>
      <c r="G935" s="4" t="s">
        <v>1009</v>
      </c>
      <c r="H935" s="1">
        <v>0</v>
      </c>
      <c r="I935" s="1">
        <v>2</v>
      </c>
      <c r="J935" s="1">
        <v>0</v>
      </c>
      <c r="K935" s="2">
        <v>1.75</v>
      </c>
    </row>
    <row r="936" spans="1:12">
      <c r="A936" s="3" t="s">
        <v>633</v>
      </c>
      <c r="B936" s="3" t="s">
        <v>883</v>
      </c>
      <c r="C936" s="3" t="s">
        <v>640</v>
      </c>
      <c r="D936" s="3"/>
      <c r="E936" s="2" t="str">
        <f>HYPERLINK("https://old.ukr-mobil.com/steklo_displeya_huawei_nova_3i_p_smart_plus_black_11421", "Перейти")</f>
        <v>Перейти</v>
      </c>
      <c r="F936" s="2">
        <v>11421</v>
      </c>
      <c r="G936" s="4" t="s">
        <v>1010</v>
      </c>
      <c r="H936" s="1">
        <v>0</v>
      </c>
      <c r="I936" s="1">
        <v>2</v>
      </c>
      <c r="J936" s="1">
        <v>8</v>
      </c>
      <c r="K936" s="2">
        <v>1.5</v>
      </c>
    </row>
    <row r="937" spans="1:12">
      <c r="A937" s="3" t="s">
        <v>633</v>
      </c>
      <c r="B937" s="3" t="s">
        <v>883</v>
      </c>
      <c r="C937" s="3" t="s">
        <v>640</v>
      </c>
      <c r="D937" s="3"/>
      <c r="E937" s="2" t="str">
        <f>HYPERLINK("https://old.ukr-mobil.com/steklo_displeya_huawei_nova_3i_par-lx1_par-lx9_p_smart_plus_ine-lx1_nova_3_s_oca_plenkoj_original_10002833", "Перейти")</f>
        <v>Перейти</v>
      </c>
      <c r="F937" s="2">
        <v>10002833</v>
      </c>
      <c r="G937" s="4" t="s">
        <v>1011</v>
      </c>
      <c r="H937" s="1">
        <v>0</v>
      </c>
      <c r="I937" s="1">
        <v>0</v>
      </c>
      <c r="J937" s="1">
        <v>0</v>
      </c>
      <c r="K937" s="2">
        <v>3.0</v>
      </c>
    </row>
    <row r="938" spans="1:12">
      <c r="A938" s="3" t="s">
        <v>633</v>
      </c>
      <c r="B938" s="3" t="s">
        <v>883</v>
      </c>
      <c r="C938" s="3" t="s">
        <v>640</v>
      </c>
      <c r="D938" s="3"/>
      <c r="E938" s="2" t="str">
        <f>HYPERLINK("https://old.ukr-mobil.com/steklo_displeya_huawei_nova_4_black_11422", "Перейти")</f>
        <v>Перейти</v>
      </c>
      <c r="F938" s="2">
        <v>11422</v>
      </c>
      <c r="G938" s="4" t="s">
        <v>1012</v>
      </c>
      <c r="H938" s="1">
        <v>14</v>
      </c>
      <c r="I938" s="1">
        <v>4</v>
      </c>
      <c r="J938" s="1">
        <v>3</v>
      </c>
      <c r="K938" s="2">
        <v>1.75</v>
      </c>
    </row>
    <row r="939" spans="1:12">
      <c r="A939" s="3" t="s">
        <v>633</v>
      </c>
      <c r="B939" s="3" t="s">
        <v>883</v>
      </c>
      <c r="C939" s="3" t="s">
        <v>640</v>
      </c>
      <c r="D939" s="3"/>
      <c r="E939" s="2" t="str">
        <f>HYPERLINK("https://old.ukr-mobil.com/steklo_displeya_huawei_nova_4e_p30_lite_black_11991", "Перейти")</f>
        <v>Перейти</v>
      </c>
      <c r="F939" s="2">
        <v>11991</v>
      </c>
      <c r="G939" s="4" t="s">
        <v>1013</v>
      </c>
      <c r="H939" s="1">
        <v>0</v>
      </c>
      <c r="I939" s="1">
        <v>0</v>
      </c>
      <c r="J939" s="1">
        <v>0</v>
      </c>
      <c r="K939" s="2">
        <v>1.75</v>
      </c>
    </row>
    <row r="940" spans="1:12">
      <c r="A940" s="3" t="s">
        <v>633</v>
      </c>
      <c r="B940" s="3" t="s">
        <v>883</v>
      </c>
      <c r="C940" s="3" t="s">
        <v>640</v>
      </c>
      <c r="D940" s="3"/>
      <c r="E940" s="2" t="str">
        <f>HYPERLINK("https://old.ukr-mobil.com/steklo_displeya_huawei_nova_4e_p30_lite_mar-l21_mar-lx1a_mar-l21a_mar-l01a_s_oca_plenkoj_original_10002840", "Перейти")</f>
        <v>Перейти</v>
      </c>
      <c r="F940" s="2">
        <v>10002840</v>
      </c>
      <c r="G940" s="4" t="s">
        <v>1014</v>
      </c>
      <c r="H940" s="1">
        <v>24</v>
      </c>
      <c r="I940" s="1">
        <v>7</v>
      </c>
      <c r="J940" s="1">
        <v>4</v>
      </c>
      <c r="K940" s="2">
        <v>2.5</v>
      </c>
    </row>
    <row r="941" spans="1:12">
      <c r="A941" s="3" t="s">
        <v>633</v>
      </c>
      <c r="B941" s="3" t="s">
        <v>883</v>
      </c>
      <c r="C941" s="3" t="s">
        <v>640</v>
      </c>
      <c r="D941" s="3"/>
      <c r="E941" s="2" t="str">
        <f>HYPERLINK("https://old.ukr-mobil.com/steklo_displeya_huawei_nova_8i_nen-lx1_nen-l22_honor_50_lite_honor_x20_ntn-l22_s_oca_plenkoj_original_10002832", "Перейти")</f>
        <v>Перейти</v>
      </c>
      <c r="F941" s="2">
        <v>10002832</v>
      </c>
      <c r="G941" s="4" t="s">
        <v>1015</v>
      </c>
      <c r="H941" s="1">
        <v>15</v>
      </c>
      <c r="I941" s="1">
        <v>8</v>
      </c>
      <c r="J941" s="1">
        <v>5</v>
      </c>
      <c r="K941" s="2">
        <v>2.5</v>
      </c>
    </row>
    <row r="942" spans="1:12">
      <c r="A942" s="3" t="s">
        <v>633</v>
      </c>
      <c r="B942" s="3" t="s">
        <v>883</v>
      </c>
      <c r="C942" s="3" t="s">
        <v>640</v>
      </c>
      <c r="D942" s="3"/>
      <c r="E942" s="2" t="str">
        <f>HYPERLINK("https://old.ukr-mobil.com/steklo_displeya_huawei_p_smart_2019_black_11721", "Перейти")</f>
        <v>Перейти</v>
      </c>
      <c r="F942" s="2">
        <v>11721</v>
      </c>
      <c r="G942" s="4" t="s">
        <v>1016</v>
      </c>
      <c r="H942" s="1">
        <v>23</v>
      </c>
      <c r="I942" s="1">
        <v>3</v>
      </c>
      <c r="J942" s="1">
        <v>1</v>
      </c>
      <c r="K942" s="2">
        <v>1.5</v>
      </c>
    </row>
    <row r="943" spans="1:12">
      <c r="A943" s="3" t="s">
        <v>633</v>
      </c>
      <c r="B943" s="3" t="s">
        <v>883</v>
      </c>
      <c r="C943" s="3" t="s">
        <v>640</v>
      </c>
      <c r="D943" s="3"/>
      <c r="E943" s="2" t="str">
        <f>HYPERLINK("https://old.ukr-mobil.com/steklo_displeya_huawei_p_smart_2019_pot-l21_pot-lx1_s_oca_plenkoj_original_10002835", "Перейти")</f>
        <v>Перейти</v>
      </c>
      <c r="F943" s="2">
        <v>10002835</v>
      </c>
      <c r="G943" s="4" t="s">
        <v>1017</v>
      </c>
      <c r="H943" s="1">
        <v>0</v>
      </c>
      <c r="I943" s="1">
        <v>0</v>
      </c>
      <c r="J943" s="1">
        <v>0</v>
      </c>
      <c r="K943" s="2">
        <v>3.0</v>
      </c>
    </row>
    <row r="944" spans="1:12">
      <c r="A944" s="3" t="s">
        <v>633</v>
      </c>
      <c r="B944" s="3" t="s">
        <v>883</v>
      </c>
      <c r="C944" s="3" t="s">
        <v>640</v>
      </c>
      <c r="D944" s="3"/>
      <c r="E944" s="2" t="str">
        <f>HYPERLINK("https://old.ukr-mobil.com/steklo_displeya_huawei_p_smart_2021_y7a_honor_10x_lite_original_prc_black_10001619", "Перейти")</f>
        <v>Перейти</v>
      </c>
      <c r="F944" s="2">
        <v>10001619</v>
      </c>
      <c r="G944" s="4" t="s">
        <v>1018</v>
      </c>
      <c r="H944" s="1">
        <v>19</v>
      </c>
      <c r="I944" s="1">
        <v>0</v>
      </c>
      <c r="J944" s="1">
        <v>2</v>
      </c>
      <c r="K944" s="2">
        <v>1.75</v>
      </c>
    </row>
    <row r="945" spans="1:12">
      <c r="A945" s="3" t="s">
        <v>633</v>
      </c>
      <c r="B945" s="3" t="s">
        <v>883</v>
      </c>
      <c r="C945" s="3" t="s">
        <v>640</v>
      </c>
      <c r="D945" s="3"/>
      <c r="E945" s="2" t="str">
        <f>HYPERLINK("https://old.ukr-mobil.com/steklo_displeya_huawei_p_smart_2021_ppa-lx2_y7a_honor_10x_lite_s_oca_plenkoj_original_10002836", "Перейти")</f>
        <v>Перейти</v>
      </c>
      <c r="F945" s="2">
        <v>10002836</v>
      </c>
      <c r="G945" s="4" t="s">
        <v>1019</v>
      </c>
      <c r="H945" s="1">
        <v>25</v>
      </c>
      <c r="I945" s="1">
        <v>3</v>
      </c>
      <c r="J945" s="1">
        <v>6</v>
      </c>
      <c r="K945" s="2">
        <v>2.5</v>
      </c>
    </row>
    <row r="946" spans="1:12">
      <c r="A946" s="3" t="s">
        <v>633</v>
      </c>
      <c r="B946" s="3" t="s">
        <v>883</v>
      </c>
      <c r="C946" s="3" t="s">
        <v>640</v>
      </c>
      <c r="D946" s="3"/>
      <c r="E946" s="2" t="str">
        <f>HYPERLINK("https://old.ukr-mobil.com/steklo_displeya_huawei_p_smart_s_y8p_aqm-lx1_honor_play_4t_pro_enjoy_10s_original_prc_black_10001621", "Перейти")</f>
        <v>Перейти</v>
      </c>
      <c r="F946" s="2">
        <v>10001621</v>
      </c>
      <c r="G946" s="4" t="s">
        <v>1020</v>
      </c>
      <c r="H946" s="1">
        <v>19</v>
      </c>
      <c r="I946" s="1">
        <v>2</v>
      </c>
      <c r="J946" s="1">
        <v>2</v>
      </c>
      <c r="K946" s="2">
        <v>1.75</v>
      </c>
    </row>
    <row r="947" spans="1:12">
      <c r="A947" s="3" t="s">
        <v>633</v>
      </c>
      <c r="B947" s="3" t="s">
        <v>883</v>
      </c>
      <c r="C947" s="3" t="s">
        <v>640</v>
      </c>
      <c r="D947" s="3"/>
      <c r="E947" s="2" t="str">
        <f>HYPERLINK("https://old.ukr-mobil.com/steklo_displeya_huawei_p_smart_z_stk-lx1_stk-l21_stk-l22_y9_prime_2019_y9s_honor_9x_s_oca_plenkoj_original_10002834", "Перейти")</f>
        <v>Перейти</v>
      </c>
      <c r="F947" s="2">
        <v>10002834</v>
      </c>
      <c r="G947" s="4" t="s">
        <v>1021</v>
      </c>
      <c r="H947" s="1">
        <v>17</v>
      </c>
      <c r="I947" s="1">
        <v>4</v>
      </c>
      <c r="J947" s="1">
        <v>5</v>
      </c>
      <c r="K947" s="2">
        <v>2.5</v>
      </c>
    </row>
    <row r="948" spans="1:12">
      <c r="A948" s="3" t="s">
        <v>633</v>
      </c>
      <c r="B948" s="3" t="s">
        <v>883</v>
      </c>
      <c r="C948" s="3" t="s">
        <v>640</v>
      </c>
      <c r="D948" s="3"/>
      <c r="E948" s="2" t="str">
        <f>HYPERLINK("https://old.ukr-mobil.com/steklo_displeya_huawei_p10_plus_vky-l29_white_10001256", "Перейти")</f>
        <v>Перейти</v>
      </c>
      <c r="F948" s="2">
        <v>10001256</v>
      </c>
      <c r="G948" s="4" t="s">
        <v>1022</v>
      </c>
      <c r="H948" s="1">
        <v>2</v>
      </c>
      <c r="I948" s="1">
        <v>0</v>
      </c>
      <c r="J948" s="1">
        <v>0</v>
      </c>
      <c r="K948" s="2">
        <v>1.5</v>
      </c>
    </row>
    <row r="949" spans="1:12">
      <c r="A949" s="3" t="s">
        <v>633</v>
      </c>
      <c r="B949" s="3" t="s">
        <v>883</v>
      </c>
      <c r="C949" s="3" t="s">
        <v>640</v>
      </c>
      <c r="D949" s="3"/>
      <c r="E949" s="2" t="str">
        <f>HYPERLINK("https://old.ukr-mobil.com/steklo_displeya_huawei_p20_black_10605", "Перейти")</f>
        <v>Перейти</v>
      </c>
      <c r="F949" s="2">
        <v>10605</v>
      </c>
      <c r="G949" s="4" t="s">
        <v>1023</v>
      </c>
      <c r="H949" s="1">
        <v>2</v>
      </c>
      <c r="I949" s="1">
        <v>0</v>
      </c>
      <c r="J949" s="1">
        <v>2</v>
      </c>
      <c r="K949" s="2">
        <v>1.5</v>
      </c>
    </row>
    <row r="950" spans="1:12">
      <c r="A950" s="3" t="s">
        <v>633</v>
      </c>
      <c r="B950" s="3" t="s">
        <v>883</v>
      </c>
      <c r="C950" s="3" t="s">
        <v>640</v>
      </c>
      <c r="D950" s="3"/>
      <c r="E950" s="2" t="str">
        <f>HYPERLINK("https://old.ukr-mobil.com/steklo_displeya_huawei_p20_blue_10606", "Перейти")</f>
        <v>Перейти</v>
      </c>
      <c r="F950" s="2">
        <v>10606</v>
      </c>
      <c r="G950" s="4" t="s">
        <v>1024</v>
      </c>
      <c r="H950" s="1">
        <v>2</v>
      </c>
      <c r="I950" s="1">
        <v>2</v>
      </c>
      <c r="J950" s="1">
        <v>0</v>
      </c>
      <c r="K950" s="2">
        <v>1.5</v>
      </c>
    </row>
    <row r="951" spans="1:12">
      <c r="A951" s="3" t="s">
        <v>633</v>
      </c>
      <c r="B951" s="3" t="s">
        <v>883</v>
      </c>
      <c r="C951" s="3" t="s">
        <v>640</v>
      </c>
      <c r="D951" s="3"/>
      <c r="E951" s="2" t="str">
        <f>HYPERLINK("https://old.ukr-mobil.com/steklo_displeya_huawei_p20_white_10607", "Перейти")</f>
        <v>Перейти</v>
      </c>
      <c r="F951" s="2">
        <v>10607</v>
      </c>
      <c r="G951" s="4" t="s">
        <v>1025</v>
      </c>
      <c r="H951" s="1">
        <v>1</v>
      </c>
      <c r="I951" s="1">
        <v>2</v>
      </c>
      <c r="J951" s="1">
        <v>0</v>
      </c>
      <c r="K951" s="2">
        <v>1.5</v>
      </c>
    </row>
    <row r="952" spans="1:12">
      <c r="A952" s="3" t="s">
        <v>633</v>
      </c>
      <c r="B952" s="3" t="s">
        <v>883</v>
      </c>
      <c r="C952" s="3" t="s">
        <v>640</v>
      </c>
      <c r="D952" s="3"/>
      <c r="E952" s="2" t="str">
        <f>HYPERLINK("https://old.ukr-mobil.com/steklo_displeya_huawei_p20_eml-l09_eml-l29_s_oca_plenkoj_original_10002837", "Перейти")</f>
        <v>Перейти</v>
      </c>
      <c r="F952" s="2">
        <v>10002837</v>
      </c>
      <c r="G952" s="4" t="s">
        <v>1026</v>
      </c>
      <c r="H952" s="1">
        <v>10</v>
      </c>
      <c r="I952" s="1">
        <v>3</v>
      </c>
      <c r="J952" s="1">
        <v>3</v>
      </c>
      <c r="K952" s="2">
        <v>2.5</v>
      </c>
    </row>
    <row r="953" spans="1:12">
      <c r="A953" s="3" t="s">
        <v>633</v>
      </c>
      <c r="B953" s="3" t="s">
        <v>883</v>
      </c>
      <c r="C953" s="3" t="s">
        <v>640</v>
      </c>
      <c r="D953" s="3"/>
      <c r="E953" s="2" t="str">
        <f>HYPERLINK("https://old.ukr-mobil.com/steklo_displeya_huawei_p20_pro_black_10608", "Перейти")</f>
        <v>Перейти</v>
      </c>
      <c r="F953" s="2">
        <v>10608</v>
      </c>
      <c r="G953" s="4" t="s">
        <v>1027</v>
      </c>
      <c r="H953" s="1">
        <v>33</v>
      </c>
      <c r="I953" s="1">
        <v>6</v>
      </c>
      <c r="J953" s="1">
        <v>0</v>
      </c>
      <c r="K953" s="2">
        <v>1.75</v>
      </c>
    </row>
    <row r="954" spans="1:12">
      <c r="A954" s="3" t="s">
        <v>633</v>
      </c>
      <c r="B954" s="3" t="s">
        <v>883</v>
      </c>
      <c r="C954" s="3" t="s">
        <v>640</v>
      </c>
      <c r="D954" s="3"/>
      <c r="E954" s="2" t="str">
        <f>HYPERLINK("https://old.ukr-mobil.com/steklo_displeya_huawei_p20_pro_blue_10609", "Перейти")</f>
        <v>Перейти</v>
      </c>
      <c r="F954" s="2">
        <v>10609</v>
      </c>
      <c r="G954" s="4" t="s">
        <v>1028</v>
      </c>
      <c r="H954" s="1">
        <v>0</v>
      </c>
      <c r="I954" s="1">
        <v>2</v>
      </c>
      <c r="J954" s="1">
        <v>0</v>
      </c>
      <c r="K954" s="2">
        <v>1.75</v>
      </c>
    </row>
    <row r="955" spans="1:12">
      <c r="A955" s="3" t="s">
        <v>633</v>
      </c>
      <c r="B955" s="3" t="s">
        <v>883</v>
      </c>
      <c r="C955" s="3" t="s">
        <v>640</v>
      </c>
      <c r="D955" s="3"/>
      <c r="E955" s="2" t="str">
        <f>HYPERLINK("https://old.ukr-mobil.com/steklo_displeya_huawei_p20_pro_white_10610", "Перейти")</f>
        <v>Перейти</v>
      </c>
      <c r="F955" s="2">
        <v>10610</v>
      </c>
      <c r="G955" s="4" t="s">
        <v>1029</v>
      </c>
      <c r="H955" s="1">
        <v>1</v>
      </c>
      <c r="I955" s="1">
        <v>2</v>
      </c>
      <c r="J955" s="1">
        <v>0</v>
      </c>
      <c r="K955" s="2">
        <v>1.75</v>
      </c>
    </row>
    <row r="956" spans="1:12">
      <c r="A956" s="3" t="s">
        <v>633</v>
      </c>
      <c r="B956" s="3" t="s">
        <v>883</v>
      </c>
      <c r="C956" s="3" t="s">
        <v>640</v>
      </c>
      <c r="D956" s="3"/>
      <c r="E956" s="2" t="str">
        <f>HYPERLINK("https://old.ukr-mobil.com/steklo_displeya_huawei_p20_pro_clt-l29_clt-l09_s_oca_plenkoj_original_10002838", "Перейти")</f>
        <v>Перейти</v>
      </c>
      <c r="F956" s="2">
        <v>10002838</v>
      </c>
      <c r="G956" s="4" t="s">
        <v>1030</v>
      </c>
      <c r="H956" s="1">
        <v>14</v>
      </c>
      <c r="I956" s="1">
        <v>4</v>
      </c>
      <c r="J956" s="1">
        <v>4</v>
      </c>
      <c r="K956" s="2">
        <v>2.5</v>
      </c>
    </row>
    <row r="957" spans="1:12">
      <c r="A957" s="3" t="s">
        <v>633</v>
      </c>
      <c r="B957" s="3" t="s">
        <v>883</v>
      </c>
      <c r="C957" s="3" t="s">
        <v>640</v>
      </c>
      <c r="D957" s="3"/>
      <c r="E957" s="2" t="str">
        <f>HYPERLINK("https://old.ukr-mobil.com/steklo_displeya_huawei_p30_original_black_11990", "Перейти")</f>
        <v>Перейти</v>
      </c>
      <c r="F957" s="2">
        <v>11990</v>
      </c>
      <c r="G957" s="4" t="s">
        <v>1031</v>
      </c>
      <c r="H957" s="1">
        <v>20</v>
      </c>
      <c r="I957" s="1">
        <v>4</v>
      </c>
      <c r="J957" s="1">
        <v>5</v>
      </c>
      <c r="K957" s="2">
        <v>1.5</v>
      </c>
    </row>
    <row r="958" spans="1:12">
      <c r="A958" s="3" t="s">
        <v>633</v>
      </c>
      <c r="B958" s="3" t="s">
        <v>883</v>
      </c>
      <c r="C958" s="3" t="s">
        <v>640</v>
      </c>
      <c r="D958" s="3"/>
      <c r="E958" s="2" t="str">
        <f>HYPERLINK("https://old.ukr-mobil.com/steklo_displeya_huawei_p30_ele-l29_ele-l09_ele-l04_ele-al00_s_oca_plenkoj_original_10002839", "Перейти")</f>
        <v>Перейти</v>
      </c>
      <c r="F958" s="2">
        <v>10002839</v>
      </c>
      <c r="G958" s="4" t="s">
        <v>1032</v>
      </c>
      <c r="H958" s="1">
        <v>10</v>
      </c>
      <c r="I958" s="1">
        <v>5</v>
      </c>
      <c r="J958" s="1">
        <v>1</v>
      </c>
      <c r="K958" s="2">
        <v>2.25</v>
      </c>
    </row>
    <row r="959" spans="1:12">
      <c r="A959" s="3" t="s">
        <v>633</v>
      </c>
      <c r="B959" s="3" t="s">
        <v>883</v>
      </c>
      <c r="C959" s="3" t="s">
        <v>640</v>
      </c>
      <c r="D959" s="3"/>
      <c r="E959" s="2" t="str">
        <f>HYPERLINK("https://old.ukr-mobil.com/steklo_displeya_huawei_p30_pro_original_black_10000827", "Перейти")</f>
        <v>Перейти</v>
      </c>
      <c r="F959" s="2">
        <v>10000827</v>
      </c>
      <c r="G959" s="4" t="s">
        <v>1033</v>
      </c>
      <c r="H959" s="1">
        <v>8</v>
      </c>
      <c r="I959" s="1">
        <v>3</v>
      </c>
      <c r="J959" s="1">
        <v>2</v>
      </c>
      <c r="K959" s="2">
        <v>2.5</v>
      </c>
    </row>
    <row r="960" spans="1:12">
      <c r="A960" s="3" t="s">
        <v>633</v>
      </c>
      <c r="B960" s="3" t="s">
        <v>883</v>
      </c>
      <c r="C960" s="3" t="s">
        <v>640</v>
      </c>
      <c r="D960" s="3"/>
      <c r="E960" s="2" t="str">
        <f>HYPERLINK("https://old.ukr-mobil.com/steklo_displeya_huawei_p30_pro_vog-l09_vog-l29_s_oca_plenkoj_original_10002901", "Перейти")</f>
        <v>Перейти</v>
      </c>
      <c r="F960" s="2">
        <v>10002901</v>
      </c>
      <c r="G960" s="4" t="s">
        <v>1034</v>
      </c>
      <c r="H960" s="1">
        <v>2</v>
      </c>
      <c r="I960" s="1">
        <v>0</v>
      </c>
      <c r="J960" s="1">
        <v>1</v>
      </c>
      <c r="K960" s="2">
        <v>3.25</v>
      </c>
    </row>
    <row r="961" spans="1:12">
      <c r="A961" s="3" t="s">
        <v>633</v>
      </c>
      <c r="B961" s="3" t="s">
        <v>883</v>
      </c>
      <c r="C961" s="3" t="s">
        <v>640</v>
      </c>
      <c r="D961" s="3"/>
      <c r="E961" s="2" t="str">
        <f>HYPERLINK("https://old.ukr-mobil.com/steklo_displeya_huawei_p40_original_black_10000787", "Перейти")</f>
        <v>Перейти</v>
      </c>
      <c r="F961" s="2">
        <v>10000787</v>
      </c>
      <c r="G961" s="4" t="s">
        <v>1035</v>
      </c>
      <c r="H961" s="1">
        <v>12</v>
      </c>
      <c r="I961" s="1">
        <v>3</v>
      </c>
      <c r="J961" s="1">
        <v>2</v>
      </c>
      <c r="K961" s="2">
        <v>1.75</v>
      </c>
    </row>
    <row r="962" spans="1:12">
      <c r="A962" s="3" t="s">
        <v>633</v>
      </c>
      <c r="B962" s="3" t="s">
        <v>883</v>
      </c>
      <c r="C962" s="3" t="s">
        <v>640</v>
      </c>
      <c r="D962" s="3"/>
      <c r="E962" s="2" t="str">
        <f>HYPERLINK("https://old.ukr-mobil.com/steklo_displeya_huawei_p40_ana-an00_ana-tn00_original_s_oca_plenkoj_original_10002841", "Перейти")</f>
        <v>Перейти</v>
      </c>
      <c r="F962" s="2">
        <v>10002841</v>
      </c>
      <c r="G962" s="4" t="s">
        <v>1036</v>
      </c>
      <c r="H962" s="1">
        <v>20</v>
      </c>
      <c r="I962" s="1">
        <v>4</v>
      </c>
      <c r="J962" s="1">
        <v>4</v>
      </c>
      <c r="K962" s="2">
        <v>2.5</v>
      </c>
    </row>
    <row r="963" spans="1:12">
      <c r="A963" s="3" t="s">
        <v>633</v>
      </c>
      <c r="B963" s="3" t="s">
        <v>883</v>
      </c>
      <c r="C963" s="3" t="s">
        <v>640</v>
      </c>
      <c r="D963" s="3"/>
      <c r="E963" s="2" t="str">
        <f>HYPERLINK("https://old.ukr-mobil.com/steklo_displeya_huawei_p40_lite_nova_6_se_original_black_10000788", "Перейти")</f>
        <v>Перейти</v>
      </c>
      <c r="F963" s="2">
        <v>10000788</v>
      </c>
      <c r="G963" s="4" t="s">
        <v>1037</v>
      </c>
      <c r="H963" s="1">
        <v>0</v>
      </c>
      <c r="I963" s="1">
        <v>0</v>
      </c>
      <c r="J963" s="1">
        <v>0</v>
      </c>
      <c r="K963" s="2">
        <v>1.85</v>
      </c>
    </row>
    <row r="964" spans="1:12">
      <c r="A964" s="3" t="s">
        <v>633</v>
      </c>
      <c r="B964" s="3" t="s">
        <v>883</v>
      </c>
      <c r="C964" s="3" t="s">
        <v>640</v>
      </c>
      <c r="D964" s="3"/>
      <c r="E964" s="2" t="str">
        <f>HYPERLINK("https://old.ukr-mobil.com/steklo_displeya_huawei_p20_lite_2019_p40_lite_jny-lx1_nova_5i_glk-lx1_nova_7i_jny-lx2_black_10001382", "Перейти")</f>
        <v>Перейти</v>
      </c>
      <c r="F964" s="2">
        <v>10001382</v>
      </c>
      <c r="G964" s="4" t="s">
        <v>1038</v>
      </c>
      <c r="H964" s="1">
        <v>20</v>
      </c>
      <c r="I964" s="1">
        <v>8</v>
      </c>
      <c r="J964" s="1">
        <v>3</v>
      </c>
      <c r="K964" s="2">
        <v>1.5</v>
      </c>
    </row>
    <row r="965" spans="1:12">
      <c r="A965" s="3" t="s">
        <v>633</v>
      </c>
      <c r="B965" s="3" t="s">
        <v>883</v>
      </c>
      <c r="C965" s="3" t="s">
        <v>640</v>
      </c>
      <c r="D965" s="3"/>
      <c r="E965" s="2" t="str">
        <f>HYPERLINK("https://old.ukr-mobil.com/steklo_displeya_huawei_p40_lite_jny-lx1_nova_5i_glk-lx1_nova_7i_jny-lx2_nova_6_se_s_konturom_kamery_s_oca_plenkoj_original_10002877", "Перейти")</f>
        <v>Перейти</v>
      </c>
      <c r="F965" s="2">
        <v>10002877</v>
      </c>
      <c r="G965" s="4" t="s">
        <v>1039</v>
      </c>
      <c r="H965" s="1">
        <v>28</v>
      </c>
      <c r="I965" s="1">
        <v>5</v>
      </c>
      <c r="J965" s="1">
        <v>8</v>
      </c>
      <c r="K965" s="2">
        <v>2.5</v>
      </c>
    </row>
    <row r="966" spans="1:12">
      <c r="A966" s="3" t="s">
        <v>633</v>
      </c>
      <c r="B966" s="3" t="s">
        <v>883</v>
      </c>
      <c r="C966" s="3" t="s">
        <v>640</v>
      </c>
      <c r="D966" s="3"/>
      <c r="E966" s="2" t="str">
        <f>HYPERLINK("https://old.ukr-mobil.com/steklo_displeya_huawei_p40_lite_e_art-l28_art-l29_y7p_2020_honor_9c_s_oca_plenkoj_original_10002842", "Перейти")</f>
        <v>Перейти</v>
      </c>
      <c r="F966" s="2">
        <v>10002842</v>
      </c>
      <c r="G966" s="4" t="s">
        <v>1040</v>
      </c>
      <c r="H966" s="1">
        <v>25</v>
      </c>
      <c r="I966" s="1">
        <v>8</v>
      </c>
      <c r="J966" s="1">
        <v>7</v>
      </c>
      <c r="K966" s="2">
        <v>2.5</v>
      </c>
    </row>
    <row r="967" spans="1:12">
      <c r="A967" s="3" t="s">
        <v>633</v>
      </c>
      <c r="B967" s="3" t="s">
        <v>883</v>
      </c>
      <c r="C967" s="3" t="s">
        <v>640</v>
      </c>
      <c r="D967" s="3"/>
      <c r="E967" s="2" t="str">
        <f>HYPERLINK("https://old.ukr-mobil.com/steklo_displeya_huawei_p40_pro_s_oca_plenkoj_original_10002902", "Перейти")</f>
        <v>Перейти</v>
      </c>
      <c r="F967" s="2">
        <v>10002902</v>
      </c>
      <c r="G967" s="4" t="s">
        <v>1041</v>
      </c>
      <c r="H967" s="1">
        <v>3</v>
      </c>
      <c r="I967" s="1">
        <v>2</v>
      </c>
      <c r="J967" s="1">
        <v>1</v>
      </c>
      <c r="K967" s="2">
        <v>10.0</v>
      </c>
    </row>
    <row r="968" spans="1:12">
      <c r="A968" s="3" t="s">
        <v>633</v>
      </c>
      <c r="B968" s="3" t="s">
        <v>883</v>
      </c>
      <c r="C968" s="3" t="s">
        <v>640</v>
      </c>
      <c r="D968" s="3"/>
      <c r="E968" s="2" t="str">
        <f>HYPERLINK("https://old.ukr-mobil.com/steklo_displeya_huawei_y6_pro_black_9165", "Перейти")</f>
        <v>Перейти</v>
      </c>
      <c r="F968" s="2">
        <v>9165</v>
      </c>
      <c r="G968" s="4" t="s">
        <v>1042</v>
      </c>
      <c r="H968" s="1">
        <v>0</v>
      </c>
      <c r="I968" s="1">
        <v>0</v>
      </c>
      <c r="J968" s="1">
        <v>0</v>
      </c>
      <c r="K968" s="2">
        <v>3.02</v>
      </c>
    </row>
    <row r="969" spans="1:12">
      <c r="A969" s="3" t="s">
        <v>633</v>
      </c>
      <c r="B969" s="3" t="s">
        <v>883</v>
      </c>
      <c r="C969" s="3" t="s">
        <v>640</v>
      </c>
      <c r="D969" s="3"/>
      <c r="E969" s="2" t="str">
        <f>HYPERLINK("https://old.ukr-mobil.com/steklo_displeya_huawei_y6p_2020_honor_9a_med-l29_lx9_lx9n_l29n_moa-lx9_lx9n_original_prc_black_10001620", "Перейти")</f>
        <v>Перейти</v>
      </c>
      <c r="F969" s="2">
        <v>10001620</v>
      </c>
      <c r="G969" s="4" t="s">
        <v>1043</v>
      </c>
      <c r="H969" s="1">
        <v>19</v>
      </c>
      <c r="I969" s="1">
        <v>8</v>
      </c>
      <c r="J969" s="1">
        <v>1</v>
      </c>
      <c r="K969" s="2">
        <v>1.85</v>
      </c>
    </row>
    <row r="970" spans="1:12">
      <c r="A970" s="3" t="s">
        <v>633</v>
      </c>
      <c r="B970" s="3" t="s">
        <v>883</v>
      </c>
      <c r="C970" s="3" t="s">
        <v>640</v>
      </c>
      <c r="D970" s="3"/>
      <c r="E970" s="2" t="str">
        <f>HYPERLINK("https://old.ukr-mobil.com/steklo_displeya_huawei_y6p_2020_honor_9a_med-l29_lx9_lx9n_l29n_moa-lx9_lx9n_s_oca_plenkoj_original_10002843", "Перейти")</f>
        <v>Перейти</v>
      </c>
      <c r="F970" s="2">
        <v>10002843</v>
      </c>
      <c r="G970" s="4" t="s">
        <v>1044</v>
      </c>
      <c r="H970" s="1">
        <v>23</v>
      </c>
      <c r="I970" s="1">
        <v>8</v>
      </c>
      <c r="J970" s="1">
        <v>5</v>
      </c>
      <c r="K970" s="2">
        <v>2.5</v>
      </c>
    </row>
    <row r="971" spans="1:12">
      <c r="A971" s="3" t="s">
        <v>633</v>
      </c>
      <c r="B971" s="3" t="s">
        <v>883</v>
      </c>
      <c r="C971" s="3" t="s">
        <v>640</v>
      </c>
      <c r="D971" s="3"/>
      <c r="E971" s="2" t="str">
        <f>HYPERLINK("https://old.ukr-mobil.com/steklo_displeya_huawei_y9_2019_black_11425", "Перейти")</f>
        <v>Перейти</v>
      </c>
      <c r="F971" s="2">
        <v>11425</v>
      </c>
      <c r="G971" s="4" t="s">
        <v>1045</v>
      </c>
      <c r="H971" s="1">
        <v>9</v>
      </c>
      <c r="I971" s="1">
        <v>3</v>
      </c>
      <c r="J971" s="1">
        <v>0</v>
      </c>
      <c r="K971" s="2">
        <v>1.75</v>
      </c>
    </row>
    <row r="972" spans="1:12">
      <c r="A972" s="3" t="s">
        <v>633</v>
      </c>
      <c r="B972" s="3" t="s">
        <v>883</v>
      </c>
      <c r="C972" s="3" t="s">
        <v>640</v>
      </c>
      <c r="D972" s="3"/>
      <c r="E972" s="2" t="str">
        <f>HYPERLINK("https://old.ukr-mobil.com/steklo_displeya_huawei_y9_2019_jkm-l23_jkm-lx3_enjoy_9_plus_s_oca_plenkoj_black_10002933", "Перейти")</f>
        <v>Перейти</v>
      </c>
      <c r="F972" s="2">
        <v>10002933</v>
      </c>
      <c r="G972" s="4" t="s">
        <v>1046</v>
      </c>
      <c r="H972" s="1">
        <v>30</v>
      </c>
      <c r="I972" s="1">
        <v>1</v>
      </c>
      <c r="J972" s="1">
        <v>8</v>
      </c>
      <c r="K972" s="2">
        <v>2.5</v>
      </c>
    </row>
    <row r="973" spans="1:12">
      <c r="A973" s="3" t="s">
        <v>633</v>
      </c>
      <c r="B973" s="3" t="s">
        <v>883</v>
      </c>
      <c r="C973" s="3" t="s">
        <v>640</v>
      </c>
      <c r="D973" s="3"/>
      <c r="E973" s="2" t="str">
        <f>HYPERLINK("https://old.ukr-mobil.com/index.php?route=product&amp;product_id=10004761", "Перейти")</f>
        <v>Перейти</v>
      </c>
      <c r="F973" s="2">
        <v>10004761</v>
      </c>
      <c r="G973" s="4" t="s">
        <v>1047</v>
      </c>
      <c r="H973" s="1">
        <v>38</v>
      </c>
      <c r="I973" s="1">
        <v>0</v>
      </c>
      <c r="J973" s="1">
        <v>0</v>
      </c>
      <c r="K973" s="2">
        <v>3.25</v>
      </c>
    </row>
    <row r="974" spans="1:12">
      <c r="A974" s="3" t="s">
        <v>633</v>
      </c>
      <c r="B974" s="3" t="s">
        <v>883</v>
      </c>
      <c r="C974" s="3" t="s">
        <v>1048</v>
      </c>
      <c r="D974" s="3"/>
      <c r="E974" s="2" t="str">
        <f>HYPERLINK("https://old.ukr-mobil.com/steklo_displeya_lenovo_tab_m10_hd_2_gen_x306f_x306x_s_oca_plenkoj_original_black_10004025", "Перейти")</f>
        <v>Перейти</v>
      </c>
      <c r="F974" s="2">
        <v>10004025</v>
      </c>
      <c r="G974" s="4" t="s">
        <v>1049</v>
      </c>
      <c r="H974" s="1">
        <v>0</v>
      </c>
      <c r="I974" s="1">
        <v>0</v>
      </c>
      <c r="J974" s="1">
        <v>0</v>
      </c>
      <c r="K974" s="2">
        <v>4.0</v>
      </c>
    </row>
    <row r="975" spans="1:12">
      <c r="A975" s="3" t="s">
        <v>633</v>
      </c>
      <c r="B975" s="3" t="s">
        <v>883</v>
      </c>
      <c r="C975" s="3" t="s">
        <v>1048</v>
      </c>
      <c r="D975" s="3"/>
      <c r="E975" s="2" t="str">
        <f>HYPERLINK("https://old.ukr-mobil.com/steklo_displeya_lenovo_tab_m10_plus_fhd_tb-x606f_s_oca_plenkoj_original_10004024", "Перейти")</f>
        <v>Перейти</v>
      </c>
      <c r="F975" s="2">
        <v>10004024</v>
      </c>
      <c r="G975" s="4" t="s">
        <v>1050</v>
      </c>
      <c r="H975" s="1">
        <v>0</v>
      </c>
      <c r="I975" s="1">
        <v>0</v>
      </c>
      <c r="J975" s="1">
        <v>0</v>
      </c>
      <c r="K975" s="2">
        <v>4.0</v>
      </c>
    </row>
    <row r="976" spans="1:12">
      <c r="A976" s="3" t="s">
        <v>633</v>
      </c>
      <c r="B976" s="3" t="s">
        <v>883</v>
      </c>
      <c r="C976" s="3" t="s">
        <v>1048</v>
      </c>
      <c r="D976" s="3"/>
      <c r="E976" s="2" t="str">
        <f>HYPERLINK("https://old.ukr-mobil.com/steklo_displeya_lenovo_tab_m10_tb-x605_s_oca_plenkoj_original_10004073", "Перейти")</f>
        <v>Перейти</v>
      </c>
      <c r="F976" s="2">
        <v>10004073</v>
      </c>
      <c r="G976" s="4" t="s">
        <v>1051</v>
      </c>
      <c r="H976" s="1">
        <v>2</v>
      </c>
      <c r="I976" s="1">
        <v>1</v>
      </c>
      <c r="J976" s="1">
        <v>0</v>
      </c>
      <c r="K976" s="2">
        <v>1.5</v>
      </c>
    </row>
    <row r="977" spans="1:12">
      <c r="A977" s="3" t="s">
        <v>633</v>
      </c>
      <c r="B977" s="3" t="s">
        <v>883</v>
      </c>
      <c r="C977" s="3" t="s">
        <v>1048</v>
      </c>
      <c r="D977" s="3"/>
      <c r="E977" s="2" t="str">
        <f>HYPERLINK("https://old.ukr-mobil.com/steklo_displeya_lenovo_tab_m8_tb-8505f_tb-8505x_s_oca_plenkoj_original_10004076", "Перейти")</f>
        <v>Перейти</v>
      </c>
      <c r="F977" s="2">
        <v>10004076</v>
      </c>
      <c r="G977" s="4" t="s">
        <v>1052</v>
      </c>
      <c r="H977" s="1">
        <v>0</v>
      </c>
      <c r="I977" s="1">
        <v>0</v>
      </c>
      <c r="J977" s="1">
        <v>0</v>
      </c>
      <c r="K977" s="2">
        <v>3.5</v>
      </c>
    </row>
    <row r="978" spans="1:12">
      <c r="A978" s="3" t="s">
        <v>633</v>
      </c>
      <c r="B978" s="3" t="s">
        <v>883</v>
      </c>
      <c r="C978" s="3" t="s">
        <v>1048</v>
      </c>
      <c r="D978" s="3"/>
      <c r="E978" s="2" t="str">
        <f>HYPERLINK("https://old.ukr-mobil.com/steklo_displeya_lenovo_tab_m8_fhd_tb-8705f_s_oca_plenkoj_original_10004075", "Перейти")</f>
        <v>Перейти</v>
      </c>
      <c r="F978" s="2">
        <v>10004075</v>
      </c>
      <c r="G978" s="4" t="s">
        <v>1053</v>
      </c>
      <c r="H978" s="1">
        <v>0</v>
      </c>
      <c r="I978" s="1">
        <v>1</v>
      </c>
      <c r="J978" s="1">
        <v>0</v>
      </c>
      <c r="K978" s="2">
        <v>3.5</v>
      </c>
    </row>
    <row r="979" spans="1:12">
      <c r="A979" s="3" t="s">
        <v>633</v>
      </c>
      <c r="B979" s="3" t="s">
        <v>883</v>
      </c>
      <c r="C979" s="3" t="s">
        <v>1048</v>
      </c>
      <c r="D979" s="3"/>
      <c r="E979" s="2" t="str">
        <f>HYPERLINK("https://old.ukr-mobil.com/steklo_displeya_lenovo_tab_p11_tb-j606f_tab_p11_plus_tb-j616f_s_oca_plenkoj_original_10004023", "Перейти")</f>
        <v>Перейти</v>
      </c>
      <c r="F979" s="2">
        <v>10004023</v>
      </c>
      <c r="G979" s="4" t="s">
        <v>1054</v>
      </c>
      <c r="H979" s="1">
        <v>0</v>
      </c>
      <c r="I979" s="1">
        <v>0</v>
      </c>
      <c r="J979" s="1">
        <v>0</v>
      </c>
      <c r="K979" s="2">
        <v>3.75</v>
      </c>
    </row>
    <row r="980" spans="1:12">
      <c r="A980" s="3" t="s">
        <v>633</v>
      </c>
      <c r="B980" s="3" t="s">
        <v>883</v>
      </c>
      <c r="C980" s="3" t="s">
        <v>1048</v>
      </c>
      <c r="D980" s="3"/>
      <c r="E980" s="2" t="str">
        <f>HYPERLINK("https://old.ukr-mobil.com/steklo_displeya_lenovo_tab_p11_pro_tb-j706_s_oca_plenkoj_original_10004072", "Перейти")</f>
        <v>Перейти</v>
      </c>
      <c r="F980" s="2">
        <v>10004072</v>
      </c>
      <c r="G980" s="4" t="s">
        <v>1055</v>
      </c>
      <c r="H980" s="1">
        <v>17</v>
      </c>
      <c r="I980" s="1">
        <v>8</v>
      </c>
      <c r="J980" s="1">
        <v>4</v>
      </c>
      <c r="K980" s="2">
        <v>3.0</v>
      </c>
    </row>
    <row r="981" spans="1:12">
      <c r="A981" s="3" t="s">
        <v>633</v>
      </c>
      <c r="B981" s="3" t="s">
        <v>883</v>
      </c>
      <c r="C981" s="3" t="s">
        <v>1056</v>
      </c>
      <c r="D981" s="3"/>
      <c r="E981" s="2" t="str">
        <f>HYPERLINK("https://old.ukr-mobil.com/steklo_displeya_lg_g6_h870_g6_h870k_g6_h871_g6_h872_g6_h873_g6_ls993_g6_us997_g6_vs998_original_blue_10001397", "Перейти")</f>
        <v>Перейти</v>
      </c>
      <c r="F981" s="2">
        <v>10001397</v>
      </c>
      <c r="G981" s="4" t="s">
        <v>1057</v>
      </c>
      <c r="H981" s="1">
        <v>3</v>
      </c>
      <c r="I981" s="1">
        <v>0</v>
      </c>
      <c r="J981" s="1">
        <v>1</v>
      </c>
      <c r="K981" s="2">
        <v>5.0</v>
      </c>
    </row>
    <row r="982" spans="1:12">
      <c r="A982" s="3" t="s">
        <v>633</v>
      </c>
      <c r="B982" s="3" t="s">
        <v>883</v>
      </c>
      <c r="C982" s="3" t="s">
        <v>1056</v>
      </c>
      <c r="D982" s="3"/>
      <c r="E982" s="2" t="str">
        <f>HYPERLINK("https://old.ukr-mobil.com/steklo_displeya_lg_v30_h930ds_silver_10000394", "Перейти")</f>
        <v>Перейти</v>
      </c>
      <c r="F982" s="2">
        <v>10000394</v>
      </c>
      <c r="G982" s="4" t="s">
        <v>1058</v>
      </c>
      <c r="H982" s="1">
        <v>0</v>
      </c>
      <c r="I982" s="1">
        <v>0</v>
      </c>
      <c r="J982" s="1">
        <v>0</v>
      </c>
      <c r="K982" s="2">
        <v>5.0</v>
      </c>
    </row>
    <row r="983" spans="1:12">
      <c r="A983" s="3" t="s">
        <v>633</v>
      </c>
      <c r="B983" s="3" t="s">
        <v>883</v>
      </c>
      <c r="C983" s="3" t="s">
        <v>1059</v>
      </c>
      <c r="D983" s="3"/>
      <c r="E983" s="2" t="str">
        <f>HYPERLINK("https://old.ukr-mobil.com/steklo_displeya_meizu_16_black_10000828", "Перейти")</f>
        <v>Перейти</v>
      </c>
      <c r="F983" s="2">
        <v>10000828</v>
      </c>
      <c r="G983" s="4" t="s">
        <v>1060</v>
      </c>
      <c r="H983" s="1">
        <v>11</v>
      </c>
      <c r="I983" s="1">
        <v>4</v>
      </c>
      <c r="J983" s="1">
        <v>3</v>
      </c>
      <c r="K983" s="2">
        <v>2.5</v>
      </c>
    </row>
    <row r="984" spans="1:12">
      <c r="A984" s="3" t="s">
        <v>633</v>
      </c>
      <c r="B984" s="3" t="s">
        <v>883</v>
      </c>
      <c r="C984" s="3" t="s">
        <v>1059</v>
      </c>
      <c r="D984" s="3"/>
      <c r="E984" s="2" t="str">
        <f>HYPERLINK("https://old.ukr-mobil.com/steklo_displeya_meizu_16x_black_10001028", "Перейти")</f>
        <v>Перейти</v>
      </c>
      <c r="F984" s="2">
        <v>10001028</v>
      </c>
      <c r="G984" s="4" t="s">
        <v>1061</v>
      </c>
      <c r="H984" s="1">
        <v>8</v>
      </c>
      <c r="I984" s="1">
        <v>3</v>
      </c>
      <c r="J984" s="1">
        <v>1</v>
      </c>
      <c r="K984" s="2">
        <v>3.0</v>
      </c>
    </row>
    <row r="985" spans="1:12">
      <c r="A985" s="3" t="s">
        <v>633</v>
      </c>
      <c r="B985" s="3" t="s">
        <v>883</v>
      </c>
      <c r="C985" s="3" t="s">
        <v>1059</v>
      </c>
      <c r="D985" s="3"/>
      <c r="E985" s="2" t="str">
        <f>HYPERLINK("https://old.ukr-mobil.com/steklo_displeya_meizu_mx5_black_10534", "Перейти")</f>
        <v>Перейти</v>
      </c>
      <c r="F985" s="2">
        <v>10534</v>
      </c>
      <c r="G985" s="4" t="s">
        <v>1062</v>
      </c>
      <c r="H985" s="1">
        <v>21</v>
      </c>
      <c r="I985" s="1">
        <v>3</v>
      </c>
      <c r="J985" s="1">
        <v>3</v>
      </c>
      <c r="K985" s="2">
        <v>1.66</v>
      </c>
    </row>
    <row r="986" spans="1:12">
      <c r="A986" s="3" t="s">
        <v>633</v>
      </c>
      <c r="B986" s="3" t="s">
        <v>883</v>
      </c>
      <c r="C986" s="3" t="s">
        <v>1059</v>
      </c>
      <c r="D986" s="3"/>
      <c r="E986" s="2" t="str">
        <f>HYPERLINK("https://old.ukr-mobil.com/steklo_displeya_meizu_mx5_white_10535", "Перейти")</f>
        <v>Перейти</v>
      </c>
      <c r="F986" s="2">
        <v>10535</v>
      </c>
      <c r="G986" s="4" t="s">
        <v>1063</v>
      </c>
      <c r="H986" s="1">
        <v>18</v>
      </c>
      <c r="I986" s="1">
        <v>3</v>
      </c>
      <c r="J986" s="1">
        <v>3</v>
      </c>
      <c r="K986" s="2">
        <v>1.66</v>
      </c>
    </row>
    <row r="987" spans="1:12">
      <c r="A987" s="3" t="s">
        <v>633</v>
      </c>
      <c r="B987" s="3" t="s">
        <v>883</v>
      </c>
      <c r="C987" s="3" t="s">
        <v>1059</v>
      </c>
      <c r="D987" s="3"/>
      <c r="E987" s="2" t="str">
        <f>HYPERLINK("https://old.ukr-mobil.com/steklo_displeya_meizu_mx6_black_10536", "Перейти")</f>
        <v>Перейти</v>
      </c>
      <c r="F987" s="2">
        <v>10536</v>
      </c>
      <c r="G987" s="4" t="s">
        <v>1064</v>
      </c>
      <c r="H987" s="1">
        <v>0</v>
      </c>
      <c r="I987" s="1">
        <v>0</v>
      </c>
      <c r="J987" s="1">
        <v>0</v>
      </c>
      <c r="K987" s="2">
        <v>2.52</v>
      </c>
    </row>
    <row r="988" spans="1:12">
      <c r="A988" s="3" t="s">
        <v>633</v>
      </c>
      <c r="B988" s="3" t="s">
        <v>883</v>
      </c>
      <c r="C988" s="3" t="s">
        <v>1059</v>
      </c>
      <c r="D988" s="3"/>
      <c r="E988" s="2" t="str">
        <f>HYPERLINK("https://old.ukr-mobil.com/steklo_displeya_meizu_x8_black_10001031", "Перейти")</f>
        <v>Перейти</v>
      </c>
      <c r="F988" s="2">
        <v>10001031</v>
      </c>
      <c r="G988" s="4" t="s">
        <v>1065</v>
      </c>
      <c r="H988" s="1">
        <v>11</v>
      </c>
      <c r="I988" s="1">
        <v>4</v>
      </c>
      <c r="J988" s="1">
        <v>2</v>
      </c>
      <c r="K988" s="2">
        <v>2.0</v>
      </c>
    </row>
    <row r="989" spans="1:12">
      <c r="A989" s="3" t="s">
        <v>633</v>
      </c>
      <c r="B989" s="3" t="s">
        <v>883</v>
      </c>
      <c r="C989" s="3" t="s">
        <v>1066</v>
      </c>
      <c r="D989" s="3"/>
      <c r="E989" s="2" t="str">
        <f>HYPERLINK("https://old.ukr-mobil.com/steklo_displeya_microsoft_lumia_950_black_10552", "Перейти")</f>
        <v>Перейти</v>
      </c>
      <c r="F989" s="2">
        <v>10552</v>
      </c>
      <c r="G989" s="4" t="s">
        <v>1067</v>
      </c>
      <c r="H989" s="1">
        <v>0</v>
      </c>
      <c r="I989" s="1">
        <v>3</v>
      </c>
      <c r="J989" s="1">
        <v>0</v>
      </c>
      <c r="K989" s="2">
        <v>1.3</v>
      </c>
    </row>
    <row r="990" spans="1:12">
      <c r="A990" s="3" t="s">
        <v>633</v>
      </c>
      <c r="B990" s="3" t="s">
        <v>883</v>
      </c>
      <c r="C990" s="3" t="s">
        <v>1068</v>
      </c>
      <c r="D990" s="3"/>
      <c r="E990" s="2" t="str">
        <f>HYPERLINK("https://old.ukr-mobil.com/steklo_displeya_motorola_e20_xt2155_s_oca_plenkoj_original_10004533", "Перейти")</f>
        <v>Перейти</v>
      </c>
      <c r="F990" s="2">
        <v>10004533</v>
      </c>
      <c r="G990" s="4" t="s">
        <v>1069</v>
      </c>
      <c r="H990" s="1">
        <v>2</v>
      </c>
      <c r="I990" s="1">
        <v>0</v>
      </c>
      <c r="J990" s="1">
        <v>3</v>
      </c>
      <c r="K990" s="2">
        <v>2.5</v>
      </c>
    </row>
    <row r="991" spans="1:12">
      <c r="A991" s="3" t="s">
        <v>633</v>
      </c>
      <c r="B991" s="3" t="s">
        <v>883</v>
      </c>
      <c r="C991" s="3" t="s">
        <v>1068</v>
      </c>
      <c r="D991" s="3"/>
      <c r="E991" s="2" t="str">
        <f>HYPERLINK("https://old.ukr-mobil.com/steklo_displeya_motorola_e7_xt2095_e7_power_xt2097_e7i_power_s_oca_plenkoj_original_10003242", "Перейти")</f>
        <v>Перейти</v>
      </c>
      <c r="F991" s="2">
        <v>10003242</v>
      </c>
      <c r="G991" s="4" t="s">
        <v>1070</v>
      </c>
      <c r="H991" s="1">
        <v>11</v>
      </c>
      <c r="I991" s="1">
        <v>2</v>
      </c>
      <c r="J991" s="1">
        <v>10</v>
      </c>
      <c r="K991" s="2">
        <v>2.5</v>
      </c>
    </row>
    <row r="992" spans="1:12">
      <c r="A992" s="3" t="s">
        <v>633</v>
      </c>
      <c r="B992" s="3" t="s">
        <v>883</v>
      </c>
      <c r="C992" s="3" t="s">
        <v>1068</v>
      </c>
      <c r="D992" s="3"/>
      <c r="E992" s="2" t="str">
        <f>HYPERLINK("https://old.ukr-mobil.com/steklo_displeya_motorola_g10_xt2127_g10_power_g20_xt2128_g30_lenovo_k13_pro_s_oca_plenkoj_original_10003241", "Перейти")</f>
        <v>Перейти</v>
      </c>
      <c r="F992" s="2">
        <v>10003241</v>
      </c>
      <c r="G992" s="4" t="s">
        <v>1071</v>
      </c>
      <c r="H992" s="1">
        <v>15</v>
      </c>
      <c r="I992" s="1">
        <v>3</v>
      </c>
      <c r="J992" s="1">
        <v>7</v>
      </c>
      <c r="K992" s="2">
        <v>2.25</v>
      </c>
    </row>
    <row r="993" spans="1:12">
      <c r="A993" s="3" t="s">
        <v>633</v>
      </c>
      <c r="B993" s="3" t="s">
        <v>883</v>
      </c>
      <c r="C993" s="3" t="s">
        <v>1068</v>
      </c>
      <c r="D993" s="3"/>
      <c r="E993" s="2" t="str">
        <f>HYPERLINK("https://old.ukr-mobil.com/steklo_displeya_motorola_g60_xt2135-2_xt2135_g40_fusion_s_oca_plenkoj_original_10003240", "Перейти")</f>
        <v>Перейти</v>
      </c>
      <c r="F993" s="2">
        <v>10003240</v>
      </c>
      <c r="G993" s="4" t="s">
        <v>1072</v>
      </c>
      <c r="H993" s="1">
        <v>15</v>
      </c>
      <c r="I993" s="1">
        <v>14</v>
      </c>
      <c r="J993" s="1">
        <v>0</v>
      </c>
      <c r="K993" s="2">
        <v>3.75</v>
      </c>
    </row>
    <row r="994" spans="1:12">
      <c r="A994" s="3" t="s">
        <v>633</v>
      </c>
      <c r="B994" s="3" t="s">
        <v>883</v>
      </c>
      <c r="C994" s="3" t="s">
        <v>1068</v>
      </c>
      <c r="D994" s="3"/>
      <c r="E994" s="2" t="str">
        <f>HYPERLINK("https://old.ukr-mobil.com/steklo_displeya_motorola_xt1955_moto_g7_power_black_10000829", "Перейти")</f>
        <v>Перейти</v>
      </c>
      <c r="F994" s="2">
        <v>10000829</v>
      </c>
      <c r="G994" s="4" t="s">
        <v>1073</v>
      </c>
      <c r="H994" s="1">
        <v>2</v>
      </c>
      <c r="I994" s="1">
        <v>1</v>
      </c>
      <c r="J994" s="1">
        <v>0</v>
      </c>
      <c r="K994" s="2">
        <v>1.75</v>
      </c>
    </row>
    <row r="995" spans="1:12">
      <c r="A995" s="3" t="s">
        <v>633</v>
      </c>
      <c r="B995" s="3" t="s">
        <v>883</v>
      </c>
      <c r="C995" s="3" t="s">
        <v>1068</v>
      </c>
      <c r="D995" s="3"/>
      <c r="E995" s="2" t="str">
        <f>HYPERLINK("https://old.ukr-mobil.com/steklo_displeya_motorola_xt1635-02_moto_z_play_black_9951", "Перейти")</f>
        <v>Перейти</v>
      </c>
      <c r="F995" s="2">
        <v>9951</v>
      </c>
      <c r="G995" s="4" t="s">
        <v>1074</v>
      </c>
      <c r="H995" s="1">
        <v>14</v>
      </c>
      <c r="I995" s="1">
        <v>6</v>
      </c>
      <c r="J995" s="1">
        <v>3</v>
      </c>
      <c r="K995" s="2">
        <v>1.75</v>
      </c>
    </row>
    <row r="996" spans="1:12">
      <c r="A996" s="3" t="s">
        <v>633</v>
      </c>
      <c r="B996" s="3" t="s">
        <v>883</v>
      </c>
      <c r="C996" s="3" t="s">
        <v>1068</v>
      </c>
      <c r="D996" s="3"/>
      <c r="E996" s="2" t="str">
        <f>HYPERLINK("https://old.ukr-mobil.com/steklo_displeya_motorola_xt1710_moto_z2_play_black_10618", "Перейти")</f>
        <v>Перейти</v>
      </c>
      <c r="F996" s="2">
        <v>10618</v>
      </c>
      <c r="G996" s="4" t="s">
        <v>1075</v>
      </c>
      <c r="H996" s="1">
        <v>13</v>
      </c>
      <c r="I996" s="1">
        <v>1</v>
      </c>
      <c r="J996" s="1">
        <v>2</v>
      </c>
      <c r="K996" s="2">
        <v>1.5</v>
      </c>
    </row>
    <row r="997" spans="1:12">
      <c r="A997" s="3" t="s">
        <v>633</v>
      </c>
      <c r="B997" s="3" t="s">
        <v>883</v>
      </c>
      <c r="C997" s="3" t="s">
        <v>1068</v>
      </c>
      <c r="D997" s="3"/>
      <c r="E997" s="2" t="str">
        <f>HYPERLINK("https://old.ukr-mobil.com/steklo_displeya_motorola_xt1925_moto_g6_black_11460", "Перейти")</f>
        <v>Перейти</v>
      </c>
      <c r="F997" s="2">
        <v>11460</v>
      </c>
      <c r="G997" s="4" t="s">
        <v>1076</v>
      </c>
      <c r="H997" s="1">
        <v>10</v>
      </c>
      <c r="I997" s="1">
        <v>1</v>
      </c>
      <c r="J997" s="1">
        <v>1</v>
      </c>
      <c r="K997" s="2">
        <v>2.0</v>
      </c>
    </row>
    <row r="998" spans="1:12">
      <c r="A998" s="3" t="s">
        <v>633</v>
      </c>
      <c r="B998" s="3" t="s">
        <v>883</v>
      </c>
      <c r="C998" s="3" t="s">
        <v>1068</v>
      </c>
      <c r="D998" s="3"/>
      <c r="E998" s="2" t="str">
        <f>HYPERLINK("https://old.ukr-mobil.com/steklo_displeya_motorola_xt1941-2_moto_p30_play_black_10001221", "Перейти")</f>
        <v>Перейти</v>
      </c>
      <c r="F998" s="2">
        <v>10001221</v>
      </c>
      <c r="G998" s="4" t="s">
        <v>1077</v>
      </c>
      <c r="H998" s="1">
        <v>15</v>
      </c>
      <c r="I998" s="1">
        <v>5</v>
      </c>
      <c r="J998" s="1">
        <v>2</v>
      </c>
      <c r="K998" s="2">
        <v>1.75</v>
      </c>
    </row>
    <row r="999" spans="1:12">
      <c r="A999" s="3" t="s">
        <v>633</v>
      </c>
      <c r="B999" s="3" t="s">
        <v>883</v>
      </c>
      <c r="C999" s="3" t="s">
        <v>1068</v>
      </c>
      <c r="D999" s="3"/>
      <c r="E999" s="2" t="str">
        <f>HYPERLINK("https://old.ukr-mobil.com/steklo_displeya_motorola_xt1941-4_moto_one_black_10001222", "Перейти")</f>
        <v>Перейти</v>
      </c>
      <c r="F999" s="2">
        <v>10001222</v>
      </c>
      <c r="G999" s="4" t="s">
        <v>1078</v>
      </c>
      <c r="H999" s="1">
        <v>0</v>
      </c>
      <c r="I999" s="1">
        <v>0</v>
      </c>
      <c r="J999" s="1">
        <v>0</v>
      </c>
      <c r="K999" s="2">
        <v>2.95</v>
      </c>
    </row>
    <row r="1000" spans="1:12">
      <c r="A1000" s="3" t="s">
        <v>633</v>
      </c>
      <c r="B1000" s="3" t="s">
        <v>883</v>
      </c>
      <c r="C1000" s="3" t="s">
        <v>1068</v>
      </c>
      <c r="D1000" s="3"/>
      <c r="E1000" s="2" t="str">
        <f>HYPERLINK("https://old.ukr-mobil.com/steklo_displeya_motorola_xt1944_moto_e5_black_11450", "Перейти")</f>
        <v>Перейти</v>
      </c>
      <c r="F1000" s="2">
        <v>11450</v>
      </c>
      <c r="G1000" s="4" t="s">
        <v>1079</v>
      </c>
      <c r="H1000" s="1">
        <v>1</v>
      </c>
      <c r="I1000" s="1">
        <v>2</v>
      </c>
      <c r="J1000" s="1">
        <v>1</v>
      </c>
      <c r="K1000" s="2">
        <v>1.75</v>
      </c>
    </row>
    <row r="1001" spans="1:12">
      <c r="A1001" s="3" t="s">
        <v>633</v>
      </c>
      <c r="B1001" s="3" t="s">
        <v>883</v>
      </c>
      <c r="C1001" s="3" t="s">
        <v>1068</v>
      </c>
      <c r="D1001" s="3"/>
      <c r="E1001" s="2" t="str">
        <f>HYPERLINK("https://old.ukr-mobil.com/steklo_displeya_motorola_xt1952_moto_g7_play_black_10000830", "Перейти")</f>
        <v>Перейти</v>
      </c>
      <c r="F1001" s="2">
        <v>10000830</v>
      </c>
      <c r="G1001" s="4" t="s">
        <v>1080</v>
      </c>
      <c r="H1001" s="1">
        <v>20</v>
      </c>
      <c r="I1001" s="1">
        <v>7</v>
      </c>
      <c r="J1001" s="1">
        <v>1</v>
      </c>
      <c r="K1001" s="2">
        <v>1.5</v>
      </c>
    </row>
    <row r="1002" spans="1:12">
      <c r="A1002" s="3" t="s">
        <v>633</v>
      </c>
      <c r="B1002" s="3" t="s">
        <v>883</v>
      </c>
      <c r="C1002" s="3" t="s">
        <v>1068</v>
      </c>
      <c r="D1002" s="3"/>
      <c r="E1002" s="2" t="str">
        <f>HYPERLINK("https://old.ukr-mobil.com/steklo_displeya_motorola_xt1962_moto_g7_xt1965_moto_g7_plus_black_10001223", "Перейти")</f>
        <v>Перейти</v>
      </c>
      <c r="F1002" s="2">
        <v>10001223</v>
      </c>
      <c r="G1002" s="4" t="s">
        <v>1081</v>
      </c>
      <c r="H1002" s="1">
        <v>0</v>
      </c>
      <c r="I1002" s="1">
        <v>0</v>
      </c>
      <c r="J1002" s="1">
        <v>0</v>
      </c>
      <c r="K1002" s="2">
        <v>1.5</v>
      </c>
    </row>
    <row r="1003" spans="1:12">
      <c r="A1003" s="3" t="s">
        <v>633</v>
      </c>
      <c r="B1003" s="3" t="s">
        <v>883</v>
      </c>
      <c r="C1003" s="3" t="s">
        <v>1068</v>
      </c>
      <c r="D1003" s="3"/>
      <c r="E1003" s="2" t="str">
        <f>HYPERLINK("https://old.ukr-mobil.com/steklo_displeya_motorola_xt2010_moto_one_zoom_black_10002214", "Перейти")</f>
        <v>Перейти</v>
      </c>
      <c r="F1003" s="2">
        <v>10002214</v>
      </c>
      <c r="G1003" s="4" t="s">
        <v>1082</v>
      </c>
      <c r="H1003" s="1">
        <v>1</v>
      </c>
      <c r="I1003" s="1">
        <v>3</v>
      </c>
      <c r="J1003" s="1">
        <v>1</v>
      </c>
      <c r="K1003" s="2">
        <v>1.75</v>
      </c>
    </row>
    <row r="1004" spans="1:12">
      <c r="A1004" s="3" t="s">
        <v>633</v>
      </c>
      <c r="B1004" s="3" t="s">
        <v>883</v>
      </c>
      <c r="C1004" s="3" t="s">
        <v>1068</v>
      </c>
      <c r="D1004" s="3"/>
      <c r="E1004" s="2" t="str">
        <f>HYPERLINK("https://old.ukr-mobil.com/steklo_displeya_motorola_xt2013-2_moto_one_action_xt1970_moto_one_vision_black_10001224", "Перейти")</f>
        <v>Перейти</v>
      </c>
      <c r="F1004" s="2">
        <v>10001224</v>
      </c>
      <c r="G1004" s="4" t="s">
        <v>1083</v>
      </c>
      <c r="H1004" s="1">
        <v>0</v>
      </c>
      <c r="I1004" s="1">
        <v>0</v>
      </c>
      <c r="J1004" s="1">
        <v>0</v>
      </c>
      <c r="K1004" s="2">
        <v>2.35</v>
      </c>
    </row>
    <row r="1005" spans="1:12">
      <c r="A1005" s="3" t="s">
        <v>633</v>
      </c>
      <c r="B1005" s="3" t="s">
        <v>883</v>
      </c>
      <c r="C1005" s="3" t="s">
        <v>1068</v>
      </c>
      <c r="D1005" s="3"/>
      <c r="E1005" s="2" t="str">
        <f>HYPERLINK("https://old.ukr-mobil.com/steklo_displeya_motorola_xt2015_moto_g8_play_black_10001225", "Перейти")</f>
        <v>Перейти</v>
      </c>
      <c r="F1005" s="2">
        <v>10001225</v>
      </c>
      <c r="G1005" s="4" t="s">
        <v>1084</v>
      </c>
      <c r="H1005" s="1">
        <v>22</v>
      </c>
      <c r="I1005" s="1">
        <v>5</v>
      </c>
      <c r="J1005" s="1">
        <v>1</v>
      </c>
      <c r="K1005" s="2">
        <v>1.75</v>
      </c>
    </row>
    <row r="1006" spans="1:12">
      <c r="A1006" s="3" t="s">
        <v>633</v>
      </c>
      <c r="B1006" s="3" t="s">
        <v>883</v>
      </c>
      <c r="C1006" s="3" t="s">
        <v>1068</v>
      </c>
      <c r="D1006" s="3"/>
      <c r="E1006" s="2" t="str">
        <f>HYPERLINK("https://old.ukr-mobil.com/steklo_displeya_motorola_xt2081_moto_e7_plus_xt2083_moto_g9_play_s_oca_plenkoj_original_10003243", "Перейти")</f>
        <v>Перейти</v>
      </c>
      <c r="F1006" s="2">
        <v>10003243</v>
      </c>
      <c r="G1006" s="4" t="s">
        <v>1085</v>
      </c>
      <c r="H1006" s="1">
        <v>18</v>
      </c>
      <c r="I1006" s="1">
        <v>6</v>
      </c>
      <c r="J1006" s="1">
        <v>9</v>
      </c>
      <c r="K1006" s="2">
        <v>2.5</v>
      </c>
    </row>
    <row r="1007" spans="1:12">
      <c r="A1007" s="3" t="s">
        <v>633</v>
      </c>
      <c r="B1007" s="3" t="s">
        <v>883</v>
      </c>
      <c r="C1007" s="3" t="s">
        <v>1086</v>
      </c>
      <c r="D1007" s="3"/>
      <c r="E1007" s="2" t="str">
        <f>HYPERLINK("https://old.ukr-mobil.com/steklo_displeya_nokia_2_3_black_10001041", "Перейти")</f>
        <v>Перейти</v>
      </c>
      <c r="F1007" s="2">
        <v>10001041</v>
      </c>
      <c r="G1007" s="4" t="s">
        <v>1087</v>
      </c>
      <c r="H1007" s="1">
        <v>27</v>
      </c>
      <c r="I1007" s="1">
        <v>0</v>
      </c>
      <c r="J1007" s="1">
        <v>1</v>
      </c>
      <c r="K1007" s="2">
        <v>1.75</v>
      </c>
    </row>
    <row r="1008" spans="1:12">
      <c r="A1008" s="3" t="s">
        <v>633</v>
      </c>
      <c r="B1008" s="3" t="s">
        <v>883</v>
      </c>
      <c r="C1008" s="3" t="s">
        <v>1086</v>
      </c>
      <c r="D1008" s="3"/>
      <c r="E1008" s="2" t="str">
        <f>HYPERLINK("https://old.ukr-mobil.com/steklo_displeya_nokia_3_2_dual_sim_ta-1156_ta-1164_original_black_10001830", "Перейти")</f>
        <v>Перейти</v>
      </c>
      <c r="F1008" s="2">
        <v>10001830</v>
      </c>
      <c r="G1008" s="4" t="s">
        <v>1088</v>
      </c>
      <c r="H1008" s="1">
        <v>15</v>
      </c>
      <c r="I1008" s="1">
        <v>10</v>
      </c>
      <c r="J1008" s="1">
        <v>1</v>
      </c>
      <c r="K1008" s="2">
        <v>1.75</v>
      </c>
    </row>
    <row r="1009" spans="1:12">
      <c r="A1009" s="3" t="s">
        <v>633</v>
      </c>
      <c r="B1009" s="3" t="s">
        <v>883</v>
      </c>
      <c r="C1009" s="3" t="s">
        <v>1086</v>
      </c>
      <c r="D1009" s="3"/>
      <c r="E1009" s="2" t="str">
        <f>HYPERLINK("https://old.ukr-mobil.com/steklo_displeya_nokia_7_1_black_11702", "Перейти")</f>
        <v>Перейти</v>
      </c>
      <c r="F1009" s="2">
        <v>11702</v>
      </c>
      <c r="G1009" s="4" t="s">
        <v>1089</v>
      </c>
      <c r="H1009" s="1">
        <v>19</v>
      </c>
      <c r="I1009" s="1">
        <v>5</v>
      </c>
      <c r="J1009" s="1">
        <v>1</v>
      </c>
      <c r="K1009" s="2">
        <v>1.85</v>
      </c>
    </row>
    <row r="1010" spans="1:12">
      <c r="A1010" s="3" t="s">
        <v>633</v>
      </c>
      <c r="B1010" s="3" t="s">
        <v>883</v>
      </c>
      <c r="C1010" s="3" t="s">
        <v>1090</v>
      </c>
      <c r="D1010" s="3"/>
      <c r="E1010" s="2" t="str">
        <f>HYPERLINK("https://old.ukr-mobil.com/steklo_displeya_oneplus_5_black_11057", "Перейти")</f>
        <v>Перейти</v>
      </c>
      <c r="F1010" s="2">
        <v>11057</v>
      </c>
      <c r="G1010" s="4" t="s">
        <v>1091</v>
      </c>
      <c r="H1010" s="1">
        <v>10</v>
      </c>
      <c r="I1010" s="1">
        <v>4</v>
      </c>
      <c r="J1010" s="1">
        <v>2</v>
      </c>
      <c r="K1010" s="2">
        <v>1.75</v>
      </c>
    </row>
    <row r="1011" spans="1:12">
      <c r="A1011" s="3" t="s">
        <v>633</v>
      </c>
      <c r="B1011" s="3" t="s">
        <v>883</v>
      </c>
      <c r="C1011" s="3" t="s">
        <v>1090</v>
      </c>
      <c r="D1011" s="3"/>
      <c r="E1011" s="2" t="str">
        <f>HYPERLINK("https://old.ukr-mobil.com/steklo_displeya_oneplus_6_black_11987", "Перейти")</f>
        <v>Перейти</v>
      </c>
      <c r="F1011" s="2">
        <v>11987</v>
      </c>
      <c r="G1011" s="4" t="s">
        <v>1092</v>
      </c>
      <c r="H1011" s="1">
        <v>5</v>
      </c>
      <c r="I1011" s="1">
        <v>1</v>
      </c>
      <c r="J1011" s="1">
        <v>0</v>
      </c>
      <c r="K1011" s="2">
        <v>2.0</v>
      </c>
    </row>
    <row r="1012" spans="1:12">
      <c r="A1012" s="3" t="s">
        <v>633</v>
      </c>
      <c r="B1012" s="3" t="s">
        <v>883</v>
      </c>
      <c r="C1012" s="3" t="s">
        <v>1090</v>
      </c>
      <c r="D1012" s="3"/>
      <c r="E1012" s="2" t="str">
        <f>HYPERLINK("https://old.ukr-mobil.com/steklo_displeya_oneplus_6t_black_11988", "Перейти")</f>
        <v>Перейти</v>
      </c>
      <c r="F1012" s="2">
        <v>11988</v>
      </c>
      <c r="G1012" s="4" t="s">
        <v>1093</v>
      </c>
      <c r="H1012" s="1">
        <v>1</v>
      </c>
      <c r="I1012" s="1">
        <v>2</v>
      </c>
      <c r="J1012" s="1">
        <v>0</v>
      </c>
      <c r="K1012" s="2">
        <v>1.75</v>
      </c>
    </row>
    <row r="1013" spans="1:12">
      <c r="A1013" s="3" t="s">
        <v>633</v>
      </c>
      <c r="B1013" s="3" t="s">
        <v>883</v>
      </c>
      <c r="C1013" s="3" t="s">
        <v>1090</v>
      </c>
      <c r="D1013" s="3"/>
      <c r="E1013" s="2" t="str">
        <f>HYPERLINK("https://old.ukr-mobil.com/steklo_displeya_oneplus_7_pro_7t_pro_original_black_10001297", "Перейти")</f>
        <v>Перейти</v>
      </c>
      <c r="F1013" s="2">
        <v>10001297</v>
      </c>
      <c r="G1013" s="4" t="s">
        <v>1094</v>
      </c>
      <c r="H1013" s="1">
        <v>1</v>
      </c>
      <c r="I1013" s="1">
        <v>2</v>
      </c>
      <c r="J1013" s="1">
        <v>2</v>
      </c>
      <c r="K1013" s="2">
        <v>4.5</v>
      </c>
    </row>
    <row r="1014" spans="1:12">
      <c r="A1014" s="3" t="s">
        <v>633</v>
      </c>
      <c r="B1014" s="3" t="s">
        <v>883</v>
      </c>
      <c r="C1014" s="3" t="s">
        <v>1090</v>
      </c>
      <c r="D1014" s="3"/>
      <c r="E1014" s="2" t="str">
        <f>HYPERLINK("https://old.ukr-mobil.com/steklo_displeya_oneplus_7_original_black_10001296", "Перейти")</f>
        <v>Перейти</v>
      </c>
      <c r="F1014" s="2">
        <v>10001296</v>
      </c>
      <c r="G1014" s="4" t="s">
        <v>1095</v>
      </c>
      <c r="H1014" s="1">
        <v>9</v>
      </c>
      <c r="I1014" s="1">
        <v>5</v>
      </c>
      <c r="J1014" s="1">
        <v>1</v>
      </c>
      <c r="K1014" s="2">
        <v>2.0</v>
      </c>
    </row>
    <row r="1015" spans="1:12">
      <c r="A1015" s="3" t="s">
        <v>633</v>
      </c>
      <c r="B1015" s="3" t="s">
        <v>883</v>
      </c>
      <c r="C1015" s="3" t="s">
        <v>1090</v>
      </c>
      <c r="D1015" s="3"/>
      <c r="E1015" s="2" t="str">
        <f>HYPERLINK("https://old.ukr-mobil.com/steklo_displeya_oneplus_7t_original_black_10001298", "Перейти")</f>
        <v>Перейти</v>
      </c>
      <c r="F1015" s="2">
        <v>10001298</v>
      </c>
      <c r="G1015" s="4" t="s">
        <v>1096</v>
      </c>
      <c r="H1015" s="1">
        <v>1</v>
      </c>
      <c r="I1015" s="1">
        <v>0</v>
      </c>
      <c r="J1015" s="1">
        <v>1</v>
      </c>
      <c r="K1015" s="2">
        <v>2.75</v>
      </c>
    </row>
    <row r="1016" spans="1:12">
      <c r="A1016" s="3" t="s">
        <v>633</v>
      </c>
      <c r="B1016" s="3" t="s">
        <v>883</v>
      </c>
      <c r="C1016" s="3" t="s">
        <v>1090</v>
      </c>
      <c r="D1016" s="3"/>
      <c r="E1016" s="2" t="str">
        <f>HYPERLINK("https://old.ukr-mobil.com/steklo_displeya_oneplus_7t_s_oca_plenkoj_original_10002860", "Перейти")</f>
        <v>Перейти</v>
      </c>
      <c r="F1016" s="2">
        <v>10002860</v>
      </c>
      <c r="G1016" s="4" t="s">
        <v>1097</v>
      </c>
      <c r="H1016" s="1">
        <v>12</v>
      </c>
      <c r="I1016" s="1">
        <v>2</v>
      </c>
      <c r="J1016" s="1">
        <v>4</v>
      </c>
      <c r="K1016" s="2">
        <v>2.5</v>
      </c>
    </row>
    <row r="1017" spans="1:12">
      <c r="A1017" s="3" t="s">
        <v>633</v>
      </c>
      <c r="B1017" s="3" t="s">
        <v>883</v>
      </c>
      <c r="C1017" s="3" t="s">
        <v>1090</v>
      </c>
      <c r="D1017" s="3"/>
      <c r="E1017" s="2" t="str">
        <f>HYPERLINK("https://old.ukr-mobil.com/steklo_displeya_oneplus_8_pro_original_black_10001300", "Перейти")</f>
        <v>Перейти</v>
      </c>
      <c r="F1017" s="2">
        <v>10001300</v>
      </c>
      <c r="G1017" s="4" t="s">
        <v>1098</v>
      </c>
      <c r="H1017" s="1">
        <v>0</v>
      </c>
      <c r="I1017" s="1">
        <v>0</v>
      </c>
      <c r="J1017" s="1">
        <v>0</v>
      </c>
      <c r="K1017" s="2">
        <v>7.0</v>
      </c>
    </row>
    <row r="1018" spans="1:12">
      <c r="A1018" s="3" t="s">
        <v>633</v>
      </c>
      <c r="B1018" s="3" t="s">
        <v>883</v>
      </c>
      <c r="C1018" s="3" t="s">
        <v>1090</v>
      </c>
      <c r="D1018" s="3"/>
      <c r="E1018" s="2" t="str">
        <f>HYPERLINK("https://old.ukr-mobil.com/steklo_displeya_oneplus_8_pro_s_oca_plenkoj_original_10002905", "Перейти")</f>
        <v>Перейти</v>
      </c>
      <c r="F1018" s="2">
        <v>10002905</v>
      </c>
      <c r="G1018" s="4" t="s">
        <v>1099</v>
      </c>
      <c r="H1018" s="1">
        <v>3</v>
      </c>
      <c r="I1018" s="1">
        <v>0</v>
      </c>
      <c r="J1018" s="1">
        <v>0</v>
      </c>
      <c r="K1018" s="2">
        <v>10.0</v>
      </c>
    </row>
    <row r="1019" spans="1:12">
      <c r="A1019" s="3" t="s">
        <v>633</v>
      </c>
      <c r="B1019" s="3" t="s">
        <v>883</v>
      </c>
      <c r="C1019" s="3" t="s">
        <v>1090</v>
      </c>
      <c r="D1019" s="3"/>
      <c r="E1019" s="2" t="str">
        <f>HYPERLINK("https://old.ukr-mobil.com/steklo_displeya_oneplus_8_original_black_10001299", "Перейти")</f>
        <v>Перейти</v>
      </c>
      <c r="F1019" s="2">
        <v>10001299</v>
      </c>
      <c r="G1019" s="4" t="s">
        <v>1100</v>
      </c>
      <c r="H1019" s="1">
        <v>7</v>
      </c>
      <c r="I1019" s="1">
        <v>5</v>
      </c>
      <c r="J1019" s="1">
        <v>2</v>
      </c>
      <c r="K1019" s="2">
        <v>5.0</v>
      </c>
    </row>
    <row r="1020" spans="1:12">
      <c r="A1020" s="3" t="s">
        <v>633</v>
      </c>
      <c r="B1020" s="3" t="s">
        <v>883</v>
      </c>
      <c r="C1020" s="3" t="s">
        <v>1090</v>
      </c>
      <c r="D1020" s="3"/>
      <c r="E1020" s="2" t="str">
        <f>HYPERLINK("https://old.ukr-mobil.com/steklo_displeya_oneplus_8_s_oca_plenkoj_original_10002904", "Перейти")</f>
        <v>Перейти</v>
      </c>
      <c r="F1020" s="2">
        <v>10002904</v>
      </c>
      <c r="G1020" s="4" t="s">
        <v>1101</v>
      </c>
      <c r="H1020" s="1">
        <v>0</v>
      </c>
      <c r="I1020" s="1">
        <v>0</v>
      </c>
      <c r="J1020" s="1">
        <v>1</v>
      </c>
      <c r="K1020" s="2">
        <v>9.5</v>
      </c>
    </row>
    <row r="1021" spans="1:12">
      <c r="A1021" s="3" t="s">
        <v>633</v>
      </c>
      <c r="B1021" s="3" t="s">
        <v>883</v>
      </c>
      <c r="C1021" s="3" t="s">
        <v>1090</v>
      </c>
      <c r="D1021" s="3"/>
      <c r="E1021" s="2" t="str">
        <f>HYPERLINK("https://old.ukr-mobil.com/steklo_displeya_oneplus_8t_oneplus_9_oneplus_9r_s_oca_plenkoj_original_10002861", "Перейти")</f>
        <v>Перейти</v>
      </c>
      <c r="F1021" s="2">
        <v>10002861</v>
      </c>
      <c r="G1021" s="4" t="s">
        <v>1102</v>
      </c>
      <c r="H1021" s="1">
        <v>67</v>
      </c>
      <c r="I1021" s="1">
        <v>4</v>
      </c>
      <c r="J1021" s="1">
        <v>19</v>
      </c>
      <c r="K1021" s="2">
        <v>2.5</v>
      </c>
    </row>
    <row r="1022" spans="1:12">
      <c r="A1022" s="3" t="s">
        <v>633</v>
      </c>
      <c r="B1022" s="3" t="s">
        <v>883</v>
      </c>
      <c r="C1022" s="3" t="s">
        <v>1090</v>
      </c>
      <c r="D1022" s="3"/>
      <c r="E1022" s="2" t="str">
        <f>HYPERLINK("https://old.ukr-mobil.com/steklo_displeya_oneplus_nord_2_dn2103_dn2101_nord_ce_eb2101_eb2103_s_oca_plenkoj_original_10002880", "Перейти")</f>
        <v>Перейти</v>
      </c>
      <c r="F1022" s="2">
        <v>10002880</v>
      </c>
      <c r="G1022" s="4" t="s">
        <v>1103</v>
      </c>
      <c r="H1022" s="1">
        <v>0</v>
      </c>
      <c r="I1022" s="1">
        <v>0</v>
      </c>
      <c r="J1022" s="1">
        <v>0</v>
      </c>
      <c r="K1022" s="2">
        <v>2.5</v>
      </c>
    </row>
    <row r="1023" spans="1:12">
      <c r="A1023" s="3" t="s">
        <v>633</v>
      </c>
      <c r="B1023" s="3" t="s">
        <v>883</v>
      </c>
      <c r="C1023" s="3" t="s">
        <v>1090</v>
      </c>
      <c r="D1023" s="3"/>
      <c r="E1023" s="2" t="str">
        <f>HYPERLINK("https://old.ukr-mobil.com/steklo_displeya_oneplus_nord_n10_5g_s_oca_plenkoj_original_10002879", "Перейти")</f>
        <v>Перейти</v>
      </c>
      <c r="F1023" s="2">
        <v>10002879</v>
      </c>
      <c r="G1023" s="4" t="s">
        <v>1104</v>
      </c>
      <c r="H1023" s="1">
        <v>0</v>
      </c>
      <c r="I1023" s="1">
        <v>0</v>
      </c>
      <c r="J1023" s="1">
        <v>0</v>
      </c>
      <c r="K1023" s="2">
        <v>3.5</v>
      </c>
    </row>
    <row r="1024" spans="1:12">
      <c r="A1024" s="3" t="s">
        <v>633</v>
      </c>
      <c r="B1024" s="3" t="s">
        <v>883</v>
      </c>
      <c r="C1024" s="3" t="s">
        <v>1090</v>
      </c>
      <c r="D1024" s="3"/>
      <c r="E1024" s="2" t="str">
        <f>HYPERLINK("https://old.ukr-mobil.com/steklo_displeya_oneplus_nord_original_black_10001852", "Перейти")</f>
        <v>Перейти</v>
      </c>
      <c r="F1024" s="2">
        <v>10001852</v>
      </c>
      <c r="G1024" s="4" t="s">
        <v>1105</v>
      </c>
      <c r="H1024" s="1">
        <v>0</v>
      </c>
      <c r="I1024" s="1">
        <v>0</v>
      </c>
      <c r="J1024" s="1">
        <v>0</v>
      </c>
      <c r="K1024" s="2">
        <v>1.75</v>
      </c>
    </row>
    <row r="1025" spans="1:12">
      <c r="A1025" s="3" t="s">
        <v>633</v>
      </c>
      <c r="B1025" s="3" t="s">
        <v>883</v>
      </c>
      <c r="C1025" s="3" t="s">
        <v>1090</v>
      </c>
      <c r="D1025" s="3"/>
      <c r="E1025" s="2" t="str">
        <f>HYPERLINK("https://old.ukr-mobil.com/steklo_displeya_oneplus_nord_s_oca_plenkoj_original_10002878", "Перейти")</f>
        <v>Перейти</v>
      </c>
      <c r="F1025" s="2">
        <v>10002878</v>
      </c>
      <c r="G1025" s="4" t="s">
        <v>1106</v>
      </c>
      <c r="H1025" s="1">
        <v>27</v>
      </c>
      <c r="I1025" s="1">
        <v>7</v>
      </c>
      <c r="J1025" s="1">
        <v>4</v>
      </c>
      <c r="K1025" s="2">
        <v>2.5</v>
      </c>
    </row>
    <row r="1026" spans="1:12">
      <c r="A1026" s="3" t="s">
        <v>633</v>
      </c>
      <c r="B1026" s="3" t="s">
        <v>883</v>
      </c>
      <c r="C1026" s="3" t="s">
        <v>796</v>
      </c>
      <c r="D1026" s="3"/>
      <c r="E1026" s="2" t="str">
        <f>HYPERLINK("https://old.ukr-mobil.com/steklo_displeya_oppo_a12_a12s_s_oca_plenkoj_original_10002817", "Перейти")</f>
        <v>Перейти</v>
      </c>
      <c r="F1026" s="2">
        <v>10002817</v>
      </c>
      <c r="G1026" s="4" t="s">
        <v>1107</v>
      </c>
      <c r="H1026" s="1">
        <v>29</v>
      </c>
      <c r="I1026" s="1">
        <v>4</v>
      </c>
      <c r="J1026" s="1">
        <v>6</v>
      </c>
      <c r="K1026" s="2">
        <v>2.5</v>
      </c>
    </row>
    <row r="1027" spans="1:12">
      <c r="A1027" s="3" t="s">
        <v>633</v>
      </c>
      <c r="B1027" s="3" t="s">
        <v>883</v>
      </c>
      <c r="C1027" s="3" t="s">
        <v>796</v>
      </c>
      <c r="D1027" s="3"/>
      <c r="E1027" s="2" t="str">
        <f>HYPERLINK("https://old.ukr-mobil.com/steklo_displeya_oppo_a15_a15s_black_10002217", "Перейти")</f>
        <v>Перейти</v>
      </c>
      <c r="F1027" s="2">
        <v>10002217</v>
      </c>
      <c r="G1027" s="4" t="s">
        <v>1108</v>
      </c>
      <c r="H1027" s="1">
        <v>0</v>
      </c>
      <c r="I1027" s="1">
        <v>0</v>
      </c>
      <c r="J1027" s="1">
        <v>0</v>
      </c>
      <c r="K1027" s="2">
        <v>1.75</v>
      </c>
    </row>
    <row r="1028" spans="1:12">
      <c r="A1028" s="3" t="s">
        <v>633</v>
      </c>
      <c r="B1028" s="3" t="s">
        <v>883</v>
      </c>
      <c r="C1028" s="3" t="s">
        <v>796</v>
      </c>
      <c r="D1028" s="3"/>
      <c r="E1028" s="2" t="str">
        <f>HYPERLINK("https://old.ukr-mobil.com/steklo_displeya_oppo_a31_a5_2020_a9_2020_realme_5_black_10001216", "Перейти")</f>
        <v>Перейти</v>
      </c>
      <c r="F1028" s="2">
        <v>10001216</v>
      </c>
      <c r="G1028" s="4" t="s">
        <v>1109</v>
      </c>
      <c r="H1028" s="1">
        <v>21</v>
      </c>
      <c r="I1028" s="1">
        <v>2</v>
      </c>
      <c r="J1028" s="1">
        <v>9</v>
      </c>
      <c r="K1028" s="2">
        <v>1.75</v>
      </c>
    </row>
    <row r="1029" spans="1:12">
      <c r="A1029" s="3" t="s">
        <v>633</v>
      </c>
      <c r="B1029" s="3" t="s">
        <v>883</v>
      </c>
      <c r="C1029" s="3" t="s">
        <v>796</v>
      </c>
      <c r="D1029" s="3"/>
      <c r="E1029" s="2" t="str">
        <f>HYPERLINK("https://old.ukr-mobil.com/steklo_displeya_oppo_a31_a5_2020_a9_2020_realme_5_realme_5s_realme_5i_realme_6i_realme_c3_s_oca_plenkoj_original_10002818", "Перейти")</f>
        <v>Перейти</v>
      </c>
      <c r="F1029" s="2">
        <v>10002818</v>
      </c>
      <c r="G1029" s="4" t="s">
        <v>1110</v>
      </c>
      <c r="H1029" s="1">
        <v>0</v>
      </c>
      <c r="I1029" s="1">
        <v>0</v>
      </c>
      <c r="J1029" s="1">
        <v>4</v>
      </c>
      <c r="K1029" s="2">
        <v>2.65</v>
      </c>
    </row>
    <row r="1030" spans="1:12">
      <c r="A1030" s="3" t="s">
        <v>633</v>
      </c>
      <c r="B1030" s="3" t="s">
        <v>883</v>
      </c>
      <c r="C1030" s="3" t="s">
        <v>796</v>
      </c>
      <c r="D1030" s="3"/>
      <c r="E1030" s="2" t="str">
        <f>HYPERLINK("https://old.ukr-mobil.com/steklo_displeya_oppo_a32_a53_black_10001212", "Перейти")</f>
        <v>Перейти</v>
      </c>
      <c r="F1030" s="2">
        <v>10001212</v>
      </c>
      <c r="G1030" s="4" t="s">
        <v>1111</v>
      </c>
      <c r="H1030" s="1">
        <v>0</v>
      </c>
      <c r="I1030" s="1">
        <v>0</v>
      </c>
      <c r="J1030" s="1">
        <v>0</v>
      </c>
      <c r="K1030" s="2">
        <v>1.85</v>
      </c>
    </row>
    <row r="1031" spans="1:12">
      <c r="A1031" s="3" t="s">
        <v>633</v>
      </c>
      <c r="B1031" s="3" t="s">
        <v>883</v>
      </c>
      <c r="C1031" s="3" t="s">
        <v>796</v>
      </c>
      <c r="D1031" s="3"/>
      <c r="E1031" s="2" t="str">
        <f>HYPERLINK("https://old.ukr-mobil.com/steklo_displeya_oppo_a32_2020_a53_a53s_realme_7_realme_c17_oneplus_nord_n100_s_oca_plenkoj_original_10002819", "Перейти")</f>
        <v>Перейти</v>
      </c>
      <c r="F1031" s="2">
        <v>10002819</v>
      </c>
      <c r="G1031" s="4" t="s">
        <v>1112</v>
      </c>
      <c r="H1031" s="1">
        <v>0</v>
      </c>
      <c r="I1031" s="1">
        <v>0</v>
      </c>
      <c r="J1031" s="1">
        <v>0</v>
      </c>
      <c r="K1031" s="2">
        <v>3.0</v>
      </c>
    </row>
    <row r="1032" spans="1:12">
      <c r="A1032" s="3" t="s">
        <v>633</v>
      </c>
      <c r="B1032" s="3" t="s">
        <v>883</v>
      </c>
      <c r="C1032" s="3" t="s">
        <v>796</v>
      </c>
      <c r="D1032" s="3"/>
      <c r="E1032" s="2" t="str">
        <f>HYPERLINK("https://old.ukr-mobil.com/steklo_displeya_oppo_a52_a72_a92_realme_6_black_10001213", "Перейти")</f>
        <v>Перейти</v>
      </c>
      <c r="F1032" s="2">
        <v>10001213</v>
      </c>
      <c r="G1032" s="4" t="s">
        <v>1113</v>
      </c>
      <c r="H1032" s="1">
        <v>0</v>
      </c>
      <c r="I1032" s="1">
        <v>0</v>
      </c>
      <c r="J1032" s="1">
        <v>0</v>
      </c>
      <c r="K1032" s="2">
        <v>1.6</v>
      </c>
    </row>
    <row r="1033" spans="1:12">
      <c r="A1033" s="3" t="s">
        <v>633</v>
      </c>
      <c r="B1033" s="3" t="s">
        <v>883</v>
      </c>
      <c r="C1033" s="3" t="s">
        <v>796</v>
      </c>
      <c r="D1033" s="3"/>
      <c r="E1033" s="2" t="str">
        <f>HYPERLINK("https://old.ukr-mobil.com/steklo_displeya_oppo_a52_a72_a92_realme_6_s_oca_plenkoj_original_10002820", "Перейти")</f>
        <v>Перейти</v>
      </c>
      <c r="F1033" s="2">
        <v>10002820</v>
      </c>
      <c r="G1033" s="4" t="s">
        <v>1114</v>
      </c>
      <c r="H1033" s="1">
        <v>0</v>
      </c>
      <c r="I1033" s="1">
        <v>0</v>
      </c>
      <c r="J1033" s="1">
        <v>0</v>
      </c>
      <c r="K1033" s="2">
        <v>3.0</v>
      </c>
    </row>
    <row r="1034" spans="1:12">
      <c r="A1034" s="3" t="s">
        <v>633</v>
      </c>
      <c r="B1034" s="3" t="s">
        <v>883</v>
      </c>
      <c r="C1034" s="3" t="s">
        <v>796</v>
      </c>
      <c r="D1034" s="3"/>
      <c r="E1034" s="2" t="str">
        <f>HYPERLINK("https://old.ukr-mobil.com/index.php?route=product&amp;product_id=10004738", "Перейти")</f>
        <v>Перейти</v>
      </c>
      <c r="F1034" s="2">
        <v>10004738</v>
      </c>
      <c r="G1034" s="4" t="s">
        <v>1115</v>
      </c>
      <c r="H1034" s="1">
        <v>0</v>
      </c>
      <c r="I1034" s="1">
        <v>0</v>
      </c>
      <c r="J1034" s="1">
        <v>0</v>
      </c>
      <c r="K1034" s="2">
        <v>1.65</v>
      </c>
    </row>
    <row r="1035" spans="1:12">
      <c r="A1035" s="3" t="s">
        <v>633</v>
      </c>
      <c r="B1035" s="3" t="s">
        <v>883</v>
      </c>
      <c r="C1035" s="3" t="s">
        <v>796</v>
      </c>
      <c r="D1035" s="3"/>
      <c r="E1035" s="2" t="str">
        <f>HYPERLINK("https://old.ukr-mobil.com/steklo_displeya_oppo_a74_4g_a94_reno_5_lite_realme_7_pro_realme_8_realme_v_s_oca_plenkoj_original_10002821", "Перейти")</f>
        <v>Перейти</v>
      </c>
      <c r="F1035" s="2">
        <v>10002821</v>
      </c>
      <c r="G1035" s="4" t="s">
        <v>1116</v>
      </c>
      <c r="H1035" s="1">
        <v>0</v>
      </c>
      <c r="I1035" s="1">
        <v>0</v>
      </c>
      <c r="J1035" s="1">
        <v>0</v>
      </c>
      <c r="K1035" s="2">
        <v>3.0</v>
      </c>
    </row>
    <row r="1036" spans="1:12">
      <c r="A1036" s="3" t="s">
        <v>633</v>
      </c>
      <c r="B1036" s="3" t="s">
        <v>883</v>
      </c>
      <c r="C1036" s="3" t="s">
        <v>796</v>
      </c>
      <c r="D1036" s="3"/>
      <c r="E1036" s="2" t="str">
        <f>HYPERLINK("https://old.ukr-mobil.com/steklo_displeya_oppo_a74_4g_a94_reno_5_lite_realme_7_pro_realme_8_realme_v_black_10002401", "Перейти")</f>
        <v>Перейти</v>
      </c>
      <c r="F1036" s="2">
        <v>10002401</v>
      </c>
      <c r="G1036" s="4" t="s">
        <v>1117</v>
      </c>
      <c r="H1036" s="1">
        <v>0</v>
      </c>
      <c r="I1036" s="1">
        <v>0</v>
      </c>
      <c r="J1036" s="1">
        <v>0</v>
      </c>
      <c r="K1036" s="2">
        <v>2.0</v>
      </c>
    </row>
    <row r="1037" spans="1:12">
      <c r="A1037" s="3" t="s">
        <v>633</v>
      </c>
      <c r="B1037" s="3" t="s">
        <v>883</v>
      </c>
      <c r="C1037" s="3" t="s">
        <v>796</v>
      </c>
      <c r="D1037" s="3"/>
      <c r="E1037" s="2" t="str">
        <f>HYPERLINK("https://old.ukr-mobil.com/steklo_displeya_oppo_a91_black_10001211", "Перейти")</f>
        <v>Перейти</v>
      </c>
      <c r="F1037" s="2">
        <v>10001211</v>
      </c>
      <c r="G1037" s="4" t="s">
        <v>1118</v>
      </c>
      <c r="H1037" s="1">
        <v>0</v>
      </c>
      <c r="I1037" s="1">
        <v>0</v>
      </c>
      <c r="J1037" s="1">
        <v>0</v>
      </c>
      <c r="K1037" s="2">
        <v>1.75</v>
      </c>
    </row>
    <row r="1038" spans="1:12">
      <c r="A1038" s="3" t="s">
        <v>633</v>
      </c>
      <c r="B1038" s="3" t="s">
        <v>883</v>
      </c>
      <c r="C1038" s="3" t="s">
        <v>796</v>
      </c>
      <c r="D1038" s="3"/>
      <c r="E1038" s="2" t="str">
        <f>HYPERLINK("https://old.ukr-mobil.com/steklo_displeya_oppo_a91_s_oca_plenkoj_original_10002822", "Перейти")</f>
        <v>Перейти</v>
      </c>
      <c r="F1038" s="2">
        <v>10002822</v>
      </c>
      <c r="G1038" s="4" t="s">
        <v>1119</v>
      </c>
      <c r="H1038" s="1">
        <v>30</v>
      </c>
      <c r="I1038" s="1">
        <v>7</v>
      </c>
      <c r="J1038" s="1">
        <v>6</v>
      </c>
      <c r="K1038" s="2">
        <v>3.0</v>
      </c>
    </row>
    <row r="1039" spans="1:12">
      <c r="A1039" s="3" t="s">
        <v>633</v>
      </c>
      <c r="B1039" s="3" t="s">
        <v>883</v>
      </c>
      <c r="C1039" s="3" t="s">
        <v>796</v>
      </c>
      <c r="D1039" s="3"/>
      <c r="E1039" s="2" t="str">
        <f>HYPERLINK("https://old.ukr-mobil.com/steklo_displeya_oppo_a92s_realme_6_pro_black_10001215", "Перейти")</f>
        <v>Перейти</v>
      </c>
      <c r="F1039" s="2">
        <v>10001215</v>
      </c>
      <c r="G1039" s="4" t="s">
        <v>1120</v>
      </c>
      <c r="H1039" s="1">
        <v>0</v>
      </c>
      <c r="I1039" s="1">
        <v>0</v>
      </c>
      <c r="J1039" s="1">
        <v>0</v>
      </c>
      <c r="K1039" s="2">
        <v>4.0</v>
      </c>
    </row>
    <row r="1040" spans="1:12">
      <c r="A1040" s="3" t="s">
        <v>633</v>
      </c>
      <c r="B1040" s="3" t="s">
        <v>883</v>
      </c>
      <c r="C1040" s="3" t="s">
        <v>796</v>
      </c>
      <c r="D1040" s="3"/>
      <c r="E1040" s="2" t="str">
        <f>HYPERLINK("https://old.ukr-mobil.com/steklo_displeya_oppo_reno_8_pro_plus_s_oca_plenkoj_original_10002825", "Перейти")</f>
        <v>Перейти</v>
      </c>
      <c r="F1040" s="2">
        <v>10002825</v>
      </c>
      <c r="G1040" s="4" t="s">
        <v>1121</v>
      </c>
      <c r="H1040" s="1">
        <v>14</v>
      </c>
      <c r="I1040" s="1">
        <v>0</v>
      </c>
      <c r="J1040" s="1">
        <v>2</v>
      </c>
      <c r="K1040" s="2">
        <v>3.0</v>
      </c>
    </row>
    <row r="1041" spans="1:12">
      <c r="A1041" s="3" t="s">
        <v>633</v>
      </c>
      <c r="B1041" s="3" t="s">
        <v>883</v>
      </c>
      <c r="C1041" s="3" t="s">
        <v>796</v>
      </c>
      <c r="D1041" s="3"/>
      <c r="E1041" s="2" t="str">
        <f>HYPERLINK("https://old.ukr-mobil.com/steklo_displeya_oppo_reno_8_pro_s_oca_plenkoj_original_10002824", "Перейти")</f>
        <v>Перейти</v>
      </c>
      <c r="F1041" s="2">
        <v>10002824</v>
      </c>
      <c r="G1041" s="4" t="s">
        <v>1122</v>
      </c>
      <c r="H1041" s="1">
        <v>12</v>
      </c>
      <c r="I1041" s="1">
        <v>3</v>
      </c>
      <c r="J1041" s="1">
        <v>2</v>
      </c>
      <c r="K1041" s="2">
        <v>3.0</v>
      </c>
    </row>
    <row r="1042" spans="1:12">
      <c r="A1042" s="3" t="s">
        <v>633</v>
      </c>
      <c r="B1042" s="3" t="s">
        <v>883</v>
      </c>
      <c r="C1042" s="3" t="s">
        <v>796</v>
      </c>
      <c r="D1042" s="3"/>
      <c r="E1042" s="2" t="str">
        <f>HYPERLINK("https://old.ukr-mobil.com/steklo_displeya_oppo_reno_8_s_oca_plenkoj_original_10002823", "Перейти")</f>
        <v>Перейти</v>
      </c>
      <c r="F1042" s="2">
        <v>10002823</v>
      </c>
      <c r="G1042" s="4" t="s">
        <v>1123</v>
      </c>
      <c r="H1042" s="1">
        <v>13</v>
      </c>
      <c r="I1042" s="1">
        <v>3</v>
      </c>
      <c r="J1042" s="1">
        <v>1</v>
      </c>
      <c r="K1042" s="2">
        <v>3.0</v>
      </c>
    </row>
    <row r="1043" spans="1:12">
      <c r="A1043" s="3" t="s">
        <v>633</v>
      </c>
      <c r="B1043" s="3" t="s">
        <v>883</v>
      </c>
      <c r="C1043" s="3" t="s">
        <v>796</v>
      </c>
      <c r="D1043" s="3"/>
      <c r="E1043" s="2" t="str">
        <f>HYPERLINK("https://old.ukr-mobil.com/index.php?route=product&amp;product_id=10004727", "Перейти")</f>
        <v>Перейти</v>
      </c>
      <c r="F1043" s="2">
        <v>10004727</v>
      </c>
      <c r="G1043" s="4" t="s">
        <v>1124</v>
      </c>
      <c r="H1043" s="1">
        <v>12</v>
      </c>
      <c r="I1043" s="1">
        <v>0</v>
      </c>
      <c r="J1043" s="1">
        <v>5</v>
      </c>
      <c r="K1043" s="2">
        <v>2.0</v>
      </c>
    </row>
    <row r="1044" spans="1:12">
      <c r="A1044" s="3" t="s">
        <v>633</v>
      </c>
      <c r="B1044" s="3" t="s">
        <v>883</v>
      </c>
      <c r="C1044" s="3" t="s">
        <v>653</v>
      </c>
      <c r="D1044" s="3"/>
      <c r="E1044" s="2" t="str">
        <f>HYPERLINK("https://old.ukr-mobil.com/steklo_displeya_samsung_a025_galaxy_a02s_original_black_10001684", "Перейти")</f>
        <v>Перейти</v>
      </c>
      <c r="F1044" s="2">
        <v>10001684</v>
      </c>
      <c r="G1044" s="4" t="s">
        <v>1125</v>
      </c>
      <c r="H1044" s="1">
        <v>0</v>
      </c>
      <c r="I1044" s="1">
        <v>1</v>
      </c>
      <c r="J1044" s="1">
        <v>0</v>
      </c>
      <c r="K1044" s="2">
        <v>2.25</v>
      </c>
    </row>
    <row r="1045" spans="1:12">
      <c r="A1045" s="3" t="s">
        <v>633</v>
      </c>
      <c r="B1045" s="3" t="s">
        <v>883</v>
      </c>
      <c r="C1045" s="3" t="s">
        <v>653</v>
      </c>
      <c r="D1045" s="3"/>
      <c r="E1045" s="2" t="str">
        <f>HYPERLINK("https://old.ukr-mobil.com/steklo_displeya_samsung_a025_galaxy_a02s_a035_galaxy_a03_a037_galaxy_a03s_s_oca_plenkoj_original_black_10002726", "Перейти")</f>
        <v>Перейти</v>
      </c>
      <c r="F1045" s="2">
        <v>10002726</v>
      </c>
      <c r="G1045" s="4" t="s">
        <v>1126</v>
      </c>
      <c r="H1045" s="1">
        <v>139</v>
      </c>
      <c r="I1045" s="1">
        <v>22</v>
      </c>
      <c r="J1045" s="1">
        <v>15</v>
      </c>
      <c r="K1045" s="2">
        <v>1.5</v>
      </c>
    </row>
    <row r="1046" spans="1:12">
      <c r="A1046" s="3" t="s">
        <v>633</v>
      </c>
      <c r="B1046" s="3" t="s">
        <v>883</v>
      </c>
      <c r="C1046" s="3" t="s">
        <v>653</v>
      </c>
      <c r="D1046" s="3"/>
      <c r="E1046" s="2" t="str">
        <f>HYPERLINK("https://old.ukr-mobil.com/steklo_displeya_samsung_a037_galaxy_a03s_original_prc_black_10002213", "Перейти")</f>
        <v>Перейти</v>
      </c>
      <c r="F1046" s="2">
        <v>10002213</v>
      </c>
      <c r="G1046" s="4" t="s">
        <v>1127</v>
      </c>
      <c r="H1046" s="1">
        <v>0</v>
      </c>
      <c r="I1046" s="1">
        <v>0</v>
      </c>
      <c r="J1046" s="1">
        <v>0</v>
      </c>
      <c r="K1046" s="2">
        <v>3.35</v>
      </c>
    </row>
    <row r="1047" spans="1:12">
      <c r="A1047" s="3" t="s">
        <v>633</v>
      </c>
      <c r="B1047" s="3" t="s">
        <v>883</v>
      </c>
      <c r="C1047" s="3" t="s">
        <v>653</v>
      </c>
      <c r="D1047" s="3"/>
      <c r="E1047" s="2" t="str">
        <f>HYPERLINK("https://old.ukr-mobil.com/steklo_displeya_samsung_a105_galaxy_a10_2019_original_black_11759", "Перейти")</f>
        <v>Перейти</v>
      </c>
      <c r="F1047" s="2">
        <v>11759</v>
      </c>
      <c r="G1047" s="4" t="s">
        <v>1128</v>
      </c>
      <c r="H1047" s="1">
        <v>0</v>
      </c>
      <c r="I1047" s="1">
        <v>0</v>
      </c>
      <c r="J1047" s="1">
        <v>0</v>
      </c>
      <c r="K1047" s="2">
        <v>1.35</v>
      </c>
    </row>
    <row r="1048" spans="1:12">
      <c r="A1048" s="3" t="s">
        <v>633</v>
      </c>
      <c r="B1048" s="3" t="s">
        <v>883</v>
      </c>
      <c r="C1048" s="3" t="s">
        <v>653</v>
      </c>
      <c r="D1048" s="3"/>
      <c r="E1048" s="2" t="str">
        <f>HYPERLINK("https://old.ukr-mobil.com/steklo_displeya_samsung_a105_galaxy_a10_2019_s_oca_plenkoj_original_black_10002806", "Перейти")</f>
        <v>Перейти</v>
      </c>
      <c r="F1048" s="2">
        <v>10002806</v>
      </c>
      <c r="G1048" s="4" t="s">
        <v>1129</v>
      </c>
      <c r="H1048" s="1">
        <v>27</v>
      </c>
      <c r="I1048" s="1">
        <v>16</v>
      </c>
      <c r="J1048" s="1">
        <v>8</v>
      </c>
      <c r="K1048" s="2">
        <v>2.25</v>
      </c>
    </row>
    <row r="1049" spans="1:12">
      <c r="A1049" s="3" t="s">
        <v>633</v>
      </c>
      <c r="B1049" s="3" t="s">
        <v>883</v>
      </c>
      <c r="C1049" s="3" t="s">
        <v>653</v>
      </c>
      <c r="D1049" s="3"/>
      <c r="E1049" s="2" t="str">
        <f>HYPERLINK("https://old.ukr-mobil.com/steklo_displeya_samsung_a107_galaxy_a10s_original_black_10001679", "Перейти")</f>
        <v>Перейти</v>
      </c>
      <c r="F1049" s="2">
        <v>10001679</v>
      </c>
      <c r="G1049" s="4" t="s">
        <v>1130</v>
      </c>
      <c r="H1049" s="1">
        <v>0</v>
      </c>
      <c r="I1049" s="1">
        <v>0</v>
      </c>
      <c r="J1049" s="1">
        <v>0</v>
      </c>
      <c r="K1049" s="2">
        <v>1.5</v>
      </c>
    </row>
    <row r="1050" spans="1:12">
      <c r="A1050" s="3" t="s">
        <v>633</v>
      </c>
      <c r="B1050" s="3" t="s">
        <v>883</v>
      </c>
      <c r="C1050" s="3" t="s">
        <v>653</v>
      </c>
      <c r="D1050" s="3"/>
      <c r="E1050" s="2" t="str">
        <f>HYPERLINK("https://old.ukr-mobil.com/steklo_displeya_samsung_a107_galaxy_a10s_s_oca_plenkoj_original_black_10002807", "Перейти")</f>
        <v>Перейти</v>
      </c>
      <c r="F1050" s="2">
        <v>10002807</v>
      </c>
      <c r="G1050" s="4" t="s">
        <v>1131</v>
      </c>
      <c r="H1050" s="1">
        <v>37</v>
      </c>
      <c r="I1050" s="1">
        <v>2</v>
      </c>
      <c r="J1050" s="1">
        <v>4</v>
      </c>
      <c r="K1050" s="2">
        <v>2.25</v>
      </c>
    </row>
    <row r="1051" spans="1:12">
      <c r="A1051" s="3" t="s">
        <v>633</v>
      </c>
      <c r="B1051" s="3" t="s">
        <v>883</v>
      </c>
      <c r="C1051" s="3" t="s">
        <v>653</v>
      </c>
      <c r="D1051" s="3"/>
      <c r="E1051" s="2" t="str">
        <f>HYPERLINK("https://old.ukr-mobil.com/steklo_displeya_samsung_a115_galaxy_a11_m115_galaxy_m11_original_black_10001681", "Перейти")</f>
        <v>Перейти</v>
      </c>
      <c r="F1051" s="2">
        <v>10001681</v>
      </c>
      <c r="G1051" s="4" t="s">
        <v>1132</v>
      </c>
      <c r="H1051" s="1">
        <v>0</v>
      </c>
      <c r="I1051" s="1">
        <v>0</v>
      </c>
      <c r="J1051" s="1">
        <v>0</v>
      </c>
      <c r="K1051" s="2">
        <v>2.0</v>
      </c>
    </row>
    <row r="1052" spans="1:12">
      <c r="A1052" s="3" t="s">
        <v>633</v>
      </c>
      <c r="B1052" s="3" t="s">
        <v>883</v>
      </c>
      <c r="C1052" s="3" t="s">
        <v>653</v>
      </c>
      <c r="D1052" s="3"/>
      <c r="E1052" s="2" t="str">
        <f>HYPERLINK("https://old.ukr-mobil.com/steklo_displeya_samsung_a115_galaxy_a11_m115_galaxy_m11_s_oca_plenkoj_original_black_10002808", "Перейти")</f>
        <v>Перейти</v>
      </c>
      <c r="F1052" s="2">
        <v>10002808</v>
      </c>
      <c r="G1052" s="4" t="s">
        <v>1133</v>
      </c>
      <c r="H1052" s="1">
        <v>9</v>
      </c>
      <c r="I1052" s="1">
        <v>4</v>
      </c>
      <c r="J1052" s="1">
        <v>5</v>
      </c>
      <c r="K1052" s="2">
        <v>2.25</v>
      </c>
    </row>
    <row r="1053" spans="1:12">
      <c r="A1053" s="3" t="s">
        <v>633</v>
      </c>
      <c r="B1053" s="3" t="s">
        <v>883</v>
      </c>
      <c r="C1053" s="3" t="s">
        <v>653</v>
      </c>
      <c r="D1053" s="3"/>
      <c r="E1053" s="2" t="str">
        <f>HYPERLINK("https://old.ukr-mobil.com/steklo_displeya_samsung_a125_galaxy_a12_a325_galaxy_a32_original_black_10001522", "Перейти")</f>
        <v>Перейти</v>
      </c>
      <c r="F1053" s="2">
        <v>10001522</v>
      </c>
      <c r="G1053" s="4" t="s">
        <v>1134</v>
      </c>
      <c r="H1053" s="1">
        <v>0</v>
      </c>
      <c r="I1053" s="1">
        <v>0</v>
      </c>
      <c r="J1053" s="1">
        <v>0</v>
      </c>
      <c r="K1053" s="2">
        <v>1.35</v>
      </c>
    </row>
    <row r="1054" spans="1:12">
      <c r="A1054" s="3" t="s">
        <v>633</v>
      </c>
      <c r="B1054" s="3" t="s">
        <v>883</v>
      </c>
      <c r="C1054" s="3" t="s">
        <v>653</v>
      </c>
      <c r="D1054" s="3"/>
      <c r="E1054" s="2" t="str">
        <f>HYPERLINK("https://old.ukr-mobil.com/steklo_displeya_samsung_a125_galaxy_a12_a022_galaxy_a02_a325_galaxy_a32_a326_galaxy_a32_5g_m127_galaxy_m12_s_oca_plenkoj_original_black_10001825", "Перейти")</f>
        <v>Перейти</v>
      </c>
      <c r="F1054" s="2">
        <v>10001825</v>
      </c>
      <c r="G1054" s="4" t="s">
        <v>1135</v>
      </c>
      <c r="H1054" s="1">
        <v>91</v>
      </c>
      <c r="I1054" s="1">
        <v>10</v>
      </c>
      <c r="J1054" s="1">
        <v>6</v>
      </c>
      <c r="K1054" s="2">
        <v>1.5</v>
      </c>
    </row>
    <row r="1055" spans="1:12">
      <c r="A1055" s="3" t="s">
        <v>633</v>
      </c>
      <c r="B1055" s="3" t="s">
        <v>883</v>
      </c>
      <c r="C1055" s="3" t="s">
        <v>653</v>
      </c>
      <c r="D1055" s="3"/>
      <c r="E1055" s="2" t="str">
        <f>HYPERLINK("https://old.ukr-mobil.com/steklo_displeya_samsung_a135_galaxy_a13_s_oca_plenkoj_original_black_10002809", "Перейти")</f>
        <v>Перейти</v>
      </c>
      <c r="F1055" s="2">
        <v>10002809</v>
      </c>
      <c r="G1055" s="4" t="s">
        <v>1136</v>
      </c>
      <c r="H1055" s="1">
        <v>7</v>
      </c>
      <c r="I1055" s="1">
        <v>6</v>
      </c>
      <c r="J1055" s="1">
        <v>7</v>
      </c>
      <c r="K1055" s="2">
        <v>2.35</v>
      </c>
    </row>
    <row r="1056" spans="1:12">
      <c r="A1056" s="3" t="s">
        <v>633</v>
      </c>
      <c r="B1056" s="3" t="s">
        <v>883</v>
      </c>
      <c r="C1056" s="3" t="s">
        <v>653</v>
      </c>
      <c r="D1056" s="3"/>
      <c r="E1056" s="2" t="str">
        <f>HYPERLINK("https://old.ukr-mobil.com/steklo_displeya_samsung_a235_galaxy_a23_s_oca_plenkoj_original_black_10002811", "Перейти")</f>
        <v>Перейти</v>
      </c>
      <c r="F1056" s="2">
        <v>10002811</v>
      </c>
      <c r="G1056" s="4" t="s">
        <v>1137</v>
      </c>
      <c r="H1056" s="1">
        <v>4</v>
      </c>
      <c r="I1056" s="1">
        <v>8</v>
      </c>
      <c r="J1056" s="1">
        <v>8</v>
      </c>
      <c r="K1056" s="2">
        <v>2.95</v>
      </c>
    </row>
    <row r="1057" spans="1:12">
      <c r="A1057" s="3" t="s">
        <v>633</v>
      </c>
      <c r="B1057" s="3" t="s">
        <v>883</v>
      </c>
      <c r="C1057" s="3" t="s">
        <v>653</v>
      </c>
      <c r="D1057" s="3"/>
      <c r="E1057" s="2" t="str">
        <f>HYPERLINK("https://old.ukr-mobil.com/steklo_displeya_samsung_a205_galaxy_a20_2019_a307_galaxy_a30s_original_black_11760", "Перейти")</f>
        <v>Перейти</v>
      </c>
      <c r="F1057" s="2">
        <v>11760</v>
      </c>
      <c r="G1057" s="4" t="s">
        <v>1138</v>
      </c>
      <c r="H1057" s="1">
        <v>0</v>
      </c>
      <c r="I1057" s="1">
        <v>0</v>
      </c>
      <c r="J1057" s="1">
        <v>5</v>
      </c>
      <c r="K1057" s="2">
        <v>1.5</v>
      </c>
    </row>
    <row r="1058" spans="1:12">
      <c r="A1058" s="3" t="s">
        <v>633</v>
      </c>
      <c r="B1058" s="3" t="s">
        <v>883</v>
      </c>
      <c r="C1058" s="3" t="s">
        <v>653</v>
      </c>
      <c r="D1058" s="3"/>
      <c r="E1058" s="2" t="str">
        <f>HYPERLINK("https://old.ukr-mobil.com/steklo_displeya_samsung_a205_galaxy_a20_2019_a307_galaxy_a30s_s_oca_plenkoj_original_black_10002466", "Перейти")</f>
        <v>Перейти</v>
      </c>
      <c r="F1058" s="2">
        <v>10002466</v>
      </c>
      <c r="G1058" s="4" t="s">
        <v>1139</v>
      </c>
      <c r="H1058" s="1">
        <v>3</v>
      </c>
      <c r="I1058" s="1">
        <v>1</v>
      </c>
      <c r="J1058" s="1">
        <v>0</v>
      </c>
      <c r="K1058" s="2">
        <v>2.25</v>
      </c>
    </row>
    <row r="1059" spans="1:12">
      <c r="A1059" s="3" t="s">
        <v>633</v>
      </c>
      <c r="B1059" s="3" t="s">
        <v>883</v>
      </c>
      <c r="C1059" s="3" t="s">
        <v>653</v>
      </c>
      <c r="D1059" s="3"/>
      <c r="E1059" s="2" t="str">
        <f>HYPERLINK("https://old.ukr-mobil.com/steklo_displeya_samsung_a207_galaxy_a20s_2019_original_black_10000390", "Перейти")</f>
        <v>Перейти</v>
      </c>
      <c r="F1059" s="2">
        <v>10000390</v>
      </c>
      <c r="G1059" s="4" t="s">
        <v>1140</v>
      </c>
      <c r="H1059" s="1">
        <v>19</v>
      </c>
      <c r="I1059" s="1">
        <v>0</v>
      </c>
      <c r="J1059" s="1">
        <v>1</v>
      </c>
      <c r="K1059" s="2">
        <v>1.6</v>
      </c>
    </row>
    <row r="1060" spans="1:12">
      <c r="A1060" s="3" t="s">
        <v>633</v>
      </c>
      <c r="B1060" s="3" t="s">
        <v>883</v>
      </c>
      <c r="C1060" s="3" t="s">
        <v>653</v>
      </c>
      <c r="D1060" s="3"/>
      <c r="E1060" s="2" t="str">
        <f>HYPERLINK("https://old.ukr-mobil.com/steklo_displeya_samsung_a207_galaxy_a20s_s_oca_plenkoj_original_10002866", "Перейти")</f>
        <v>Перейти</v>
      </c>
      <c r="F1060" s="2">
        <v>10002866</v>
      </c>
      <c r="G1060" s="4" t="s">
        <v>1141</v>
      </c>
      <c r="H1060" s="1">
        <v>25</v>
      </c>
      <c r="I1060" s="1">
        <v>4</v>
      </c>
      <c r="J1060" s="1">
        <v>6</v>
      </c>
      <c r="K1060" s="2">
        <v>2.85</v>
      </c>
    </row>
    <row r="1061" spans="1:12">
      <c r="A1061" s="3" t="s">
        <v>633</v>
      </c>
      <c r="B1061" s="3" t="s">
        <v>883</v>
      </c>
      <c r="C1061" s="3" t="s">
        <v>653</v>
      </c>
      <c r="D1061" s="3"/>
      <c r="E1061" s="2" t="str">
        <f>HYPERLINK("https://old.ukr-mobil.com/steklo_displeya_samsung_a215_galaxy_a21_s_oca_plenkoj_original_10002810", "Перейти")</f>
        <v>Перейти</v>
      </c>
      <c r="F1061" s="2">
        <v>10002810</v>
      </c>
      <c r="G1061" s="4" t="s">
        <v>1142</v>
      </c>
      <c r="H1061" s="1">
        <v>33</v>
      </c>
      <c r="I1061" s="1">
        <v>10</v>
      </c>
      <c r="J1061" s="1">
        <v>3</v>
      </c>
      <c r="K1061" s="2">
        <v>2.25</v>
      </c>
    </row>
    <row r="1062" spans="1:12">
      <c r="A1062" s="3" t="s">
        <v>633</v>
      </c>
      <c r="B1062" s="3" t="s">
        <v>883</v>
      </c>
      <c r="C1062" s="3" t="s">
        <v>653</v>
      </c>
      <c r="D1062" s="3"/>
      <c r="E1062" s="2" t="str">
        <f>HYPERLINK("https://old.ukr-mobil.com/steklo_displeya_samsung_a217_galaxy_a21s_original_black_10001680", "Перейти")</f>
        <v>Перейти</v>
      </c>
      <c r="F1062" s="2">
        <v>10001680</v>
      </c>
      <c r="G1062" s="4" t="s">
        <v>1143</v>
      </c>
      <c r="H1062" s="1">
        <v>112</v>
      </c>
      <c r="I1062" s="1">
        <v>3</v>
      </c>
      <c r="J1062" s="1">
        <v>12</v>
      </c>
      <c r="K1062" s="2">
        <v>2.3</v>
      </c>
    </row>
    <row r="1063" spans="1:12">
      <c r="A1063" s="3" t="s">
        <v>633</v>
      </c>
      <c r="B1063" s="3" t="s">
        <v>883</v>
      </c>
      <c r="C1063" s="3" t="s">
        <v>653</v>
      </c>
      <c r="D1063" s="3"/>
      <c r="E1063" s="2" t="str">
        <f>HYPERLINK("https://old.ukr-mobil.com/steklo_displeya_samsung_a225_galaxy_a22_original_10002057", "Перейти")</f>
        <v>Перейти</v>
      </c>
      <c r="F1063" s="2">
        <v>10002057</v>
      </c>
      <c r="G1063" s="4" t="s">
        <v>1144</v>
      </c>
      <c r="H1063" s="1">
        <v>0</v>
      </c>
      <c r="I1063" s="1">
        <v>0</v>
      </c>
      <c r="J1063" s="1">
        <v>0</v>
      </c>
      <c r="K1063" s="2">
        <v>3.5</v>
      </c>
    </row>
    <row r="1064" spans="1:12">
      <c r="A1064" s="3" t="s">
        <v>633</v>
      </c>
      <c r="B1064" s="3" t="s">
        <v>883</v>
      </c>
      <c r="C1064" s="3" t="s">
        <v>653</v>
      </c>
      <c r="D1064" s="3"/>
      <c r="E1064" s="2" t="str">
        <f>HYPERLINK("https://old.ukr-mobil.com/steklo_displeya_samsung_a226_galaxy_a22_5g_s_oca_plenkoj_original_10002873", "Перейти")</f>
        <v>Перейти</v>
      </c>
      <c r="F1064" s="2">
        <v>10002873</v>
      </c>
      <c r="G1064" s="4" t="s">
        <v>1145</v>
      </c>
      <c r="H1064" s="1">
        <v>0</v>
      </c>
      <c r="I1064" s="1">
        <v>0</v>
      </c>
      <c r="J1064" s="1">
        <v>0</v>
      </c>
      <c r="K1064" s="2">
        <v>2.5</v>
      </c>
    </row>
    <row r="1065" spans="1:12">
      <c r="A1065" s="3" t="s">
        <v>633</v>
      </c>
      <c r="B1065" s="3" t="s">
        <v>883</v>
      </c>
      <c r="C1065" s="3" t="s">
        <v>653</v>
      </c>
      <c r="D1065" s="3"/>
      <c r="E1065" s="2" t="str">
        <f>HYPERLINK("https://old.ukr-mobil.com/steklo_displeya_samsung_a305_galaxy_a30_2019_a505_galaxy_a50_2019_s_oca_plenkoj_original_10001099", "Перейти")</f>
        <v>Перейти</v>
      </c>
      <c r="F1065" s="2">
        <v>10001099</v>
      </c>
      <c r="G1065" s="4" t="s">
        <v>1146</v>
      </c>
      <c r="H1065" s="1">
        <v>0</v>
      </c>
      <c r="I1065" s="1">
        <v>0</v>
      </c>
      <c r="J1065" s="1">
        <v>6</v>
      </c>
      <c r="K1065" s="2">
        <v>3.0</v>
      </c>
    </row>
    <row r="1066" spans="1:12">
      <c r="A1066" s="3" t="s">
        <v>633</v>
      </c>
      <c r="B1066" s="3" t="s">
        <v>883</v>
      </c>
      <c r="C1066" s="3" t="s">
        <v>653</v>
      </c>
      <c r="D1066" s="3"/>
      <c r="E1066" s="2" t="str">
        <f>HYPERLINK("https://old.ukr-mobil.com/steklo_displeya_samsung_a3051_galaxy_a40s_original_black_10000498", "Перейти")</f>
        <v>Перейти</v>
      </c>
      <c r="F1066" s="2">
        <v>10000498</v>
      </c>
      <c r="G1066" s="4" t="s">
        <v>1147</v>
      </c>
      <c r="H1066" s="1">
        <v>37</v>
      </c>
      <c r="I1066" s="1">
        <v>6</v>
      </c>
      <c r="J1066" s="1">
        <v>3</v>
      </c>
      <c r="K1066" s="2">
        <v>2.5</v>
      </c>
    </row>
    <row r="1067" spans="1:12">
      <c r="A1067" s="3" t="s">
        <v>633</v>
      </c>
      <c r="B1067" s="3" t="s">
        <v>883</v>
      </c>
      <c r="C1067" s="3" t="s">
        <v>653</v>
      </c>
      <c r="D1067" s="3"/>
      <c r="E1067" s="2" t="str">
        <f>HYPERLINK("https://old.ukr-mobil.com/steklo_displeya_samsung_a315_galaxy_a31_black_10000813", "Перейти")</f>
        <v>Перейти</v>
      </c>
      <c r="F1067" s="2">
        <v>10000813</v>
      </c>
      <c r="G1067" s="4" t="s">
        <v>1148</v>
      </c>
      <c r="H1067" s="1">
        <v>0</v>
      </c>
      <c r="I1067" s="1">
        <v>0</v>
      </c>
      <c r="J1067" s="1">
        <v>2</v>
      </c>
      <c r="K1067" s="2">
        <v>1.4</v>
      </c>
    </row>
    <row r="1068" spans="1:12">
      <c r="A1068" s="3" t="s">
        <v>633</v>
      </c>
      <c r="B1068" s="3" t="s">
        <v>883</v>
      </c>
      <c r="C1068" s="3" t="s">
        <v>653</v>
      </c>
      <c r="D1068" s="3"/>
      <c r="E1068" s="2" t="str">
        <f>HYPERLINK("https://old.ukr-mobil.com/steklo_displeya_samsung_a315_galaxy_a31_s_oca_plenkoj_original_black_10001098", "Перейти")</f>
        <v>Перейти</v>
      </c>
      <c r="F1068" s="2">
        <v>10001098</v>
      </c>
      <c r="G1068" s="4" t="s">
        <v>1149</v>
      </c>
      <c r="H1068" s="1">
        <v>3</v>
      </c>
      <c r="I1068" s="1">
        <v>0</v>
      </c>
      <c r="J1068" s="1">
        <v>5</v>
      </c>
      <c r="K1068" s="2">
        <v>1.85</v>
      </c>
    </row>
    <row r="1069" spans="1:12">
      <c r="A1069" s="3" t="s">
        <v>633</v>
      </c>
      <c r="B1069" s="3" t="s">
        <v>883</v>
      </c>
      <c r="C1069" s="3" t="s">
        <v>653</v>
      </c>
      <c r="D1069" s="3"/>
      <c r="E1069" s="2" t="str">
        <f>HYPERLINK("https://old.ukr-mobil.com/steklo_displeya_samsung_a320_galaxy_a3_2017_gold_8243", "Перейти")</f>
        <v>Перейти</v>
      </c>
      <c r="F1069" s="2">
        <v>8243</v>
      </c>
      <c r="G1069" s="4" t="s">
        <v>1150</v>
      </c>
      <c r="H1069" s="1">
        <v>0</v>
      </c>
      <c r="I1069" s="1">
        <v>6</v>
      </c>
      <c r="J1069" s="1">
        <v>1</v>
      </c>
      <c r="K1069" s="2">
        <v>2.52</v>
      </c>
    </row>
    <row r="1070" spans="1:12">
      <c r="A1070" s="3" t="s">
        <v>633</v>
      </c>
      <c r="B1070" s="3" t="s">
        <v>883</v>
      </c>
      <c r="C1070" s="3" t="s">
        <v>653</v>
      </c>
      <c r="D1070" s="3"/>
      <c r="E1070" s="2" t="str">
        <f>HYPERLINK("https://old.ukr-mobil.com/steklo_displeya_samsung_a320_galaxy_a3_2017_pink_8244", "Перейти")</f>
        <v>Перейти</v>
      </c>
      <c r="F1070" s="2">
        <v>8244</v>
      </c>
      <c r="G1070" s="4" t="s">
        <v>1151</v>
      </c>
      <c r="H1070" s="1">
        <v>0</v>
      </c>
      <c r="I1070" s="1">
        <v>0</v>
      </c>
      <c r="J1070" s="1">
        <v>0</v>
      </c>
      <c r="K1070" s="2">
        <v>2.52</v>
      </c>
    </row>
    <row r="1071" spans="1:12">
      <c r="A1071" s="3" t="s">
        <v>633</v>
      </c>
      <c r="B1071" s="3" t="s">
        <v>883</v>
      </c>
      <c r="C1071" s="3" t="s">
        <v>653</v>
      </c>
      <c r="D1071" s="3"/>
      <c r="E1071" s="2" t="str">
        <f>HYPERLINK("https://old.ukr-mobil.com/steklo_displeya_samsung_a320_galaxy_a3_2017_white_8241", "Перейти")</f>
        <v>Перейти</v>
      </c>
      <c r="F1071" s="2">
        <v>8241</v>
      </c>
      <c r="G1071" s="4" t="s">
        <v>1152</v>
      </c>
      <c r="H1071" s="1">
        <v>0</v>
      </c>
      <c r="I1071" s="1">
        <v>8</v>
      </c>
      <c r="J1071" s="1">
        <v>0</v>
      </c>
      <c r="K1071" s="2">
        <v>2.52</v>
      </c>
    </row>
    <row r="1072" spans="1:12">
      <c r="A1072" s="3" t="s">
        <v>633</v>
      </c>
      <c r="B1072" s="3" t="s">
        <v>883</v>
      </c>
      <c r="C1072" s="3" t="s">
        <v>653</v>
      </c>
      <c r="D1072" s="3"/>
      <c r="E1072" s="2" t="str">
        <f>HYPERLINK("https://old.ukr-mobil.com/steklo_displeya_samsung_a325_galaxy_a32_s_oca_plenkoj_original_10002865", "Перейти")</f>
        <v>Перейти</v>
      </c>
      <c r="F1072" s="2">
        <v>10002865</v>
      </c>
      <c r="G1072" s="4" t="s">
        <v>1153</v>
      </c>
      <c r="H1072" s="1">
        <v>11</v>
      </c>
      <c r="I1072" s="1">
        <v>5</v>
      </c>
      <c r="J1072" s="1">
        <v>5</v>
      </c>
      <c r="K1072" s="2">
        <v>2.95</v>
      </c>
    </row>
    <row r="1073" spans="1:12">
      <c r="A1073" s="3" t="s">
        <v>633</v>
      </c>
      <c r="B1073" s="3" t="s">
        <v>883</v>
      </c>
      <c r="C1073" s="3" t="s">
        <v>653</v>
      </c>
      <c r="D1073" s="3"/>
      <c r="E1073" s="2" t="str">
        <f>HYPERLINK("https://old.ukr-mobil.com/steklo_displeya_samsung_a336_galaxy_a33_s_oca_plenkoj_original_10003265", "Перейти")</f>
        <v>Перейти</v>
      </c>
      <c r="F1073" s="2">
        <v>10003265</v>
      </c>
      <c r="G1073" s="4" t="s">
        <v>1154</v>
      </c>
      <c r="H1073" s="1">
        <v>2</v>
      </c>
      <c r="I1073" s="1">
        <v>0</v>
      </c>
      <c r="J1073" s="1">
        <v>0</v>
      </c>
      <c r="K1073" s="2">
        <v>2.75</v>
      </c>
    </row>
    <row r="1074" spans="1:12">
      <c r="A1074" s="3" t="s">
        <v>633</v>
      </c>
      <c r="B1074" s="3" t="s">
        <v>883</v>
      </c>
      <c r="C1074" s="3" t="s">
        <v>653</v>
      </c>
      <c r="D1074" s="3"/>
      <c r="E1074" s="2" t="str">
        <f>HYPERLINK("https://old.ukr-mobil.com/steklo_displeya_samsung_a405_galaxy_a40_2019_original_black_11913", "Перейти")</f>
        <v>Перейти</v>
      </c>
      <c r="F1074" s="2">
        <v>11913</v>
      </c>
      <c r="G1074" s="4" t="s">
        <v>1155</v>
      </c>
      <c r="H1074" s="1">
        <v>0</v>
      </c>
      <c r="I1074" s="1">
        <v>0</v>
      </c>
      <c r="J1074" s="1">
        <v>0</v>
      </c>
      <c r="K1074" s="2">
        <v>1.75</v>
      </c>
    </row>
    <row r="1075" spans="1:12">
      <c r="A1075" s="3" t="s">
        <v>633</v>
      </c>
      <c r="B1075" s="3" t="s">
        <v>883</v>
      </c>
      <c r="C1075" s="3" t="s">
        <v>653</v>
      </c>
      <c r="D1075" s="3"/>
      <c r="E1075" s="2" t="str">
        <f>HYPERLINK("https://old.ukr-mobil.com/steklo_displeya_samsung_a405_galaxy_a40_2019_s_oca_plenkoj_original_10002867", "Перейти")</f>
        <v>Перейти</v>
      </c>
      <c r="F1075" s="2">
        <v>10002867</v>
      </c>
      <c r="G1075" s="4" t="s">
        <v>1156</v>
      </c>
      <c r="H1075" s="1">
        <v>15</v>
      </c>
      <c r="I1075" s="1">
        <v>6</v>
      </c>
      <c r="J1075" s="1">
        <v>3</v>
      </c>
      <c r="K1075" s="2">
        <v>2.85</v>
      </c>
    </row>
    <row r="1076" spans="1:12">
      <c r="A1076" s="3" t="s">
        <v>633</v>
      </c>
      <c r="B1076" s="3" t="s">
        <v>883</v>
      </c>
      <c r="C1076" s="3" t="s">
        <v>653</v>
      </c>
      <c r="D1076" s="3"/>
      <c r="E1076" s="2" t="str">
        <f>HYPERLINK("https://old.ukr-mobil.com/steklo_displeya_samsung_a415_galaxy_a41_original_black_10000795", "Перейти")</f>
        <v>Перейти</v>
      </c>
      <c r="F1076" s="2">
        <v>10000795</v>
      </c>
      <c r="G1076" s="4" t="s">
        <v>1157</v>
      </c>
      <c r="H1076" s="1">
        <v>1</v>
      </c>
      <c r="I1076" s="1">
        <v>6</v>
      </c>
      <c r="J1076" s="1">
        <v>1</v>
      </c>
      <c r="K1076" s="2">
        <v>1.75</v>
      </c>
    </row>
    <row r="1077" spans="1:12">
      <c r="A1077" s="3" t="s">
        <v>633</v>
      </c>
      <c r="B1077" s="3" t="s">
        <v>883</v>
      </c>
      <c r="C1077" s="3" t="s">
        <v>653</v>
      </c>
      <c r="D1077" s="3"/>
      <c r="E1077" s="2" t="str">
        <f>HYPERLINK("https://old.ukr-mobil.com/steklo_displeya_samsung_a415_galaxy_a41_s_oca_plenkoj_original_10002868", "Перейти")</f>
        <v>Перейти</v>
      </c>
      <c r="F1077" s="2">
        <v>10002868</v>
      </c>
      <c r="G1077" s="4" t="s">
        <v>1158</v>
      </c>
      <c r="H1077" s="1">
        <v>24</v>
      </c>
      <c r="I1077" s="1">
        <v>7</v>
      </c>
      <c r="J1077" s="1">
        <v>6</v>
      </c>
      <c r="K1077" s="2">
        <v>2.95</v>
      </c>
    </row>
    <row r="1078" spans="1:12">
      <c r="A1078" s="3" t="s">
        <v>633</v>
      </c>
      <c r="B1078" s="3" t="s">
        <v>883</v>
      </c>
      <c r="C1078" s="3" t="s">
        <v>653</v>
      </c>
      <c r="D1078" s="3"/>
      <c r="E1078" s="2" t="str">
        <f>HYPERLINK("https://old.ukr-mobil.com/steklo_displeya_samsung_a500_galaxy_a5_black_5795", "Перейти")</f>
        <v>Перейти</v>
      </c>
      <c r="F1078" s="2">
        <v>5795</v>
      </c>
      <c r="G1078" s="4" t="s">
        <v>1159</v>
      </c>
      <c r="H1078" s="1">
        <v>1</v>
      </c>
      <c r="I1078" s="1">
        <v>26</v>
      </c>
      <c r="J1078" s="1">
        <v>2</v>
      </c>
      <c r="K1078" s="2">
        <v>1.0</v>
      </c>
    </row>
    <row r="1079" spans="1:12">
      <c r="A1079" s="3" t="s">
        <v>633</v>
      </c>
      <c r="B1079" s="3" t="s">
        <v>883</v>
      </c>
      <c r="C1079" s="3" t="s">
        <v>653</v>
      </c>
      <c r="D1079" s="3"/>
      <c r="E1079" s="2" t="str">
        <f>HYPERLINK("https://old.ukr-mobil.com/steklo_displeya_samsung_a500_galaxy_a5_gold_5794", "Перейти")</f>
        <v>Перейти</v>
      </c>
      <c r="F1079" s="2">
        <v>5794</v>
      </c>
      <c r="G1079" s="4" t="s">
        <v>1160</v>
      </c>
      <c r="H1079" s="1">
        <v>0</v>
      </c>
      <c r="I1079" s="1">
        <v>20</v>
      </c>
      <c r="J1079" s="1">
        <v>2</v>
      </c>
      <c r="K1079" s="2">
        <v>1.0</v>
      </c>
    </row>
    <row r="1080" spans="1:12">
      <c r="A1080" s="3" t="s">
        <v>633</v>
      </c>
      <c r="B1080" s="3" t="s">
        <v>883</v>
      </c>
      <c r="C1080" s="3" t="s">
        <v>653</v>
      </c>
      <c r="D1080" s="3"/>
      <c r="E1080" s="2" t="str">
        <f>HYPERLINK("https://old.ukr-mobil.com/steklo_displeya_samsung_a510_galaxy_a5_2016_gold_7362", "Перейти")</f>
        <v>Перейти</v>
      </c>
      <c r="F1080" s="2">
        <v>7362</v>
      </c>
      <c r="G1080" s="4" t="s">
        <v>1161</v>
      </c>
      <c r="H1080" s="1">
        <v>0</v>
      </c>
      <c r="I1080" s="1">
        <v>6</v>
      </c>
      <c r="J1080" s="1">
        <v>1</v>
      </c>
      <c r="K1080" s="2">
        <v>1.0</v>
      </c>
    </row>
    <row r="1081" spans="1:12">
      <c r="A1081" s="3" t="s">
        <v>633</v>
      </c>
      <c r="B1081" s="3" t="s">
        <v>883</v>
      </c>
      <c r="C1081" s="3" t="s">
        <v>653</v>
      </c>
      <c r="D1081" s="3"/>
      <c r="E1081" s="2" t="str">
        <f>HYPERLINK("https://old.ukr-mobil.com/steklo_displeya_samsung_a510_galaxy_a5_2016_white_7361", "Перейти")</f>
        <v>Перейти</v>
      </c>
      <c r="F1081" s="2">
        <v>7361</v>
      </c>
      <c r="G1081" s="4" t="s">
        <v>1162</v>
      </c>
      <c r="H1081" s="1">
        <v>0</v>
      </c>
      <c r="I1081" s="1">
        <v>5</v>
      </c>
      <c r="J1081" s="1">
        <v>1</v>
      </c>
      <c r="K1081" s="2">
        <v>1.0</v>
      </c>
    </row>
    <row r="1082" spans="1:12">
      <c r="A1082" s="3" t="s">
        <v>633</v>
      </c>
      <c r="B1082" s="3" t="s">
        <v>883</v>
      </c>
      <c r="C1082" s="3" t="s">
        <v>653</v>
      </c>
      <c r="D1082" s="3"/>
      <c r="E1082" s="2" t="str">
        <f>HYPERLINK("https://old.ukr-mobil.com/steklo_displeya_samsung_a515_galaxy_a51_black_10000822", "Перейти")</f>
        <v>Перейти</v>
      </c>
      <c r="F1082" s="2">
        <v>10000822</v>
      </c>
      <c r="G1082" s="4" t="s">
        <v>1163</v>
      </c>
      <c r="H1082" s="1">
        <v>0</v>
      </c>
      <c r="I1082" s="1">
        <v>0</v>
      </c>
      <c r="J1082" s="1">
        <v>0</v>
      </c>
      <c r="K1082" s="2">
        <v>1.95</v>
      </c>
    </row>
    <row r="1083" spans="1:12">
      <c r="A1083" s="3" t="s">
        <v>633</v>
      </c>
      <c r="B1083" s="3" t="s">
        <v>883</v>
      </c>
      <c r="C1083" s="3" t="s">
        <v>653</v>
      </c>
      <c r="D1083" s="3"/>
      <c r="E1083" s="2" t="str">
        <f>HYPERLINK("https://old.ukr-mobil.com/steklo_displeya_samsung_a515_galaxy_a51_s_oca_plenkoj_original_black_10001097", "Перейти")</f>
        <v>Перейти</v>
      </c>
      <c r="F1083" s="2">
        <v>10001097</v>
      </c>
      <c r="G1083" s="4" t="s">
        <v>1164</v>
      </c>
      <c r="H1083" s="1">
        <v>5</v>
      </c>
      <c r="I1083" s="1">
        <v>2</v>
      </c>
      <c r="J1083" s="1">
        <v>0</v>
      </c>
      <c r="K1083" s="2">
        <v>2.25</v>
      </c>
    </row>
    <row r="1084" spans="1:12">
      <c r="A1084" s="3" t="s">
        <v>633</v>
      </c>
      <c r="B1084" s="3" t="s">
        <v>883</v>
      </c>
      <c r="C1084" s="3" t="s">
        <v>653</v>
      </c>
      <c r="D1084" s="3"/>
      <c r="E1084" s="2" t="str">
        <f>HYPERLINK("https://old.ukr-mobil.com/steklo_displeya_samsung_a520_galaxy_a5_2017_original_white_8247", "Перейти")</f>
        <v>Перейти</v>
      </c>
      <c r="F1084" s="2">
        <v>8247</v>
      </c>
      <c r="G1084" s="4" t="s">
        <v>1165</v>
      </c>
      <c r="H1084" s="1">
        <v>0</v>
      </c>
      <c r="I1084" s="1">
        <v>5</v>
      </c>
      <c r="J1084" s="1">
        <v>0</v>
      </c>
      <c r="K1084" s="2">
        <v>1.65</v>
      </c>
    </row>
    <row r="1085" spans="1:12">
      <c r="A1085" s="3" t="s">
        <v>633</v>
      </c>
      <c r="B1085" s="3" t="s">
        <v>883</v>
      </c>
      <c r="C1085" s="3" t="s">
        <v>653</v>
      </c>
      <c r="D1085" s="3"/>
      <c r="E1085" s="2" t="str">
        <f>HYPERLINK("https://old.ukr-mobil.com/steklo_displeya_samsung_a525_galaxy_a52_original_black_10001964", "Перейти")</f>
        <v>Перейти</v>
      </c>
      <c r="F1085" s="2">
        <v>10001964</v>
      </c>
      <c r="G1085" s="4" t="s">
        <v>1166</v>
      </c>
      <c r="H1085" s="1">
        <v>5</v>
      </c>
      <c r="I1085" s="1">
        <v>0</v>
      </c>
      <c r="J1085" s="1">
        <v>4</v>
      </c>
      <c r="K1085" s="2">
        <v>1.85</v>
      </c>
    </row>
    <row r="1086" spans="1:12">
      <c r="A1086" s="3" t="s">
        <v>633</v>
      </c>
      <c r="B1086" s="3" t="s">
        <v>883</v>
      </c>
      <c r="C1086" s="3" t="s">
        <v>653</v>
      </c>
      <c r="D1086" s="3"/>
      <c r="E1086" s="2" t="str">
        <f>HYPERLINK("https://old.ukr-mobil.com/steklo_displeya_samsung_a525_galaxy_a52_g780_galaxy_s20_fe_s_oca_plenkoj_original_10002869", "Перейти")</f>
        <v>Перейти</v>
      </c>
      <c r="F1086" s="2">
        <v>10002869</v>
      </c>
      <c r="G1086" s="4" t="s">
        <v>1167</v>
      </c>
      <c r="H1086" s="1">
        <v>12</v>
      </c>
      <c r="I1086" s="1">
        <v>4</v>
      </c>
      <c r="J1086" s="1">
        <v>3</v>
      </c>
      <c r="K1086" s="2">
        <v>2.35</v>
      </c>
    </row>
    <row r="1087" spans="1:12">
      <c r="A1087" s="3" t="s">
        <v>633</v>
      </c>
      <c r="B1087" s="3" t="s">
        <v>883</v>
      </c>
      <c r="C1087" s="3" t="s">
        <v>653</v>
      </c>
      <c r="D1087" s="3"/>
      <c r="E1087" s="2" t="str">
        <f>HYPERLINK("https://old.ukr-mobil.com/steklo_displeya_samsung_a530_galaxy_a8_2018_original_black_11792", "Перейти")</f>
        <v>Перейти</v>
      </c>
      <c r="F1087" s="2">
        <v>11792</v>
      </c>
      <c r="G1087" s="4" t="s">
        <v>1168</v>
      </c>
      <c r="H1087" s="1">
        <v>0</v>
      </c>
      <c r="I1087" s="1">
        <v>0</v>
      </c>
      <c r="J1087" s="1">
        <v>0</v>
      </c>
      <c r="K1087" s="2">
        <v>1.5</v>
      </c>
    </row>
    <row r="1088" spans="1:12">
      <c r="A1088" s="3" t="s">
        <v>633</v>
      </c>
      <c r="B1088" s="3" t="s">
        <v>883</v>
      </c>
      <c r="C1088" s="3" t="s">
        <v>653</v>
      </c>
      <c r="D1088" s="3"/>
      <c r="E1088" s="2" t="str">
        <f>HYPERLINK("https://old.ukr-mobil.com/steklo_displeya_samsung_a536_galaxy_a53_5g_s_oca_plenkoj_original_10003264", "Перейти")</f>
        <v>Перейти</v>
      </c>
      <c r="F1088" s="2">
        <v>10003264</v>
      </c>
      <c r="G1088" s="4" t="s">
        <v>1169</v>
      </c>
      <c r="H1088" s="1">
        <v>5</v>
      </c>
      <c r="I1088" s="1">
        <v>0</v>
      </c>
      <c r="J1088" s="1">
        <v>1</v>
      </c>
      <c r="K1088" s="2">
        <v>2.35</v>
      </c>
    </row>
    <row r="1089" spans="1:12">
      <c r="A1089" s="3" t="s">
        <v>633</v>
      </c>
      <c r="B1089" s="3" t="s">
        <v>883</v>
      </c>
      <c r="C1089" s="3" t="s">
        <v>653</v>
      </c>
      <c r="D1089" s="3"/>
      <c r="E1089" s="2" t="str">
        <f>HYPERLINK("https://old.ukr-mobil.com/steklo_displeya_samsung_a600_galaxy_a6_2018_black_10569", "Перейти")</f>
        <v>Перейти</v>
      </c>
      <c r="F1089" s="2">
        <v>10569</v>
      </c>
      <c r="G1089" s="4" t="s">
        <v>1170</v>
      </c>
      <c r="H1089" s="1">
        <v>0</v>
      </c>
      <c r="I1089" s="1">
        <v>0</v>
      </c>
      <c r="J1089" s="1">
        <v>0</v>
      </c>
      <c r="K1089" s="2">
        <v>1.0</v>
      </c>
    </row>
    <row r="1090" spans="1:12">
      <c r="A1090" s="3" t="s">
        <v>633</v>
      </c>
      <c r="B1090" s="3" t="s">
        <v>883</v>
      </c>
      <c r="C1090" s="3" t="s">
        <v>653</v>
      </c>
      <c r="D1090" s="3"/>
      <c r="E1090" s="2" t="str">
        <f>HYPERLINK("https://old.ukr-mobil.com/steklo_displeya_samsung_a605_galaxy_a6_plus_2018_black_11326", "Перейти")</f>
        <v>Перейти</v>
      </c>
      <c r="F1090" s="2">
        <v>11326</v>
      </c>
      <c r="G1090" s="4" t="s">
        <v>1171</v>
      </c>
      <c r="H1090" s="1">
        <v>0</v>
      </c>
      <c r="I1090" s="1">
        <v>0</v>
      </c>
      <c r="J1090" s="1">
        <v>0</v>
      </c>
      <c r="K1090" s="2">
        <v>1.5</v>
      </c>
    </row>
    <row r="1091" spans="1:12">
      <c r="A1091" s="3" t="s">
        <v>633</v>
      </c>
      <c r="B1091" s="3" t="s">
        <v>883</v>
      </c>
      <c r="C1091" s="3" t="s">
        <v>653</v>
      </c>
      <c r="D1091" s="3"/>
      <c r="E1091" s="2" t="str">
        <f>HYPERLINK("https://old.ukr-mobil.com/steklo_displeya_samsung_a606_galaxy_a60_m405_galaxy_m40_original_black_10001095", "Перейти")</f>
        <v>Перейти</v>
      </c>
      <c r="F1091" s="2">
        <v>10001095</v>
      </c>
      <c r="G1091" s="4" t="s">
        <v>1172</v>
      </c>
      <c r="H1091" s="1">
        <v>28</v>
      </c>
      <c r="I1091" s="1">
        <v>10</v>
      </c>
      <c r="J1091" s="1">
        <v>3</v>
      </c>
      <c r="K1091" s="2">
        <v>2.35</v>
      </c>
    </row>
    <row r="1092" spans="1:12">
      <c r="A1092" s="3" t="s">
        <v>633</v>
      </c>
      <c r="B1092" s="3" t="s">
        <v>883</v>
      </c>
      <c r="C1092" s="3" t="s">
        <v>653</v>
      </c>
      <c r="D1092" s="3"/>
      <c r="E1092" s="2" t="str">
        <f>HYPERLINK("https://old.ukr-mobil.com/steklo_displeya_samsung_a700_galaxy_a7_black_6096", "Перейти")</f>
        <v>Перейти</v>
      </c>
      <c r="F1092" s="2">
        <v>6096</v>
      </c>
      <c r="G1092" s="4" t="s">
        <v>1173</v>
      </c>
      <c r="H1092" s="1">
        <v>1</v>
      </c>
      <c r="I1092" s="1">
        <v>4</v>
      </c>
      <c r="J1092" s="1">
        <v>0</v>
      </c>
      <c r="K1092" s="2">
        <v>2.52</v>
      </c>
    </row>
    <row r="1093" spans="1:12">
      <c r="A1093" s="3" t="s">
        <v>633</v>
      </c>
      <c r="B1093" s="3" t="s">
        <v>883</v>
      </c>
      <c r="C1093" s="3" t="s">
        <v>653</v>
      </c>
      <c r="D1093" s="3"/>
      <c r="E1093" s="2" t="str">
        <f>HYPERLINK("https://old.ukr-mobil.com/steklo_displeya_samsung_a700_galaxy_a7_gold_8210", "Перейти")</f>
        <v>Перейти</v>
      </c>
      <c r="F1093" s="2">
        <v>8210</v>
      </c>
      <c r="G1093" s="4" t="s">
        <v>1174</v>
      </c>
      <c r="H1093" s="1">
        <v>0</v>
      </c>
      <c r="I1093" s="1">
        <v>3</v>
      </c>
      <c r="J1093" s="1">
        <v>0</v>
      </c>
      <c r="K1093" s="2">
        <v>2.52</v>
      </c>
    </row>
    <row r="1094" spans="1:12">
      <c r="A1094" s="3" t="s">
        <v>633</v>
      </c>
      <c r="B1094" s="3" t="s">
        <v>883</v>
      </c>
      <c r="C1094" s="3" t="s">
        <v>653</v>
      </c>
      <c r="D1094" s="3"/>
      <c r="E1094" s="2" t="str">
        <f>HYPERLINK("https://old.ukr-mobil.com/steklo_displeya_samsung_a700_galaxy_a7_white_6097", "Перейти")</f>
        <v>Перейти</v>
      </c>
      <c r="F1094" s="2">
        <v>6097</v>
      </c>
      <c r="G1094" s="4" t="s">
        <v>1175</v>
      </c>
      <c r="H1094" s="1">
        <v>0</v>
      </c>
      <c r="I1094" s="1">
        <v>4</v>
      </c>
      <c r="J1094" s="1">
        <v>1</v>
      </c>
      <c r="K1094" s="2">
        <v>2.52</v>
      </c>
    </row>
    <row r="1095" spans="1:12">
      <c r="A1095" s="3" t="s">
        <v>633</v>
      </c>
      <c r="B1095" s="3" t="s">
        <v>883</v>
      </c>
      <c r="C1095" s="3" t="s">
        <v>653</v>
      </c>
      <c r="D1095" s="3"/>
      <c r="E1095" s="2" t="str">
        <f>HYPERLINK("https://old.ukr-mobil.com/steklo_displeya_samsung_a705_galaxy_a70_original_black_11915", "Перейти")</f>
        <v>Перейти</v>
      </c>
      <c r="F1095" s="2">
        <v>11915</v>
      </c>
      <c r="G1095" s="4" t="s">
        <v>1176</v>
      </c>
      <c r="H1095" s="1">
        <v>1</v>
      </c>
      <c r="I1095" s="1">
        <v>0</v>
      </c>
      <c r="J1095" s="1">
        <v>0</v>
      </c>
      <c r="K1095" s="2">
        <v>1.65</v>
      </c>
    </row>
    <row r="1096" spans="1:12">
      <c r="A1096" s="3" t="s">
        <v>633</v>
      </c>
      <c r="B1096" s="3" t="s">
        <v>883</v>
      </c>
      <c r="C1096" s="3" t="s">
        <v>653</v>
      </c>
      <c r="D1096" s="3"/>
      <c r="E1096" s="2" t="str">
        <f>HYPERLINK("https://old.ukr-mobil.com/steklo_displeya_samsung_a705_galaxy_a70_s_oca_plenkoj_original_10002870", "Перейти")</f>
        <v>Перейти</v>
      </c>
      <c r="F1096" s="2">
        <v>10002870</v>
      </c>
      <c r="G1096" s="4" t="s">
        <v>1177</v>
      </c>
      <c r="H1096" s="1">
        <v>19</v>
      </c>
      <c r="I1096" s="1">
        <v>8</v>
      </c>
      <c r="J1096" s="1">
        <v>4</v>
      </c>
      <c r="K1096" s="2">
        <v>2.0</v>
      </c>
    </row>
    <row r="1097" spans="1:12">
      <c r="A1097" s="3" t="s">
        <v>633</v>
      </c>
      <c r="B1097" s="3" t="s">
        <v>883</v>
      </c>
      <c r="C1097" s="3" t="s">
        <v>653</v>
      </c>
      <c r="D1097" s="3"/>
      <c r="E1097" s="2" t="str">
        <f>HYPERLINK("https://old.ukr-mobil.com/steklo_displeya_samsung_a710_galaxy_a7_2016_duos_black_7357", "Перейти")</f>
        <v>Перейти</v>
      </c>
      <c r="F1097" s="2">
        <v>7357</v>
      </c>
      <c r="G1097" s="4" t="s">
        <v>1178</v>
      </c>
      <c r="H1097" s="1">
        <v>0</v>
      </c>
      <c r="I1097" s="1">
        <v>3</v>
      </c>
      <c r="J1097" s="1">
        <v>1</v>
      </c>
      <c r="K1097" s="2">
        <v>3.78</v>
      </c>
    </row>
    <row r="1098" spans="1:12">
      <c r="A1098" s="3" t="s">
        <v>633</v>
      </c>
      <c r="B1098" s="3" t="s">
        <v>883</v>
      </c>
      <c r="C1098" s="3" t="s">
        <v>653</v>
      </c>
      <c r="D1098" s="3"/>
      <c r="E1098" s="2" t="str">
        <f>HYPERLINK("https://old.ukr-mobil.com/steklo_displeya_samsung_a710_galaxy_a7_2016_duos_gold_7359", "Перейти")</f>
        <v>Перейти</v>
      </c>
      <c r="F1098" s="2">
        <v>7359</v>
      </c>
      <c r="G1098" s="4" t="s">
        <v>1179</v>
      </c>
      <c r="H1098" s="1">
        <v>1</v>
      </c>
      <c r="I1098" s="1">
        <v>13</v>
      </c>
      <c r="J1098" s="1">
        <v>2</v>
      </c>
      <c r="K1098" s="2">
        <v>3.78</v>
      </c>
    </row>
    <row r="1099" spans="1:12">
      <c r="A1099" s="3" t="s">
        <v>633</v>
      </c>
      <c r="B1099" s="3" t="s">
        <v>883</v>
      </c>
      <c r="C1099" s="3" t="s">
        <v>653</v>
      </c>
      <c r="D1099" s="3"/>
      <c r="E1099" s="2" t="str">
        <f>HYPERLINK("https://old.ukr-mobil.com/steklo_displeya_samsung_a710_galaxy_a7_2016_duos_white_7358", "Перейти")</f>
        <v>Перейти</v>
      </c>
      <c r="F1099" s="2">
        <v>7358</v>
      </c>
      <c r="G1099" s="4" t="s">
        <v>1180</v>
      </c>
      <c r="H1099" s="1">
        <v>0</v>
      </c>
      <c r="I1099" s="1">
        <v>12</v>
      </c>
      <c r="J1099" s="1">
        <v>2</v>
      </c>
      <c r="K1099" s="2">
        <v>3.78</v>
      </c>
    </row>
    <row r="1100" spans="1:12">
      <c r="A1100" s="3" t="s">
        <v>633</v>
      </c>
      <c r="B1100" s="3" t="s">
        <v>883</v>
      </c>
      <c r="C1100" s="3" t="s">
        <v>653</v>
      </c>
      <c r="D1100" s="3"/>
      <c r="E1100" s="2" t="str">
        <f>HYPERLINK("https://old.ukr-mobil.com/steklo_displeya_samsung_a715_galaxy_a71_black_10000821", "Перейти")</f>
        <v>Перейти</v>
      </c>
      <c r="F1100" s="2">
        <v>10000821</v>
      </c>
      <c r="G1100" s="4" t="s">
        <v>1181</v>
      </c>
      <c r="H1100" s="1">
        <v>6</v>
      </c>
      <c r="I1100" s="1">
        <v>6</v>
      </c>
      <c r="J1100" s="1">
        <v>1</v>
      </c>
      <c r="K1100" s="2">
        <v>1.5</v>
      </c>
    </row>
    <row r="1101" spans="1:12">
      <c r="A1101" s="3" t="s">
        <v>633</v>
      </c>
      <c r="B1101" s="3" t="s">
        <v>883</v>
      </c>
      <c r="C1101" s="3" t="s">
        <v>653</v>
      </c>
      <c r="D1101" s="3"/>
      <c r="E1101" s="2" t="str">
        <f>HYPERLINK("https://old.ukr-mobil.com/steklo_displeya_samsung_a715_galaxy_a71_m515_galaxy_m51_s_oca_plenkoj_original_prc_10002022", "Перейти")</f>
        <v>Перейти</v>
      </c>
      <c r="F1101" s="2">
        <v>10002022</v>
      </c>
      <c r="G1101" s="4" t="s">
        <v>1182</v>
      </c>
      <c r="H1101" s="1">
        <v>5</v>
      </c>
      <c r="I1101" s="1">
        <v>1</v>
      </c>
      <c r="J1101" s="1">
        <v>1</v>
      </c>
      <c r="K1101" s="2">
        <v>2.85</v>
      </c>
    </row>
    <row r="1102" spans="1:12">
      <c r="A1102" s="3" t="s">
        <v>633</v>
      </c>
      <c r="B1102" s="3" t="s">
        <v>883</v>
      </c>
      <c r="C1102" s="3" t="s">
        <v>653</v>
      </c>
      <c r="D1102" s="3"/>
      <c r="E1102" s="2" t="str">
        <f>HYPERLINK("https://old.ukr-mobil.com/steklo_displeya_samsung_a720_galaxy_a7_2017_white_8251", "Перейти")</f>
        <v>Перейти</v>
      </c>
      <c r="F1102" s="2">
        <v>8251</v>
      </c>
      <c r="G1102" s="4" t="s">
        <v>1183</v>
      </c>
      <c r="H1102" s="1">
        <v>0</v>
      </c>
      <c r="I1102" s="1">
        <v>9</v>
      </c>
      <c r="J1102" s="1">
        <v>0</v>
      </c>
      <c r="K1102" s="2">
        <v>2.02</v>
      </c>
    </row>
    <row r="1103" spans="1:12">
      <c r="A1103" s="3" t="s">
        <v>633</v>
      </c>
      <c r="B1103" s="3" t="s">
        <v>883</v>
      </c>
      <c r="C1103" s="3" t="s">
        <v>653</v>
      </c>
      <c r="D1103" s="3"/>
      <c r="E1103" s="2" t="str">
        <f>HYPERLINK("https://old.ukr-mobil.com/steklo_displeya_samsung_a725_galaxy_a72_original_prc_black_10002212", "Перейти")</f>
        <v>Перейти</v>
      </c>
      <c r="F1103" s="2">
        <v>10002212</v>
      </c>
      <c r="G1103" s="4" t="s">
        <v>1184</v>
      </c>
      <c r="H1103" s="1">
        <v>6</v>
      </c>
      <c r="I1103" s="1">
        <v>1</v>
      </c>
      <c r="J1103" s="1">
        <v>5</v>
      </c>
      <c r="K1103" s="2">
        <v>2.3</v>
      </c>
    </row>
    <row r="1104" spans="1:12">
      <c r="A1104" s="3" t="s">
        <v>633</v>
      </c>
      <c r="B1104" s="3" t="s">
        <v>883</v>
      </c>
      <c r="C1104" s="3" t="s">
        <v>653</v>
      </c>
      <c r="D1104" s="3"/>
      <c r="E1104" s="2" t="str">
        <f>HYPERLINK("https://old.ukr-mobil.com/steklo_displeya_samsung_a730_galaxy_a8_plus_2018_black_11433", "Перейти")</f>
        <v>Перейти</v>
      </c>
      <c r="F1104" s="2">
        <v>11433</v>
      </c>
      <c r="G1104" s="4" t="s">
        <v>1185</v>
      </c>
      <c r="H1104" s="1">
        <v>9</v>
      </c>
      <c r="I1104" s="1">
        <v>3</v>
      </c>
      <c r="J1104" s="1">
        <v>4</v>
      </c>
      <c r="K1104" s="2">
        <v>2.52</v>
      </c>
    </row>
    <row r="1105" spans="1:12">
      <c r="A1105" s="3" t="s">
        <v>633</v>
      </c>
      <c r="B1105" s="3" t="s">
        <v>883</v>
      </c>
      <c r="C1105" s="3" t="s">
        <v>653</v>
      </c>
      <c r="D1105" s="3"/>
      <c r="E1105" s="2" t="str">
        <f>HYPERLINK("https://old.ukr-mobil.com/steklo_displeya_samsung_a736_galaxy_a73_5g_s_oca_plenkoj_original_10003270", "Перейти")</f>
        <v>Перейти</v>
      </c>
      <c r="F1105" s="2">
        <v>10003270</v>
      </c>
      <c r="G1105" s="4" t="s">
        <v>1186</v>
      </c>
      <c r="H1105" s="1">
        <v>9</v>
      </c>
      <c r="I1105" s="1">
        <v>3</v>
      </c>
      <c r="J1105" s="1">
        <v>0</v>
      </c>
      <c r="K1105" s="2">
        <v>3.25</v>
      </c>
    </row>
    <row r="1106" spans="1:12">
      <c r="A1106" s="3" t="s">
        <v>633</v>
      </c>
      <c r="B1106" s="3" t="s">
        <v>883</v>
      </c>
      <c r="C1106" s="3" t="s">
        <v>653</v>
      </c>
      <c r="D1106" s="3"/>
      <c r="E1106" s="2" t="str">
        <f>HYPERLINK("https://old.ukr-mobil.com/steklo_displeya_samsung_a750_galaxy_a7_2018_black_11278", "Перейти")</f>
        <v>Перейти</v>
      </c>
      <c r="F1106" s="2">
        <v>11278</v>
      </c>
      <c r="G1106" s="4" t="s">
        <v>1187</v>
      </c>
      <c r="H1106" s="1">
        <v>0</v>
      </c>
      <c r="I1106" s="1">
        <v>0</v>
      </c>
      <c r="J1106" s="1">
        <v>0</v>
      </c>
      <c r="K1106" s="2">
        <v>1.5</v>
      </c>
    </row>
    <row r="1107" spans="1:12">
      <c r="A1107" s="3" t="s">
        <v>633</v>
      </c>
      <c r="B1107" s="3" t="s">
        <v>883</v>
      </c>
      <c r="C1107" s="3" t="s">
        <v>653</v>
      </c>
      <c r="D1107" s="3"/>
      <c r="E1107" s="2" t="str">
        <f>HYPERLINK("https://old.ukr-mobil.com/steklo_displeya_samsung_a750_galaxy_a7_2018_gold_11279", "Перейти")</f>
        <v>Перейти</v>
      </c>
      <c r="F1107" s="2">
        <v>11279</v>
      </c>
      <c r="G1107" s="4" t="s">
        <v>1188</v>
      </c>
      <c r="H1107" s="1">
        <v>3</v>
      </c>
      <c r="I1107" s="1">
        <v>3</v>
      </c>
      <c r="J1107" s="1">
        <v>0</v>
      </c>
      <c r="K1107" s="2">
        <v>3.02</v>
      </c>
    </row>
    <row r="1108" spans="1:12">
      <c r="A1108" s="3" t="s">
        <v>633</v>
      </c>
      <c r="B1108" s="3" t="s">
        <v>883</v>
      </c>
      <c r="C1108" s="3" t="s">
        <v>653</v>
      </c>
      <c r="D1108" s="3"/>
      <c r="E1108" s="2" t="str">
        <f>HYPERLINK("https://old.ukr-mobil.com/steklo_displeya_samsung_a750_galaxy_a7_2018_white_11285", "Перейти")</f>
        <v>Перейти</v>
      </c>
      <c r="F1108" s="2">
        <v>11285</v>
      </c>
      <c r="G1108" s="4" t="s">
        <v>1189</v>
      </c>
      <c r="H1108" s="1">
        <v>6</v>
      </c>
      <c r="I1108" s="1">
        <v>3</v>
      </c>
      <c r="J1108" s="1">
        <v>2</v>
      </c>
      <c r="K1108" s="2">
        <v>3.02</v>
      </c>
    </row>
    <row r="1109" spans="1:12">
      <c r="A1109" s="3" t="s">
        <v>633</v>
      </c>
      <c r="B1109" s="3" t="s">
        <v>883</v>
      </c>
      <c r="C1109" s="3" t="s">
        <v>653</v>
      </c>
      <c r="D1109" s="3"/>
      <c r="E1109" s="2" t="str">
        <f>HYPERLINK("https://old.ukr-mobil.com/steklo_displeya_samsung_a805_galaxy_a80_2019_original_black_11916", "Перейти")</f>
        <v>Перейти</v>
      </c>
      <c r="F1109" s="2">
        <v>11916</v>
      </c>
      <c r="G1109" s="4" t="s">
        <v>1190</v>
      </c>
      <c r="H1109" s="1">
        <v>0</v>
      </c>
      <c r="I1109" s="1">
        <v>1</v>
      </c>
      <c r="J1109" s="1">
        <v>0</v>
      </c>
      <c r="K1109" s="2">
        <v>3.53</v>
      </c>
    </row>
    <row r="1110" spans="1:12">
      <c r="A1110" s="3" t="s">
        <v>633</v>
      </c>
      <c r="B1110" s="3" t="s">
        <v>883</v>
      </c>
      <c r="C1110" s="3" t="s">
        <v>653</v>
      </c>
      <c r="D1110" s="3"/>
      <c r="E1110" s="2" t="str">
        <f>HYPERLINK("https://old.ukr-mobil.com/steklo_displeya_samsung_a9100_galaxy_a9_pro_2016_black_11705", "Перейти")</f>
        <v>Перейти</v>
      </c>
      <c r="F1110" s="2">
        <v>11705</v>
      </c>
      <c r="G1110" s="4" t="s">
        <v>1191</v>
      </c>
      <c r="H1110" s="1">
        <v>5</v>
      </c>
      <c r="I1110" s="1">
        <v>0</v>
      </c>
      <c r="J1110" s="1">
        <v>1</v>
      </c>
      <c r="K1110" s="2">
        <v>4.03</v>
      </c>
    </row>
    <row r="1111" spans="1:12">
      <c r="A1111" s="3" t="s">
        <v>633</v>
      </c>
      <c r="B1111" s="3" t="s">
        <v>883</v>
      </c>
      <c r="C1111" s="3" t="s">
        <v>653</v>
      </c>
      <c r="D1111" s="3"/>
      <c r="E1111" s="2" t="str">
        <f>HYPERLINK("https://old.ukr-mobil.com/steklo_displeya_samsung_a9100_galaxy_a9_pro_2016_gold_11707", "Перейти")</f>
        <v>Перейти</v>
      </c>
      <c r="F1111" s="2">
        <v>11707</v>
      </c>
      <c r="G1111" s="4" t="s">
        <v>1192</v>
      </c>
      <c r="H1111" s="1">
        <v>4</v>
      </c>
      <c r="I1111" s="1">
        <v>0</v>
      </c>
      <c r="J1111" s="1">
        <v>1</v>
      </c>
      <c r="K1111" s="2">
        <v>4.03</v>
      </c>
    </row>
    <row r="1112" spans="1:12">
      <c r="A1112" s="3" t="s">
        <v>633</v>
      </c>
      <c r="B1112" s="3" t="s">
        <v>883</v>
      </c>
      <c r="C1112" s="3" t="s">
        <v>653</v>
      </c>
      <c r="D1112" s="3"/>
      <c r="E1112" s="2" t="str">
        <f>HYPERLINK("https://old.ukr-mobil.com/steklo_displeya_samsung_a9100_galaxy_a9_pro_2016_white_11706", "Перейти")</f>
        <v>Перейти</v>
      </c>
      <c r="F1112" s="2">
        <v>11706</v>
      </c>
      <c r="G1112" s="4" t="s">
        <v>1193</v>
      </c>
      <c r="H1112" s="1">
        <v>8</v>
      </c>
      <c r="I1112" s="1">
        <v>0</v>
      </c>
      <c r="J1112" s="1">
        <v>1</v>
      </c>
      <c r="K1112" s="2">
        <v>4.03</v>
      </c>
    </row>
    <row r="1113" spans="1:12">
      <c r="A1113" s="3" t="s">
        <v>633</v>
      </c>
      <c r="B1113" s="3" t="s">
        <v>883</v>
      </c>
      <c r="C1113" s="3" t="s">
        <v>653</v>
      </c>
      <c r="D1113" s="3"/>
      <c r="E1113" s="2" t="str">
        <f>HYPERLINK("https://old.ukr-mobil.com/steklo_displeya_samsung_f926_galaxy_fold_3_perednego_s_plenkoj_oca_original_black_10003269", "Перейти")</f>
        <v>Перейти</v>
      </c>
      <c r="F1113" s="2">
        <v>10003269</v>
      </c>
      <c r="G1113" s="4" t="s">
        <v>1194</v>
      </c>
      <c r="H1113" s="1">
        <v>0</v>
      </c>
      <c r="I1113" s="1">
        <v>0</v>
      </c>
      <c r="J1113" s="1">
        <v>0</v>
      </c>
      <c r="K1113" s="2">
        <v>6.0</v>
      </c>
    </row>
    <row r="1114" spans="1:12">
      <c r="A1114" s="3" t="s">
        <v>633</v>
      </c>
      <c r="B1114" s="3" t="s">
        <v>883</v>
      </c>
      <c r="C1114" s="3" t="s">
        <v>653</v>
      </c>
      <c r="D1114" s="3"/>
      <c r="E1114" s="2" t="str">
        <f>HYPERLINK("https://old.ukr-mobil.com/steklo_displeya_samsung_g570_galaxy_j5_prime_gold_10579", "Перейти")</f>
        <v>Перейти</v>
      </c>
      <c r="F1114" s="2">
        <v>10579</v>
      </c>
      <c r="G1114" s="4" t="s">
        <v>1195</v>
      </c>
      <c r="H1114" s="1">
        <v>0</v>
      </c>
      <c r="I1114" s="1">
        <v>0</v>
      </c>
      <c r="J1114" s="1">
        <v>0</v>
      </c>
      <c r="K1114" s="2">
        <v>2.52</v>
      </c>
    </row>
    <row r="1115" spans="1:12">
      <c r="A1115" s="3" t="s">
        <v>633</v>
      </c>
      <c r="B1115" s="3" t="s">
        <v>883</v>
      </c>
      <c r="C1115" s="3" t="s">
        <v>653</v>
      </c>
      <c r="D1115" s="3"/>
      <c r="E1115" s="2" t="str">
        <f>HYPERLINK("https://old.ukr-mobil.com/steklo_displeya_samsung_g570_galaxy_j5_prime_white_10580", "Перейти")</f>
        <v>Перейти</v>
      </c>
      <c r="F1115" s="2">
        <v>10580</v>
      </c>
      <c r="G1115" s="4" t="s">
        <v>1196</v>
      </c>
      <c r="H1115" s="1">
        <v>3</v>
      </c>
      <c r="I1115" s="1">
        <v>2</v>
      </c>
      <c r="J1115" s="1">
        <v>1</v>
      </c>
      <c r="K1115" s="2">
        <v>3.02</v>
      </c>
    </row>
    <row r="1116" spans="1:12">
      <c r="A1116" s="3" t="s">
        <v>633</v>
      </c>
      <c r="B1116" s="3" t="s">
        <v>883</v>
      </c>
      <c r="C1116" s="3" t="s">
        <v>653</v>
      </c>
      <c r="D1116" s="3"/>
      <c r="E1116" s="2" t="str">
        <f>HYPERLINK("https://old.ukr-mobil.com/steklo_displeya_samsung_g610_galaxy_j7_prime_black_10555", "Перейти")</f>
        <v>Перейти</v>
      </c>
      <c r="F1116" s="2">
        <v>10555</v>
      </c>
      <c r="G1116" s="4" t="s">
        <v>1197</v>
      </c>
      <c r="H1116" s="1">
        <v>2</v>
      </c>
      <c r="I1116" s="1">
        <v>3</v>
      </c>
      <c r="J1116" s="1">
        <v>0</v>
      </c>
      <c r="K1116" s="2">
        <v>2.52</v>
      </c>
    </row>
    <row r="1117" spans="1:12">
      <c r="A1117" s="3" t="s">
        <v>633</v>
      </c>
      <c r="B1117" s="3" t="s">
        <v>883</v>
      </c>
      <c r="C1117" s="3" t="s">
        <v>653</v>
      </c>
      <c r="D1117" s="3"/>
      <c r="E1117" s="2" t="str">
        <f>HYPERLINK("https://old.ukr-mobil.com/steklo_displeya_samsung_g610_galaxy_j7_prime_gold_10556", "Перейти")</f>
        <v>Перейти</v>
      </c>
      <c r="F1117" s="2">
        <v>10556</v>
      </c>
      <c r="G1117" s="4" t="s">
        <v>1198</v>
      </c>
      <c r="H1117" s="1">
        <v>2</v>
      </c>
      <c r="I1117" s="1">
        <v>1</v>
      </c>
      <c r="J1117" s="1">
        <v>0</v>
      </c>
      <c r="K1117" s="2">
        <v>2.52</v>
      </c>
    </row>
    <row r="1118" spans="1:12">
      <c r="A1118" s="3" t="s">
        <v>633</v>
      </c>
      <c r="B1118" s="3" t="s">
        <v>883</v>
      </c>
      <c r="C1118" s="3" t="s">
        <v>653</v>
      </c>
      <c r="D1118" s="3"/>
      <c r="E1118" s="2" t="str">
        <f>HYPERLINK("https://old.ukr-mobil.com/steklo_displeya_samsung_g610_galaxy_j7_prime_white_10557", "Перейти")</f>
        <v>Перейти</v>
      </c>
      <c r="F1118" s="2">
        <v>10557</v>
      </c>
      <c r="G1118" s="4" t="s">
        <v>1199</v>
      </c>
      <c r="H1118" s="1">
        <v>3</v>
      </c>
      <c r="I1118" s="1">
        <v>2</v>
      </c>
      <c r="J1118" s="1">
        <v>1</v>
      </c>
      <c r="K1118" s="2">
        <v>2.52</v>
      </c>
    </row>
    <row r="1119" spans="1:12">
      <c r="A1119" s="3" t="s">
        <v>633</v>
      </c>
      <c r="B1119" s="3" t="s">
        <v>883</v>
      </c>
      <c r="C1119" s="3" t="s">
        <v>653</v>
      </c>
      <c r="D1119" s="3"/>
      <c r="E1119" s="2" t="str">
        <f>HYPERLINK("https://old.ukr-mobil.com/steklo_displeya_samsung_g770_galaxy_s10_lite_s_oca_plenkoj_original_10002872", "Перейти")</f>
        <v>Перейти</v>
      </c>
      <c r="F1119" s="2">
        <v>10002872</v>
      </c>
      <c r="G1119" s="4" t="s">
        <v>1200</v>
      </c>
      <c r="H1119" s="1">
        <v>17</v>
      </c>
      <c r="I1119" s="1">
        <v>2</v>
      </c>
      <c r="J1119" s="1">
        <v>3</v>
      </c>
      <c r="K1119" s="2">
        <v>3.0</v>
      </c>
    </row>
    <row r="1120" spans="1:12">
      <c r="A1120" s="3" t="s">
        <v>633</v>
      </c>
      <c r="B1120" s="3" t="s">
        <v>883</v>
      </c>
      <c r="C1120" s="3" t="s">
        <v>653</v>
      </c>
      <c r="D1120" s="3"/>
      <c r="E1120" s="2" t="str">
        <f>HYPERLINK("https://old.ukr-mobil.com/steklo_displeya_samsung_g850_galaxy_alpha_white_10559", "Перейти")</f>
        <v>Перейти</v>
      </c>
      <c r="F1120" s="2">
        <v>10559</v>
      </c>
      <c r="G1120" s="4" t="s">
        <v>1201</v>
      </c>
      <c r="H1120" s="1">
        <v>0</v>
      </c>
      <c r="I1120" s="1">
        <v>0</v>
      </c>
      <c r="J1120" s="1">
        <v>0</v>
      </c>
      <c r="K1120" s="2">
        <v>2.52</v>
      </c>
    </row>
    <row r="1121" spans="1:12">
      <c r="A1121" s="3" t="s">
        <v>633</v>
      </c>
      <c r="B1121" s="3" t="s">
        <v>883</v>
      </c>
      <c r="C1121" s="3" t="s">
        <v>653</v>
      </c>
      <c r="D1121" s="3"/>
      <c r="E1121" s="2" t="str">
        <f>HYPERLINK("https://old.ukr-mobil.com/steklo_displeya_samsung_g8870_galaxy_a8s_2018_black_11430", "Перейти")</f>
        <v>Перейти</v>
      </c>
      <c r="F1121" s="2">
        <v>11430</v>
      </c>
      <c r="G1121" s="4" t="s">
        <v>1202</v>
      </c>
      <c r="H1121" s="1">
        <v>3</v>
      </c>
      <c r="I1121" s="1">
        <v>0</v>
      </c>
      <c r="J1121" s="1">
        <v>2</v>
      </c>
      <c r="K1121" s="2">
        <v>6.05</v>
      </c>
    </row>
    <row r="1122" spans="1:12">
      <c r="A1122" s="3" t="s">
        <v>633</v>
      </c>
      <c r="B1122" s="3" t="s">
        <v>883</v>
      </c>
      <c r="C1122" s="3" t="s">
        <v>653</v>
      </c>
      <c r="D1122" s="3"/>
      <c r="E1122" s="2" t="str">
        <f>HYPERLINK("https://old.ukr-mobil.com/steklo_displeya_samsung_g925_galaxy_s6_edge_blue_7926", "Перейти")</f>
        <v>Перейти</v>
      </c>
      <c r="F1122" s="2">
        <v>7926</v>
      </c>
      <c r="G1122" s="4" t="s">
        <v>1203</v>
      </c>
      <c r="H1122" s="1">
        <v>7</v>
      </c>
      <c r="I1122" s="1">
        <v>5</v>
      </c>
      <c r="J1122" s="1">
        <v>1</v>
      </c>
      <c r="K1122" s="2">
        <v>1.5</v>
      </c>
    </row>
    <row r="1123" spans="1:12">
      <c r="A1123" s="3" t="s">
        <v>633</v>
      </c>
      <c r="B1123" s="3" t="s">
        <v>883</v>
      </c>
      <c r="C1123" s="3" t="s">
        <v>653</v>
      </c>
      <c r="D1123" s="3"/>
      <c r="E1123" s="2" t="str">
        <f>HYPERLINK("https://old.ukr-mobil.com/steklo_displeya_samsung_g925_galaxy_s6_edge_gold_7928", "Перейти")</f>
        <v>Перейти</v>
      </c>
      <c r="F1123" s="2">
        <v>7928</v>
      </c>
      <c r="G1123" s="4" t="s">
        <v>1204</v>
      </c>
      <c r="H1123" s="1">
        <v>7</v>
      </c>
      <c r="I1123" s="1">
        <v>6</v>
      </c>
      <c r="J1123" s="1">
        <v>2</v>
      </c>
      <c r="K1123" s="2">
        <v>2.5</v>
      </c>
    </row>
    <row r="1124" spans="1:12">
      <c r="A1124" s="3" t="s">
        <v>633</v>
      </c>
      <c r="B1124" s="3" t="s">
        <v>883</v>
      </c>
      <c r="C1124" s="3" t="s">
        <v>653</v>
      </c>
      <c r="D1124" s="3"/>
      <c r="E1124" s="2" t="str">
        <f>HYPERLINK("https://old.ukr-mobil.com/steklo_displeya_samsung_g935_galaxy_s7_edge_coral_blue_original_10242", "Перейти")</f>
        <v>Перейти</v>
      </c>
      <c r="F1124" s="2">
        <v>10242</v>
      </c>
      <c r="G1124" s="4" t="s">
        <v>1205</v>
      </c>
      <c r="H1124" s="1">
        <v>7</v>
      </c>
      <c r="I1124" s="1">
        <v>1</v>
      </c>
      <c r="J1124" s="1">
        <v>3</v>
      </c>
      <c r="K1124" s="2">
        <v>6.55</v>
      </c>
    </row>
    <row r="1125" spans="1:12">
      <c r="A1125" s="3" t="s">
        <v>633</v>
      </c>
      <c r="B1125" s="3" t="s">
        <v>883</v>
      </c>
      <c r="C1125" s="3" t="s">
        <v>653</v>
      </c>
      <c r="D1125" s="3"/>
      <c r="E1125" s="2" t="str">
        <f>HYPERLINK("https://old.ukr-mobil.com/steklo_displeya_samsung_g950_galaxy_s8_original_black_9014", "Перейти")</f>
        <v>Перейти</v>
      </c>
      <c r="F1125" s="2">
        <v>9014</v>
      </c>
      <c r="G1125" s="4" t="s">
        <v>1206</v>
      </c>
      <c r="H1125" s="1">
        <v>0</v>
      </c>
      <c r="I1125" s="1">
        <v>0</v>
      </c>
      <c r="J1125" s="1">
        <v>0</v>
      </c>
      <c r="K1125" s="2">
        <v>5.04</v>
      </c>
    </row>
    <row r="1126" spans="1:12">
      <c r="A1126" s="3" t="s">
        <v>633</v>
      </c>
      <c r="B1126" s="3" t="s">
        <v>883</v>
      </c>
      <c r="C1126" s="3" t="s">
        <v>653</v>
      </c>
      <c r="D1126" s="3"/>
      <c r="E1126" s="2" t="str">
        <f>HYPERLINK("https://old.ukr-mobil.com/steklo_displeya_samsung_g950_galaxy_s8_s_oca_plenkoj_original_black_11827", "Перейти")</f>
        <v>Перейти</v>
      </c>
      <c r="F1126" s="2">
        <v>11827</v>
      </c>
      <c r="G1126" s="4" t="s">
        <v>1207</v>
      </c>
      <c r="H1126" s="1">
        <v>11</v>
      </c>
      <c r="I1126" s="1">
        <v>2</v>
      </c>
      <c r="J1126" s="1">
        <v>2</v>
      </c>
      <c r="K1126" s="2">
        <v>6.25</v>
      </c>
    </row>
    <row r="1127" spans="1:12">
      <c r="A1127" s="3" t="s">
        <v>633</v>
      </c>
      <c r="B1127" s="3" t="s">
        <v>883</v>
      </c>
      <c r="C1127" s="3" t="s">
        <v>653</v>
      </c>
      <c r="D1127" s="3"/>
      <c r="E1127" s="2" t="str">
        <f>HYPERLINK("https://old.ukr-mobil.com/steklo_displeya_samsung_g950_galaxy_s8_s_oca_plenkoj_tachskrinom_original_prc_black_10001616", "Перейти")</f>
        <v>Перейти</v>
      </c>
      <c r="F1127" s="2">
        <v>10001616</v>
      </c>
      <c r="G1127" s="4" t="s">
        <v>1208</v>
      </c>
      <c r="H1127" s="1">
        <v>1</v>
      </c>
      <c r="I1127" s="1">
        <v>1</v>
      </c>
      <c r="J1127" s="1">
        <v>0</v>
      </c>
      <c r="K1127" s="2">
        <v>8.0</v>
      </c>
    </row>
    <row r="1128" spans="1:12">
      <c r="A1128" s="3" t="s">
        <v>633</v>
      </c>
      <c r="B1128" s="3" t="s">
        <v>883</v>
      </c>
      <c r="C1128" s="3" t="s">
        <v>653</v>
      </c>
      <c r="D1128" s="3"/>
      <c r="E1128" s="2" t="str">
        <f>HYPERLINK("https://old.ukr-mobil.com/steklo_displeya_samsung_g955_galaxy_s8_plus_black_9015", "Перейти")</f>
        <v>Перейти</v>
      </c>
      <c r="F1128" s="2">
        <v>9015</v>
      </c>
      <c r="G1128" s="4" t="s">
        <v>1209</v>
      </c>
      <c r="H1128" s="1">
        <v>19</v>
      </c>
      <c r="I1128" s="1">
        <v>5</v>
      </c>
      <c r="J1128" s="1">
        <v>2</v>
      </c>
      <c r="K1128" s="2">
        <v>5.54</v>
      </c>
    </row>
    <row r="1129" spans="1:12">
      <c r="A1129" s="3" t="s">
        <v>633</v>
      </c>
      <c r="B1129" s="3" t="s">
        <v>883</v>
      </c>
      <c r="C1129" s="3" t="s">
        <v>653</v>
      </c>
      <c r="D1129" s="3"/>
      <c r="E1129" s="2" t="str">
        <f>HYPERLINK("https://old.ukr-mobil.com/steklo_displeya_samsung_g955_galaxy_s8_plus_s_oca_plenkoj_original_black_11828", "Перейти")</f>
        <v>Перейти</v>
      </c>
      <c r="F1129" s="2">
        <v>11828</v>
      </c>
      <c r="G1129" s="4" t="s">
        <v>1210</v>
      </c>
      <c r="H1129" s="1">
        <v>21</v>
      </c>
      <c r="I1129" s="1">
        <v>5</v>
      </c>
      <c r="J1129" s="1">
        <v>5</v>
      </c>
      <c r="K1129" s="2">
        <v>6.5</v>
      </c>
    </row>
    <row r="1130" spans="1:12">
      <c r="A1130" s="3" t="s">
        <v>633</v>
      </c>
      <c r="B1130" s="3" t="s">
        <v>883</v>
      </c>
      <c r="C1130" s="3" t="s">
        <v>653</v>
      </c>
      <c r="D1130" s="3"/>
      <c r="E1130" s="2" t="str">
        <f>HYPERLINK("https://old.ukr-mobil.com/steklo_displeya_samsung_g955_galaxy_s8_plus_s_oca_plenkoj_tachskrinom_original_prc_black_10001617", "Перейти")</f>
        <v>Перейти</v>
      </c>
      <c r="F1130" s="2">
        <v>10001617</v>
      </c>
      <c r="G1130" s="4" t="s">
        <v>1211</v>
      </c>
      <c r="H1130" s="1">
        <v>0</v>
      </c>
      <c r="I1130" s="1">
        <v>0</v>
      </c>
      <c r="J1130" s="1">
        <v>0</v>
      </c>
      <c r="K1130" s="2">
        <v>25.0</v>
      </c>
    </row>
    <row r="1131" spans="1:12">
      <c r="A1131" s="3" t="s">
        <v>633</v>
      </c>
      <c r="B1131" s="3" t="s">
        <v>883</v>
      </c>
      <c r="C1131" s="3" t="s">
        <v>653</v>
      </c>
      <c r="D1131" s="3"/>
      <c r="E1131" s="2" t="str">
        <f>HYPERLINK("https://old.ukr-mobil.com/steklo_displeya_samsung_g960_galaxy_s9_original_black_10561", "Перейти")</f>
        <v>Перейти</v>
      </c>
      <c r="F1131" s="2">
        <v>10561</v>
      </c>
      <c r="G1131" s="4" t="s">
        <v>1212</v>
      </c>
      <c r="H1131" s="1">
        <v>0</v>
      </c>
      <c r="I1131" s="1">
        <v>0</v>
      </c>
      <c r="J1131" s="1">
        <v>0</v>
      </c>
      <c r="K1131" s="2">
        <v>6.0</v>
      </c>
    </row>
    <row r="1132" spans="1:12">
      <c r="A1132" s="3" t="s">
        <v>633</v>
      </c>
      <c r="B1132" s="3" t="s">
        <v>883</v>
      </c>
      <c r="C1132" s="3" t="s">
        <v>653</v>
      </c>
      <c r="D1132" s="3"/>
      <c r="E1132" s="2" t="str">
        <f>HYPERLINK("https://old.ukr-mobil.com/steklo_displeya_samsung_g960_galaxy_s9_s_oca_plenkoj_original_black_11908", "Перейти")</f>
        <v>Перейти</v>
      </c>
      <c r="F1132" s="2">
        <v>11908</v>
      </c>
      <c r="G1132" s="4" t="s">
        <v>1213</v>
      </c>
      <c r="H1132" s="1">
        <v>14</v>
      </c>
      <c r="I1132" s="1">
        <v>7</v>
      </c>
      <c r="J1132" s="1">
        <v>5</v>
      </c>
      <c r="K1132" s="2">
        <v>6.0</v>
      </c>
    </row>
    <row r="1133" spans="1:12">
      <c r="A1133" s="3" t="s">
        <v>633</v>
      </c>
      <c r="B1133" s="3" t="s">
        <v>883</v>
      </c>
      <c r="C1133" s="3" t="s">
        <v>653</v>
      </c>
      <c r="D1133" s="3"/>
      <c r="E1133" s="2" t="str">
        <f>HYPERLINK("https://old.ukr-mobil.com/steklo_displeya_samsung_g965_galaxy_s9_plus_black_10562", "Перейти")</f>
        <v>Перейти</v>
      </c>
      <c r="F1133" s="2">
        <v>10562</v>
      </c>
      <c r="G1133" s="4" t="s">
        <v>1214</v>
      </c>
      <c r="H1133" s="1">
        <v>1</v>
      </c>
      <c r="I1133" s="1">
        <v>0</v>
      </c>
      <c r="J1133" s="1">
        <v>0</v>
      </c>
      <c r="K1133" s="2">
        <v>9.0</v>
      </c>
    </row>
    <row r="1134" spans="1:12">
      <c r="A1134" s="3" t="s">
        <v>633</v>
      </c>
      <c r="B1134" s="3" t="s">
        <v>883</v>
      </c>
      <c r="C1134" s="3" t="s">
        <v>653</v>
      </c>
      <c r="D1134" s="3"/>
      <c r="E1134" s="2" t="str">
        <f>HYPERLINK("https://old.ukr-mobil.com/steklo_displeya_samsung_g965_galaxy_s9_plus_s_oca_plenkoj_original_black_12077", "Перейти")</f>
        <v>Перейти</v>
      </c>
      <c r="F1134" s="2">
        <v>12077</v>
      </c>
      <c r="G1134" s="4" t="s">
        <v>1215</v>
      </c>
      <c r="H1134" s="1">
        <v>23</v>
      </c>
      <c r="I1134" s="1">
        <v>9</v>
      </c>
      <c r="J1134" s="1">
        <v>1</v>
      </c>
      <c r="K1134" s="2">
        <v>7.0</v>
      </c>
    </row>
    <row r="1135" spans="1:12">
      <c r="A1135" s="3" t="s">
        <v>633</v>
      </c>
      <c r="B1135" s="3" t="s">
        <v>883</v>
      </c>
      <c r="C1135" s="3" t="s">
        <v>653</v>
      </c>
      <c r="D1135" s="3"/>
      <c r="E1135" s="2" t="str">
        <f>HYPERLINK("https://old.ukr-mobil.com/steklo_displeya_samsung_g970_galaxy_s10e_original_black_11917", "Перейти")</f>
        <v>Перейти</v>
      </c>
      <c r="F1135" s="2">
        <v>11917</v>
      </c>
      <c r="G1135" s="4" t="s">
        <v>1216</v>
      </c>
      <c r="H1135" s="1">
        <v>0</v>
      </c>
      <c r="I1135" s="1">
        <v>0</v>
      </c>
      <c r="J1135" s="1">
        <v>0</v>
      </c>
      <c r="K1135" s="2">
        <v>5.5</v>
      </c>
    </row>
    <row r="1136" spans="1:12">
      <c r="A1136" s="3" t="s">
        <v>633</v>
      </c>
      <c r="B1136" s="3" t="s">
        <v>883</v>
      </c>
      <c r="C1136" s="3" t="s">
        <v>653</v>
      </c>
      <c r="D1136" s="3"/>
      <c r="E1136" s="2" t="str">
        <f>HYPERLINK("https://old.ukr-mobil.com/steklo_displeya_samsung_g973_galaxy_s10_original_black_11918", "Перейти")</f>
        <v>Перейти</v>
      </c>
      <c r="F1136" s="2">
        <v>11918</v>
      </c>
      <c r="G1136" s="4" t="s">
        <v>1217</v>
      </c>
      <c r="H1136" s="1">
        <v>0</v>
      </c>
      <c r="I1136" s="1">
        <v>0</v>
      </c>
      <c r="J1136" s="1">
        <v>0</v>
      </c>
      <c r="K1136" s="2">
        <v>11.09</v>
      </c>
    </row>
    <row r="1137" spans="1:12">
      <c r="A1137" s="3" t="s">
        <v>633</v>
      </c>
      <c r="B1137" s="3" t="s">
        <v>883</v>
      </c>
      <c r="C1137" s="3" t="s">
        <v>653</v>
      </c>
      <c r="D1137" s="3"/>
      <c r="E1137" s="2" t="str">
        <f>HYPERLINK("https://old.ukr-mobil.com/steklo_displeya_samsung_g973_galaxy_s10_s_oca_plenkoj_original_black_10001096", "Перейти")</f>
        <v>Перейти</v>
      </c>
      <c r="F1137" s="2">
        <v>10001096</v>
      </c>
      <c r="G1137" s="4" t="s">
        <v>1218</v>
      </c>
      <c r="H1137" s="1">
        <v>0</v>
      </c>
      <c r="I1137" s="1">
        <v>0</v>
      </c>
      <c r="J1137" s="1">
        <v>0</v>
      </c>
      <c r="K1137" s="2">
        <v>6.5</v>
      </c>
    </row>
    <row r="1138" spans="1:12">
      <c r="A1138" s="3" t="s">
        <v>633</v>
      </c>
      <c r="B1138" s="3" t="s">
        <v>883</v>
      </c>
      <c r="C1138" s="3" t="s">
        <v>653</v>
      </c>
      <c r="D1138" s="3"/>
      <c r="E1138" s="2" t="str">
        <f>HYPERLINK("https://old.ukr-mobil.com/steklo_displeya_samsung_g975_galaxy_s10_plus_original_black_11919", "Перейти")</f>
        <v>Перейти</v>
      </c>
      <c r="F1138" s="2">
        <v>11919</v>
      </c>
      <c r="G1138" s="4" t="s">
        <v>1219</v>
      </c>
      <c r="H1138" s="1">
        <v>0</v>
      </c>
      <c r="I1138" s="1">
        <v>0</v>
      </c>
      <c r="J1138" s="1">
        <v>0</v>
      </c>
      <c r="K1138" s="2">
        <v>7.0</v>
      </c>
    </row>
    <row r="1139" spans="1:12">
      <c r="A1139" s="3" t="s">
        <v>633</v>
      </c>
      <c r="B1139" s="3" t="s">
        <v>883</v>
      </c>
      <c r="C1139" s="3" t="s">
        <v>653</v>
      </c>
      <c r="D1139" s="3"/>
      <c r="E1139" s="2" t="str">
        <f>HYPERLINK("https://old.ukr-mobil.com/steklo_displeya_samsung_g975_galaxy_s10_plus_s_oca_plenkoj_original_black_11907", "Перейти")</f>
        <v>Перейти</v>
      </c>
      <c r="F1139" s="2">
        <v>11907</v>
      </c>
      <c r="G1139" s="4" t="s">
        <v>1220</v>
      </c>
      <c r="H1139" s="1">
        <v>18</v>
      </c>
      <c r="I1139" s="1">
        <v>9</v>
      </c>
      <c r="J1139" s="1">
        <v>1</v>
      </c>
      <c r="K1139" s="2">
        <v>7.0</v>
      </c>
    </row>
    <row r="1140" spans="1:12">
      <c r="A1140" s="3" t="s">
        <v>633</v>
      </c>
      <c r="B1140" s="3" t="s">
        <v>883</v>
      </c>
      <c r="C1140" s="3" t="s">
        <v>653</v>
      </c>
      <c r="D1140" s="3"/>
      <c r="E1140" s="2" t="str">
        <f>HYPERLINK("https://old.ukr-mobil.com/steklo_displeya_samsung_g980_galaxy_s20_original_black_10000816", "Перейти")</f>
        <v>Перейти</v>
      </c>
      <c r="F1140" s="2">
        <v>10000816</v>
      </c>
      <c r="G1140" s="4" t="s">
        <v>1221</v>
      </c>
      <c r="H1140" s="1">
        <v>0</v>
      </c>
      <c r="I1140" s="1">
        <v>0</v>
      </c>
      <c r="J1140" s="1">
        <v>0</v>
      </c>
      <c r="K1140" s="2">
        <v>10.0</v>
      </c>
    </row>
    <row r="1141" spans="1:12">
      <c r="A1141" s="3" t="s">
        <v>633</v>
      </c>
      <c r="B1141" s="3" t="s">
        <v>883</v>
      </c>
      <c r="C1141" s="3" t="s">
        <v>653</v>
      </c>
      <c r="D1141" s="3"/>
      <c r="E1141" s="2" t="str">
        <f>HYPERLINK("https://old.ukr-mobil.com/steklo_displeya_samsung_g980_galaxy_s20_s_oca_plenkoj_original_black_10001055", "Перейти")</f>
        <v>Перейти</v>
      </c>
      <c r="F1141" s="2">
        <v>10001055</v>
      </c>
      <c r="G1141" s="4" t="s">
        <v>1222</v>
      </c>
      <c r="H1141" s="1">
        <v>16</v>
      </c>
      <c r="I1141" s="1">
        <v>7</v>
      </c>
      <c r="J1141" s="1">
        <v>2</v>
      </c>
      <c r="K1141" s="2">
        <v>7.25</v>
      </c>
    </row>
    <row r="1142" spans="1:12">
      <c r="A1142" s="3" t="s">
        <v>633</v>
      </c>
      <c r="B1142" s="3" t="s">
        <v>883</v>
      </c>
      <c r="C1142" s="3" t="s">
        <v>653</v>
      </c>
      <c r="D1142" s="3"/>
      <c r="E1142" s="2" t="str">
        <f>HYPERLINK("https://old.ukr-mobil.com/steklo_displeya_samsung_g985_galaxy_s20_plus_original_black_10000815", "Перейти")</f>
        <v>Перейти</v>
      </c>
      <c r="F1142" s="2">
        <v>10000815</v>
      </c>
      <c r="G1142" s="4" t="s">
        <v>1223</v>
      </c>
      <c r="H1142" s="1">
        <v>1</v>
      </c>
      <c r="I1142" s="1">
        <v>1</v>
      </c>
      <c r="J1142" s="1">
        <v>0</v>
      </c>
      <c r="K1142" s="2">
        <v>2.5</v>
      </c>
    </row>
    <row r="1143" spans="1:12">
      <c r="A1143" s="3" t="s">
        <v>633</v>
      </c>
      <c r="B1143" s="3" t="s">
        <v>883</v>
      </c>
      <c r="C1143" s="3" t="s">
        <v>653</v>
      </c>
      <c r="D1143" s="3"/>
      <c r="E1143" s="2" t="str">
        <f>HYPERLINK("https://old.ukr-mobil.com/steklo_displeya_samsung_g985_galaxy_s20_plus_s_oca_plenkoj_original_black_10001056", "Перейти")</f>
        <v>Перейти</v>
      </c>
      <c r="F1143" s="2">
        <v>10001056</v>
      </c>
      <c r="G1143" s="4" t="s">
        <v>1224</v>
      </c>
      <c r="H1143" s="1">
        <v>11</v>
      </c>
      <c r="I1143" s="1">
        <v>6</v>
      </c>
      <c r="J1143" s="1">
        <v>5</v>
      </c>
      <c r="K1143" s="2">
        <v>6.5</v>
      </c>
    </row>
    <row r="1144" spans="1:12">
      <c r="A1144" s="3" t="s">
        <v>633</v>
      </c>
      <c r="B1144" s="3" t="s">
        <v>883</v>
      </c>
      <c r="C1144" s="3" t="s">
        <v>653</v>
      </c>
      <c r="D1144" s="3"/>
      <c r="E1144" s="2" t="str">
        <f>HYPERLINK("https://old.ukr-mobil.com/steklo_displeya_samsung_g988_galaxy_s20_ultra_original_black_10000817", "Перейти")</f>
        <v>Перейти</v>
      </c>
      <c r="F1144" s="2">
        <v>10000817</v>
      </c>
      <c r="G1144" s="4" t="s">
        <v>1225</v>
      </c>
      <c r="H1144" s="1">
        <v>1</v>
      </c>
      <c r="I1144" s="1">
        <v>2</v>
      </c>
      <c r="J1144" s="1">
        <v>0</v>
      </c>
      <c r="K1144" s="2">
        <v>2.5</v>
      </c>
    </row>
    <row r="1145" spans="1:12">
      <c r="A1145" s="3" t="s">
        <v>633</v>
      </c>
      <c r="B1145" s="3" t="s">
        <v>883</v>
      </c>
      <c r="C1145" s="3" t="s">
        <v>653</v>
      </c>
      <c r="D1145" s="3"/>
      <c r="E1145" s="2" t="str">
        <f>HYPERLINK("https://old.ukr-mobil.com/steklo_displeya_samsung_g988_galaxy_s20_ultra_s_oca_plenkoj_original_black_10001057", "Перейти")</f>
        <v>Перейти</v>
      </c>
      <c r="F1145" s="2">
        <v>10001057</v>
      </c>
      <c r="G1145" s="4" t="s">
        <v>1226</v>
      </c>
      <c r="H1145" s="1">
        <v>8</v>
      </c>
      <c r="I1145" s="1">
        <v>9</v>
      </c>
      <c r="J1145" s="1">
        <v>7</v>
      </c>
      <c r="K1145" s="2">
        <v>8.5</v>
      </c>
    </row>
    <row r="1146" spans="1:12">
      <c r="A1146" s="3" t="s">
        <v>633</v>
      </c>
      <c r="B1146" s="3" t="s">
        <v>883</v>
      </c>
      <c r="C1146" s="3" t="s">
        <v>653</v>
      </c>
      <c r="D1146" s="3"/>
      <c r="E1146" s="2" t="str">
        <f>HYPERLINK("https://old.ukr-mobil.com/steklo_displeya_samsung_g995_galaxy_s21_s_oca_plenkoj_original_prc_10002053", "Перейти")</f>
        <v>Перейти</v>
      </c>
      <c r="F1146" s="2">
        <v>10002053</v>
      </c>
      <c r="G1146" s="4" t="s">
        <v>1227</v>
      </c>
      <c r="H1146" s="1">
        <v>0</v>
      </c>
      <c r="I1146" s="1">
        <v>3</v>
      </c>
      <c r="J1146" s="1">
        <v>0</v>
      </c>
      <c r="K1146" s="2">
        <v>3.0</v>
      </c>
    </row>
    <row r="1147" spans="1:12">
      <c r="A1147" s="3" t="s">
        <v>633</v>
      </c>
      <c r="B1147" s="3" t="s">
        <v>883</v>
      </c>
      <c r="C1147" s="3" t="s">
        <v>653</v>
      </c>
      <c r="D1147" s="3"/>
      <c r="E1147" s="2" t="str">
        <f>HYPERLINK("https://old.ukr-mobil.com/steklo_displeya_samsung_g996_galaxy_s21_plus_s_oca_plenkoj_original_prc_10002052", "Перейти")</f>
        <v>Перейти</v>
      </c>
      <c r="F1147" s="2">
        <v>10002052</v>
      </c>
      <c r="G1147" s="4" t="s">
        <v>1228</v>
      </c>
      <c r="H1147" s="1">
        <v>19</v>
      </c>
      <c r="I1147" s="1">
        <v>15</v>
      </c>
      <c r="J1147" s="1">
        <v>9</v>
      </c>
      <c r="K1147" s="2">
        <v>2.5</v>
      </c>
    </row>
    <row r="1148" spans="1:12">
      <c r="A1148" s="3" t="s">
        <v>633</v>
      </c>
      <c r="B1148" s="3" t="s">
        <v>883</v>
      </c>
      <c r="C1148" s="3" t="s">
        <v>653</v>
      </c>
      <c r="D1148" s="3"/>
      <c r="E1148" s="2" t="str">
        <f>HYPERLINK("https://old.ukr-mobil.com/steklo_displeya_samsung_g998_galaxy_s21_ultra_s_oca_plenkoj_original_prc_10002054", "Перейти")</f>
        <v>Перейти</v>
      </c>
      <c r="F1148" s="2">
        <v>10002054</v>
      </c>
      <c r="G1148" s="4" t="s">
        <v>1229</v>
      </c>
      <c r="H1148" s="1">
        <v>0</v>
      </c>
      <c r="I1148" s="1">
        <v>0</v>
      </c>
      <c r="J1148" s="1">
        <v>0</v>
      </c>
      <c r="K1148" s="2">
        <v>10.0</v>
      </c>
    </row>
    <row r="1149" spans="1:12">
      <c r="A1149" s="3" t="s">
        <v>633</v>
      </c>
      <c r="B1149" s="3" t="s">
        <v>883</v>
      </c>
      <c r="C1149" s="3" t="s">
        <v>653</v>
      </c>
      <c r="D1149" s="3"/>
      <c r="E1149" s="2" t="str">
        <f>HYPERLINK("https://old.ukr-mobil.com/steklo_displeya_samsung_i9082_galaxy_grand_duos_white_4119", "Перейти")</f>
        <v>Перейти</v>
      </c>
      <c r="F1149" s="2">
        <v>4119</v>
      </c>
      <c r="G1149" s="4" t="s">
        <v>1230</v>
      </c>
      <c r="H1149" s="1">
        <v>0</v>
      </c>
      <c r="I1149" s="1">
        <v>3</v>
      </c>
      <c r="J1149" s="1">
        <v>1</v>
      </c>
      <c r="K1149" s="2">
        <v>6.3</v>
      </c>
    </row>
    <row r="1150" spans="1:12">
      <c r="A1150" s="3" t="s">
        <v>633</v>
      </c>
      <c r="B1150" s="3" t="s">
        <v>883</v>
      </c>
      <c r="C1150" s="3" t="s">
        <v>653</v>
      </c>
      <c r="D1150" s="3"/>
      <c r="E1150" s="2" t="str">
        <f>HYPERLINK("https://old.ukr-mobil.com/steklo_displeya_samsung_i9100_galaxy_s2_white_4111", "Перейти")</f>
        <v>Перейти</v>
      </c>
      <c r="F1150" s="2">
        <v>4111</v>
      </c>
      <c r="G1150" s="4" t="s">
        <v>1231</v>
      </c>
      <c r="H1150" s="1">
        <v>0</v>
      </c>
      <c r="I1150" s="1">
        <v>10</v>
      </c>
      <c r="J1150" s="1">
        <v>2</v>
      </c>
      <c r="K1150" s="2">
        <v>2.77</v>
      </c>
    </row>
    <row r="1151" spans="1:12">
      <c r="A1151" s="3" t="s">
        <v>633</v>
      </c>
      <c r="B1151" s="3" t="s">
        <v>883</v>
      </c>
      <c r="C1151" s="3" t="s">
        <v>653</v>
      </c>
      <c r="D1151" s="3"/>
      <c r="E1151" s="2" t="str">
        <f>HYPERLINK("https://old.ukr-mobil.com/steklo_displeya_samsung_i9300_galaxy_s3_grey_4123", "Перейти")</f>
        <v>Перейти</v>
      </c>
      <c r="F1151" s="2">
        <v>4123</v>
      </c>
      <c r="G1151" s="4" t="s">
        <v>1232</v>
      </c>
      <c r="H1151" s="1">
        <v>2</v>
      </c>
      <c r="I1151" s="1">
        <v>0</v>
      </c>
      <c r="J1151" s="1">
        <v>0</v>
      </c>
      <c r="K1151" s="2">
        <v>2.77</v>
      </c>
    </row>
    <row r="1152" spans="1:12">
      <c r="A1152" s="3" t="s">
        <v>633</v>
      </c>
      <c r="B1152" s="3" t="s">
        <v>883</v>
      </c>
      <c r="C1152" s="3" t="s">
        <v>653</v>
      </c>
      <c r="D1152" s="3"/>
      <c r="E1152" s="2" t="str">
        <f>HYPERLINK("https://old.ukr-mobil.com/steklo_displeya_samsung_j110_galaxy_j1_ace_duos_black_7366", "Перейти")</f>
        <v>Перейти</v>
      </c>
      <c r="F1152" s="2">
        <v>7366</v>
      </c>
      <c r="G1152" s="4" t="s">
        <v>1233</v>
      </c>
      <c r="H1152" s="1">
        <v>0</v>
      </c>
      <c r="I1152" s="1">
        <v>1</v>
      </c>
      <c r="J1152" s="1">
        <v>2</v>
      </c>
      <c r="K1152" s="2">
        <v>3.28</v>
      </c>
    </row>
    <row r="1153" spans="1:12">
      <c r="A1153" s="3" t="s">
        <v>633</v>
      </c>
      <c r="B1153" s="3" t="s">
        <v>883</v>
      </c>
      <c r="C1153" s="3" t="s">
        <v>653</v>
      </c>
      <c r="D1153" s="3"/>
      <c r="E1153" s="2" t="str">
        <f>HYPERLINK("https://old.ukr-mobil.com/steklo_displeya_samsung_j110_galaxy_j1_ace_duos_gold_7368", "Перейти")</f>
        <v>Перейти</v>
      </c>
      <c r="F1153" s="2">
        <v>7368</v>
      </c>
      <c r="G1153" s="4" t="s">
        <v>1234</v>
      </c>
      <c r="H1153" s="1">
        <v>0</v>
      </c>
      <c r="I1153" s="1">
        <v>5</v>
      </c>
      <c r="J1153" s="1">
        <v>2</v>
      </c>
      <c r="K1153" s="2">
        <v>3.28</v>
      </c>
    </row>
    <row r="1154" spans="1:12">
      <c r="A1154" s="3" t="s">
        <v>633</v>
      </c>
      <c r="B1154" s="3" t="s">
        <v>883</v>
      </c>
      <c r="C1154" s="3" t="s">
        <v>653</v>
      </c>
      <c r="D1154" s="3"/>
      <c r="E1154" s="2" t="str">
        <f>HYPERLINK("https://old.ukr-mobil.com/steklo_displeya_samsung_j110_galaxy_j1_ace_duos_white_7367", "Перейти")</f>
        <v>Перейти</v>
      </c>
      <c r="F1154" s="2">
        <v>7367</v>
      </c>
      <c r="G1154" s="4" t="s">
        <v>1235</v>
      </c>
      <c r="H1154" s="1">
        <v>0</v>
      </c>
      <c r="I1154" s="1">
        <v>2</v>
      </c>
      <c r="J1154" s="1">
        <v>2</v>
      </c>
      <c r="K1154" s="2">
        <v>3.28</v>
      </c>
    </row>
    <row r="1155" spans="1:12">
      <c r="A1155" s="3" t="s">
        <v>633</v>
      </c>
      <c r="B1155" s="3" t="s">
        <v>883</v>
      </c>
      <c r="C1155" s="3" t="s">
        <v>653</v>
      </c>
      <c r="D1155" s="3"/>
      <c r="E1155" s="2" t="str">
        <f>HYPERLINK("https://old.ukr-mobil.com/steklo_displeya_samsung_j120_galaxy_j1_2016_white_8254", "Перейти")</f>
        <v>Перейти</v>
      </c>
      <c r="F1155" s="2">
        <v>8254</v>
      </c>
      <c r="G1155" s="4" t="s">
        <v>1236</v>
      </c>
      <c r="H1155" s="1">
        <v>0</v>
      </c>
      <c r="I1155" s="1">
        <v>22</v>
      </c>
      <c r="J1155" s="1">
        <v>2</v>
      </c>
      <c r="K1155" s="2">
        <v>3.02</v>
      </c>
    </row>
    <row r="1156" spans="1:12">
      <c r="A1156" s="3" t="s">
        <v>633</v>
      </c>
      <c r="B1156" s="3" t="s">
        <v>883</v>
      </c>
      <c r="C1156" s="3" t="s">
        <v>653</v>
      </c>
      <c r="D1156" s="3"/>
      <c r="E1156" s="2" t="str">
        <f>HYPERLINK("https://old.ukr-mobil.com/steklo_displeya_samsung_j200_galaxy_j2_black_7372", "Перейти")</f>
        <v>Перейти</v>
      </c>
      <c r="F1156" s="2">
        <v>7372</v>
      </c>
      <c r="G1156" s="4" t="s">
        <v>1237</v>
      </c>
      <c r="H1156" s="1">
        <v>0</v>
      </c>
      <c r="I1156" s="1">
        <v>7</v>
      </c>
      <c r="J1156" s="1">
        <v>2</v>
      </c>
      <c r="K1156" s="2">
        <v>3.78</v>
      </c>
    </row>
    <row r="1157" spans="1:12">
      <c r="A1157" s="3" t="s">
        <v>633</v>
      </c>
      <c r="B1157" s="3" t="s">
        <v>883</v>
      </c>
      <c r="C1157" s="3" t="s">
        <v>653</v>
      </c>
      <c r="D1157" s="3"/>
      <c r="E1157" s="2" t="str">
        <f>HYPERLINK("https://old.ukr-mobil.com/steklo_displeya_samsung_j200_galaxy_j2_gold_7373", "Перейти")</f>
        <v>Перейти</v>
      </c>
      <c r="F1157" s="2">
        <v>7373</v>
      </c>
      <c r="G1157" s="4" t="s">
        <v>1238</v>
      </c>
      <c r="H1157" s="1">
        <v>2</v>
      </c>
      <c r="I1157" s="1">
        <v>2</v>
      </c>
      <c r="J1157" s="1">
        <v>0</v>
      </c>
      <c r="K1157" s="2">
        <v>3.78</v>
      </c>
    </row>
    <row r="1158" spans="1:12">
      <c r="A1158" s="3" t="s">
        <v>633</v>
      </c>
      <c r="B1158" s="3" t="s">
        <v>883</v>
      </c>
      <c r="C1158" s="3" t="s">
        <v>653</v>
      </c>
      <c r="D1158" s="3"/>
      <c r="E1158" s="2" t="str">
        <f>HYPERLINK("https://old.ukr-mobil.com/steklo_displeya_samsung_j200_galaxy_j2_white_7371", "Перейти")</f>
        <v>Перейти</v>
      </c>
      <c r="F1158" s="2">
        <v>7371</v>
      </c>
      <c r="G1158" s="4" t="s">
        <v>1239</v>
      </c>
      <c r="H1158" s="1">
        <v>0</v>
      </c>
      <c r="I1158" s="1">
        <v>21</v>
      </c>
      <c r="J1158" s="1">
        <v>2</v>
      </c>
      <c r="K1158" s="2">
        <v>3.78</v>
      </c>
    </row>
    <row r="1159" spans="1:12">
      <c r="A1159" s="3" t="s">
        <v>633</v>
      </c>
      <c r="B1159" s="3" t="s">
        <v>883</v>
      </c>
      <c r="C1159" s="3" t="s">
        <v>653</v>
      </c>
      <c r="D1159" s="3"/>
      <c r="E1159" s="2" t="str">
        <f>HYPERLINK("https://old.ukr-mobil.com/steklo_displeya_samsung_j320_galaxy_j3_2016_black_8258", "Перейти")</f>
        <v>Перейти</v>
      </c>
      <c r="F1159" s="2">
        <v>8258</v>
      </c>
      <c r="G1159" s="4" t="s">
        <v>1240</v>
      </c>
      <c r="H1159" s="1">
        <v>0</v>
      </c>
      <c r="I1159" s="1">
        <v>1</v>
      </c>
      <c r="J1159" s="1">
        <v>0</v>
      </c>
      <c r="K1159" s="2">
        <v>2.52</v>
      </c>
    </row>
    <row r="1160" spans="1:12">
      <c r="A1160" s="3" t="s">
        <v>633</v>
      </c>
      <c r="B1160" s="3" t="s">
        <v>883</v>
      </c>
      <c r="C1160" s="3" t="s">
        <v>653</v>
      </c>
      <c r="D1160" s="3"/>
      <c r="E1160" s="2" t="str">
        <f>HYPERLINK("https://old.ukr-mobil.com/steklo_displeya_samsung_j320_galaxy_j3_2016_gold_8256", "Перейти")</f>
        <v>Перейти</v>
      </c>
      <c r="F1160" s="2">
        <v>8256</v>
      </c>
      <c r="G1160" s="4" t="s">
        <v>1241</v>
      </c>
      <c r="H1160" s="1">
        <v>0</v>
      </c>
      <c r="I1160" s="1">
        <v>1</v>
      </c>
      <c r="J1160" s="1">
        <v>0</v>
      </c>
      <c r="K1160" s="2">
        <v>2.52</v>
      </c>
    </row>
    <row r="1161" spans="1:12">
      <c r="A1161" s="3" t="s">
        <v>633</v>
      </c>
      <c r="B1161" s="3" t="s">
        <v>883</v>
      </c>
      <c r="C1161" s="3" t="s">
        <v>653</v>
      </c>
      <c r="D1161" s="3"/>
      <c r="E1161" s="2" t="str">
        <f>HYPERLINK("https://old.ukr-mobil.com/steklo_displeya_samsung_j330_galaxy_j3_2017_pink_10577", "Перейти")</f>
        <v>Перейти</v>
      </c>
      <c r="F1161" s="2">
        <v>10577</v>
      </c>
      <c r="G1161" s="4" t="s">
        <v>1242</v>
      </c>
      <c r="H1161" s="1">
        <v>0</v>
      </c>
      <c r="I1161" s="1">
        <v>3</v>
      </c>
      <c r="J1161" s="1">
        <v>1</v>
      </c>
      <c r="K1161" s="2">
        <v>3.02</v>
      </c>
    </row>
    <row r="1162" spans="1:12">
      <c r="A1162" s="3" t="s">
        <v>633</v>
      </c>
      <c r="B1162" s="3" t="s">
        <v>883</v>
      </c>
      <c r="C1162" s="3" t="s">
        <v>653</v>
      </c>
      <c r="D1162" s="3"/>
      <c r="E1162" s="2" t="str">
        <f>HYPERLINK("https://old.ukr-mobil.com/steklo_displeya_samsung_j400_galaxy_j4_2018_pink_10573", "Перейти")</f>
        <v>Перейти</v>
      </c>
      <c r="F1162" s="2">
        <v>10573</v>
      </c>
      <c r="G1162" s="4" t="s">
        <v>1243</v>
      </c>
      <c r="H1162" s="1">
        <v>0</v>
      </c>
      <c r="I1162" s="1">
        <v>5</v>
      </c>
      <c r="J1162" s="1">
        <v>0</v>
      </c>
      <c r="K1162" s="2">
        <v>2.52</v>
      </c>
    </row>
    <row r="1163" spans="1:12">
      <c r="A1163" s="3" t="s">
        <v>633</v>
      </c>
      <c r="B1163" s="3" t="s">
        <v>883</v>
      </c>
      <c r="C1163" s="3" t="s">
        <v>653</v>
      </c>
      <c r="D1163" s="3"/>
      <c r="E1163" s="2" t="str">
        <f>HYPERLINK("https://old.ukr-mobil.com/steklo_displeya_samsung_j500_galaxy_j5_black_6102", "Перейти")</f>
        <v>Перейти</v>
      </c>
      <c r="F1163" s="2">
        <v>6102</v>
      </c>
      <c r="G1163" s="4" t="s">
        <v>1244</v>
      </c>
      <c r="H1163" s="1">
        <v>0</v>
      </c>
      <c r="I1163" s="1">
        <v>1</v>
      </c>
      <c r="J1163" s="1">
        <v>0</v>
      </c>
      <c r="K1163" s="2">
        <v>2.52</v>
      </c>
    </row>
    <row r="1164" spans="1:12">
      <c r="A1164" s="3" t="s">
        <v>633</v>
      </c>
      <c r="B1164" s="3" t="s">
        <v>883</v>
      </c>
      <c r="C1164" s="3" t="s">
        <v>653</v>
      </c>
      <c r="D1164" s="3"/>
      <c r="E1164" s="2" t="str">
        <f>HYPERLINK("https://old.ukr-mobil.com/steklo_displeya_samsung_j500_galaxy_j5_gold_7369", "Перейти")</f>
        <v>Перейти</v>
      </c>
      <c r="F1164" s="2">
        <v>7369</v>
      </c>
      <c r="G1164" s="4" t="s">
        <v>1245</v>
      </c>
      <c r="H1164" s="1">
        <v>0</v>
      </c>
      <c r="I1164" s="1">
        <v>11</v>
      </c>
      <c r="J1164" s="1">
        <v>2</v>
      </c>
      <c r="K1164" s="2">
        <v>2.52</v>
      </c>
    </row>
    <row r="1165" spans="1:12">
      <c r="A1165" s="3" t="s">
        <v>633</v>
      </c>
      <c r="B1165" s="3" t="s">
        <v>883</v>
      </c>
      <c r="C1165" s="3" t="s">
        <v>653</v>
      </c>
      <c r="D1165" s="3"/>
      <c r="E1165" s="2" t="str">
        <f>HYPERLINK("https://old.ukr-mobil.com/steklo_displeya_samsung_j500_galaxy_j5_white_6103", "Перейти")</f>
        <v>Перейти</v>
      </c>
      <c r="F1165" s="2">
        <v>6103</v>
      </c>
      <c r="G1165" s="4" t="s">
        <v>1246</v>
      </c>
      <c r="H1165" s="1">
        <v>0</v>
      </c>
      <c r="I1165" s="1">
        <v>20</v>
      </c>
      <c r="J1165" s="1">
        <v>2</v>
      </c>
      <c r="K1165" s="2">
        <v>2.52</v>
      </c>
    </row>
    <row r="1166" spans="1:12">
      <c r="A1166" s="3" t="s">
        <v>633</v>
      </c>
      <c r="B1166" s="3" t="s">
        <v>883</v>
      </c>
      <c r="C1166" s="3" t="s">
        <v>653</v>
      </c>
      <c r="D1166" s="3"/>
      <c r="E1166" s="2" t="str">
        <f>HYPERLINK("https://old.ukr-mobil.com/steklo_displeya_samsung_j510_galaxy_j5_2016_duos_gold_8208", "Перейти")</f>
        <v>Перейти</v>
      </c>
      <c r="F1166" s="2">
        <v>8208</v>
      </c>
      <c r="G1166" s="4" t="s">
        <v>1247</v>
      </c>
      <c r="H1166" s="1">
        <v>0</v>
      </c>
      <c r="I1166" s="1">
        <v>0</v>
      </c>
      <c r="J1166" s="1">
        <v>0</v>
      </c>
      <c r="K1166" s="2">
        <v>2.52</v>
      </c>
    </row>
    <row r="1167" spans="1:12">
      <c r="A1167" s="3" t="s">
        <v>633</v>
      </c>
      <c r="B1167" s="3" t="s">
        <v>883</v>
      </c>
      <c r="C1167" s="3" t="s">
        <v>653</v>
      </c>
      <c r="D1167" s="3"/>
      <c r="E1167" s="2" t="str">
        <f>HYPERLINK("https://old.ukr-mobil.com/steklo_displeya_samsung_j530_galaxy_j5_2017_gold_9948", "Перейти")</f>
        <v>Перейти</v>
      </c>
      <c r="F1167" s="2">
        <v>9948</v>
      </c>
      <c r="G1167" s="4" t="s">
        <v>1248</v>
      </c>
      <c r="H1167" s="1">
        <v>1</v>
      </c>
      <c r="I1167" s="1">
        <v>0</v>
      </c>
      <c r="J1167" s="1">
        <v>0</v>
      </c>
      <c r="K1167" s="2">
        <v>2.52</v>
      </c>
    </row>
    <row r="1168" spans="1:12">
      <c r="A1168" s="3" t="s">
        <v>633</v>
      </c>
      <c r="B1168" s="3" t="s">
        <v>883</v>
      </c>
      <c r="C1168" s="3" t="s">
        <v>653</v>
      </c>
      <c r="D1168" s="3"/>
      <c r="E1168" s="2" t="str">
        <f>HYPERLINK("https://old.ukr-mobil.com/steklo_displeya_samsung_j530_galaxy_j5_2017_white_9950", "Перейти")</f>
        <v>Перейти</v>
      </c>
      <c r="F1168" s="2">
        <v>9950</v>
      </c>
      <c r="G1168" s="4" t="s">
        <v>1249</v>
      </c>
      <c r="H1168" s="1">
        <v>10</v>
      </c>
      <c r="I1168" s="1">
        <v>5</v>
      </c>
      <c r="J1168" s="1">
        <v>2</v>
      </c>
      <c r="K1168" s="2">
        <v>2.52</v>
      </c>
    </row>
    <row r="1169" spans="1:12">
      <c r="A1169" s="3" t="s">
        <v>633</v>
      </c>
      <c r="B1169" s="3" t="s">
        <v>883</v>
      </c>
      <c r="C1169" s="3" t="s">
        <v>653</v>
      </c>
      <c r="D1169" s="3"/>
      <c r="E1169" s="2" t="str">
        <f>HYPERLINK("https://old.ukr-mobil.com/steklo_displeya_samsung_j610_galaxy_j6_plus_2018_j415_galaxy_j4_plus_2018_black_11571", "Перейти")</f>
        <v>Перейти</v>
      </c>
      <c r="F1169" s="2">
        <v>11571</v>
      </c>
      <c r="G1169" s="4" t="s">
        <v>1250</v>
      </c>
      <c r="H1169" s="1">
        <v>0</v>
      </c>
      <c r="I1169" s="1">
        <v>0</v>
      </c>
      <c r="J1169" s="1">
        <v>0</v>
      </c>
      <c r="K1169" s="2">
        <v>1.5</v>
      </c>
    </row>
    <row r="1170" spans="1:12">
      <c r="A1170" s="3" t="s">
        <v>633</v>
      </c>
      <c r="B1170" s="3" t="s">
        <v>883</v>
      </c>
      <c r="C1170" s="3" t="s">
        <v>653</v>
      </c>
      <c r="D1170" s="3"/>
      <c r="E1170" s="2" t="str">
        <f>HYPERLINK("https://old.ukr-mobil.com/steklo_displeya_samsung_j610_galaxy_j6_plus_2018_j415_galaxy_j4_plus_2018_white_10002532", "Перейти")</f>
        <v>Перейти</v>
      </c>
      <c r="F1170" s="2">
        <v>10002532</v>
      </c>
      <c r="G1170" s="4" t="s">
        <v>1251</v>
      </c>
      <c r="H1170" s="1">
        <v>2</v>
      </c>
      <c r="I1170" s="1">
        <v>2</v>
      </c>
      <c r="J1170" s="1">
        <v>0</v>
      </c>
      <c r="K1170" s="2">
        <v>1.5</v>
      </c>
    </row>
    <row r="1171" spans="1:12">
      <c r="A1171" s="3" t="s">
        <v>633</v>
      </c>
      <c r="B1171" s="3" t="s">
        <v>883</v>
      </c>
      <c r="C1171" s="3" t="s">
        <v>653</v>
      </c>
      <c r="D1171" s="3"/>
      <c r="E1171" s="2" t="str">
        <f>HYPERLINK("https://old.ukr-mobil.com/steklo_displeya_samsung_j700_galaxy_j7_white_6105", "Перейти")</f>
        <v>Перейти</v>
      </c>
      <c r="F1171" s="2">
        <v>6105</v>
      </c>
      <c r="G1171" s="4" t="s">
        <v>1252</v>
      </c>
      <c r="H1171" s="1">
        <v>0</v>
      </c>
      <c r="I1171" s="1">
        <v>2</v>
      </c>
      <c r="J1171" s="1">
        <v>1</v>
      </c>
      <c r="K1171" s="2">
        <v>1.15</v>
      </c>
    </row>
    <row r="1172" spans="1:12">
      <c r="A1172" s="3" t="s">
        <v>633</v>
      </c>
      <c r="B1172" s="3" t="s">
        <v>883</v>
      </c>
      <c r="C1172" s="3" t="s">
        <v>653</v>
      </c>
      <c r="D1172" s="3"/>
      <c r="E1172" s="2" t="str">
        <f>HYPERLINK("https://old.ukr-mobil.com/steklo_displeya_samsung_j730_galaxy_j7_2017_black_9659", "Перейти")</f>
        <v>Перейти</v>
      </c>
      <c r="F1172" s="2">
        <v>9659</v>
      </c>
      <c r="G1172" s="4" t="s">
        <v>1253</v>
      </c>
      <c r="H1172" s="1">
        <v>14</v>
      </c>
      <c r="I1172" s="1">
        <v>7</v>
      </c>
      <c r="J1172" s="1">
        <v>2</v>
      </c>
      <c r="K1172" s="2">
        <v>1.0</v>
      </c>
    </row>
    <row r="1173" spans="1:12">
      <c r="A1173" s="3" t="s">
        <v>633</v>
      </c>
      <c r="B1173" s="3" t="s">
        <v>883</v>
      </c>
      <c r="C1173" s="3" t="s">
        <v>653</v>
      </c>
      <c r="D1173" s="3"/>
      <c r="E1173" s="2" t="str">
        <f>HYPERLINK("https://old.ukr-mobil.com/steklo_displeya_samsung_j730_galaxy_j7_2017_blue_11110", "Перейти")</f>
        <v>Перейти</v>
      </c>
      <c r="F1173" s="2">
        <v>11110</v>
      </c>
      <c r="G1173" s="4" t="s">
        <v>1254</v>
      </c>
      <c r="H1173" s="1">
        <v>24</v>
      </c>
      <c r="I1173" s="1">
        <v>25</v>
      </c>
      <c r="J1173" s="1">
        <v>17</v>
      </c>
      <c r="K1173" s="2">
        <v>1.0</v>
      </c>
    </row>
    <row r="1174" spans="1:12">
      <c r="A1174" s="3" t="s">
        <v>633</v>
      </c>
      <c r="B1174" s="3" t="s">
        <v>883</v>
      </c>
      <c r="C1174" s="3" t="s">
        <v>653</v>
      </c>
      <c r="D1174" s="3"/>
      <c r="E1174" s="2" t="str">
        <f>HYPERLINK("https://old.ukr-mobil.com/steklo_displeya_samsung_j730_galaxy_j7_2017_gold_9660", "Перейти")</f>
        <v>Перейти</v>
      </c>
      <c r="F1174" s="2">
        <v>9660</v>
      </c>
      <c r="G1174" s="4" t="s">
        <v>1255</v>
      </c>
      <c r="H1174" s="1">
        <v>15</v>
      </c>
      <c r="I1174" s="1">
        <v>3</v>
      </c>
      <c r="J1174" s="1">
        <v>1</v>
      </c>
      <c r="K1174" s="2">
        <v>2.02</v>
      </c>
    </row>
    <row r="1175" spans="1:12">
      <c r="A1175" s="3" t="s">
        <v>633</v>
      </c>
      <c r="B1175" s="3" t="s">
        <v>883</v>
      </c>
      <c r="C1175" s="3" t="s">
        <v>653</v>
      </c>
      <c r="D1175" s="3"/>
      <c r="E1175" s="2" t="str">
        <f>HYPERLINK("https://old.ukr-mobil.com/steklo_displeya_samsung_j810_galaxy_j8_2018_black_11704", "Перейти")</f>
        <v>Перейти</v>
      </c>
      <c r="F1175" s="2">
        <v>11704</v>
      </c>
      <c r="G1175" s="4" t="s">
        <v>1256</v>
      </c>
      <c r="H1175" s="1">
        <v>0</v>
      </c>
      <c r="I1175" s="1">
        <v>0</v>
      </c>
      <c r="J1175" s="1">
        <v>0</v>
      </c>
      <c r="K1175" s="2">
        <v>2.0</v>
      </c>
    </row>
    <row r="1176" spans="1:12">
      <c r="A1176" s="3" t="s">
        <v>633</v>
      </c>
      <c r="B1176" s="3" t="s">
        <v>883</v>
      </c>
      <c r="C1176" s="3" t="s">
        <v>653</v>
      </c>
      <c r="D1176" s="3"/>
      <c r="E1176" s="2" t="str">
        <f>HYPERLINK("https://old.ukr-mobil.com/steklo_displeya_samsung_m105_galaxy_m10_original_black_11428", "Перейти")</f>
        <v>Перейти</v>
      </c>
      <c r="F1176" s="2">
        <v>11428</v>
      </c>
      <c r="G1176" s="4" t="s">
        <v>1257</v>
      </c>
      <c r="H1176" s="1">
        <v>1</v>
      </c>
      <c r="I1176" s="1">
        <v>2</v>
      </c>
      <c r="J1176" s="1">
        <v>0</v>
      </c>
      <c r="K1176" s="2">
        <v>2.52</v>
      </c>
    </row>
    <row r="1177" spans="1:12">
      <c r="A1177" s="3" t="s">
        <v>633</v>
      </c>
      <c r="B1177" s="3" t="s">
        <v>883</v>
      </c>
      <c r="C1177" s="3" t="s">
        <v>653</v>
      </c>
      <c r="D1177" s="3"/>
      <c r="E1177" s="2" t="str">
        <f>HYPERLINK("https://old.ukr-mobil.com/steklo_displeya_samsung_m135_galaxy_m13_s_oca_plenkoj_original_10003271", "Перейти")</f>
        <v>Перейти</v>
      </c>
      <c r="F1177" s="2">
        <v>10003271</v>
      </c>
      <c r="G1177" s="4" t="s">
        <v>1258</v>
      </c>
      <c r="H1177" s="1">
        <v>6</v>
      </c>
      <c r="I1177" s="1">
        <v>6</v>
      </c>
      <c r="J1177" s="1">
        <v>4</v>
      </c>
      <c r="K1177" s="2">
        <v>3.0</v>
      </c>
    </row>
    <row r="1178" spans="1:12">
      <c r="A1178" s="3" t="s">
        <v>633</v>
      </c>
      <c r="B1178" s="3" t="s">
        <v>883</v>
      </c>
      <c r="C1178" s="3" t="s">
        <v>653</v>
      </c>
      <c r="D1178" s="3"/>
      <c r="E1178" s="2" t="str">
        <f>HYPERLINK("https://old.ukr-mobil.com/steklo_displeya_samsung_m146_galaxy_m14_s_oca_plenkoj_original_10003272", "Перейти")</f>
        <v>Перейти</v>
      </c>
      <c r="F1178" s="2">
        <v>10003272</v>
      </c>
      <c r="G1178" s="4" t="s">
        <v>1259</v>
      </c>
      <c r="H1178" s="1">
        <v>4</v>
      </c>
      <c r="I1178" s="1">
        <v>0</v>
      </c>
      <c r="J1178" s="1">
        <v>4</v>
      </c>
      <c r="K1178" s="2">
        <v>2.75</v>
      </c>
    </row>
    <row r="1179" spans="1:12">
      <c r="A1179" s="3" t="s">
        <v>633</v>
      </c>
      <c r="B1179" s="3" t="s">
        <v>883</v>
      </c>
      <c r="C1179" s="3" t="s">
        <v>653</v>
      </c>
      <c r="D1179" s="3"/>
      <c r="E1179" s="2" t="str">
        <f>HYPERLINK("https://old.ukr-mobil.com/steklo_displeya_samsung_m205_galaxy_m20_original_black_11429", "Перейти")</f>
        <v>Перейти</v>
      </c>
      <c r="F1179" s="2">
        <v>11429</v>
      </c>
      <c r="G1179" s="4" t="s">
        <v>1260</v>
      </c>
      <c r="H1179" s="1">
        <v>2</v>
      </c>
      <c r="I1179" s="1">
        <v>2</v>
      </c>
      <c r="J1179" s="1">
        <v>2</v>
      </c>
      <c r="K1179" s="2">
        <v>2.0</v>
      </c>
    </row>
    <row r="1180" spans="1:12">
      <c r="A1180" s="3" t="s">
        <v>633</v>
      </c>
      <c r="B1180" s="3" t="s">
        <v>883</v>
      </c>
      <c r="C1180" s="3" t="s">
        <v>653</v>
      </c>
      <c r="D1180" s="3"/>
      <c r="E1180" s="2" t="str">
        <f>HYPERLINK("https://old.ukr-mobil.com/steklo_displeya_samsung_m215_galaxy_m21_black_10000814", "Перейти")</f>
        <v>Перейти</v>
      </c>
      <c r="F1180" s="2">
        <v>10000814</v>
      </c>
      <c r="G1180" s="4" t="s">
        <v>1261</v>
      </c>
      <c r="H1180" s="1">
        <v>0</v>
      </c>
      <c r="I1180" s="1">
        <v>0</v>
      </c>
      <c r="J1180" s="1">
        <v>0</v>
      </c>
      <c r="K1180" s="2">
        <v>2.0</v>
      </c>
    </row>
    <row r="1181" spans="1:12">
      <c r="A1181" s="3" t="s">
        <v>633</v>
      </c>
      <c r="B1181" s="3" t="s">
        <v>883</v>
      </c>
      <c r="C1181" s="3" t="s">
        <v>653</v>
      </c>
      <c r="D1181" s="3"/>
      <c r="E1181" s="2" t="str">
        <f>HYPERLINK("https://old.ukr-mobil.com/steklo_displeya_samsung_m305_galaxy_m30_original_black_11914", "Перейти")</f>
        <v>Перейти</v>
      </c>
      <c r="F1181" s="2">
        <v>11914</v>
      </c>
      <c r="G1181" s="4" t="s">
        <v>1262</v>
      </c>
      <c r="H1181" s="1">
        <v>0</v>
      </c>
      <c r="I1181" s="1">
        <v>0</v>
      </c>
      <c r="J1181" s="1">
        <v>0</v>
      </c>
      <c r="K1181" s="2">
        <v>1.85</v>
      </c>
    </row>
    <row r="1182" spans="1:12">
      <c r="A1182" s="3" t="s">
        <v>633</v>
      </c>
      <c r="B1182" s="3" t="s">
        <v>883</v>
      </c>
      <c r="C1182" s="3" t="s">
        <v>653</v>
      </c>
      <c r="D1182" s="3"/>
      <c r="E1182" s="2" t="str">
        <f>HYPERLINK("https://old.ukr-mobil.com/steklo_displeya_samsung_m305_galaxy_m30_m307_galaxy_m30s_m315_galaxy_m31_s_oca_plenkoj_original_10002871", "Перейти")</f>
        <v>Перейти</v>
      </c>
      <c r="F1182" s="2">
        <v>10002871</v>
      </c>
      <c r="G1182" s="4" t="s">
        <v>1263</v>
      </c>
      <c r="H1182" s="1">
        <v>9</v>
      </c>
      <c r="I1182" s="1">
        <v>2</v>
      </c>
      <c r="J1182" s="1">
        <v>3</v>
      </c>
      <c r="K1182" s="2">
        <v>2.5</v>
      </c>
    </row>
    <row r="1183" spans="1:12">
      <c r="A1183" s="3" t="s">
        <v>633</v>
      </c>
      <c r="B1183" s="3" t="s">
        <v>883</v>
      </c>
      <c r="C1183" s="3" t="s">
        <v>653</v>
      </c>
      <c r="D1183" s="3"/>
      <c r="E1183" s="2" t="str">
        <f>HYPERLINK("https://old.ukr-mobil.com/steklo_displeya_samsung_m526_galaxy_m52_black_10002400", "Перейти")</f>
        <v>Перейти</v>
      </c>
      <c r="F1183" s="2">
        <v>10002400</v>
      </c>
      <c r="G1183" s="4" t="s">
        <v>1264</v>
      </c>
      <c r="H1183" s="1">
        <v>0</v>
      </c>
      <c r="I1183" s="1">
        <v>0</v>
      </c>
      <c r="J1183" s="1">
        <v>0</v>
      </c>
      <c r="K1183" s="2">
        <v>3.0</v>
      </c>
    </row>
    <row r="1184" spans="1:12">
      <c r="A1184" s="3" t="s">
        <v>633</v>
      </c>
      <c r="B1184" s="3" t="s">
        <v>883</v>
      </c>
      <c r="C1184" s="3" t="s">
        <v>653</v>
      </c>
      <c r="D1184" s="3"/>
      <c r="E1184" s="2" t="str">
        <f>HYPERLINK("https://old.ukr-mobil.com/steklo_displeya_samsung_m536_galaxy_m53_s_oca_plenkoj_original_10003274", "Перейти")</f>
        <v>Перейти</v>
      </c>
      <c r="F1184" s="2">
        <v>10003274</v>
      </c>
      <c r="G1184" s="4" t="s">
        <v>1265</v>
      </c>
      <c r="H1184" s="1">
        <v>6</v>
      </c>
      <c r="I1184" s="1">
        <v>4</v>
      </c>
      <c r="J1184" s="1">
        <v>3</v>
      </c>
      <c r="K1184" s="2">
        <v>2.5</v>
      </c>
    </row>
    <row r="1185" spans="1:12">
      <c r="A1185" s="3" t="s">
        <v>633</v>
      </c>
      <c r="B1185" s="3" t="s">
        <v>883</v>
      </c>
      <c r="C1185" s="3" t="s">
        <v>653</v>
      </c>
      <c r="D1185" s="3"/>
      <c r="E1185" s="2" t="str">
        <f>HYPERLINK("https://old.ukr-mobil.com/steklo_displeya_samsung_n7000_galaxy_note_black_4115", "Перейти")</f>
        <v>Перейти</v>
      </c>
      <c r="F1185" s="2">
        <v>4115</v>
      </c>
      <c r="G1185" s="4" t="s">
        <v>1266</v>
      </c>
      <c r="H1185" s="1">
        <v>0</v>
      </c>
      <c r="I1185" s="1">
        <v>3</v>
      </c>
      <c r="J1185" s="1">
        <v>0</v>
      </c>
      <c r="K1185" s="2">
        <v>2.02</v>
      </c>
    </row>
    <row r="1186" spans="1:12">
      <c r="A1186" s="3" t="s">
        <v>633</v>
      </c>
      <c r="B1186" s="3" t="s">
        <v>883</v>
      </c>
      <c r="C1186" s="3" t="s">
        <v>653</v>
      </c>
      <c r="D1186" s="3"/>
      <c r="E1186" s="2" t="str">
        <f>HYPERLINK("https://old.ukr-mobil.com/steklo_displeya_samsung_n7000_galaxy_note_white_4116", "Перейти")</f>
        <v>Перейти</v>
      </c>
      <c r="F1186" s="2">
        <v>4116</v>
      </c>
      <c r="G1186" s="4" t="s">
        <v>1267</v>
      </c>
      <c r="H1186" s="1">
        <v>0</v>
      </c>
      <c r="I1186" s="1">
        <v>7</v>
      </c>
      <c r="J1186" s="1">
        <v>1</v>
      </c>
      <c r="K1186" s="2">
        <v>2.02</v>
      </c>
    </row>
    <row r="1187" spans="1:12">
      <c r="A1187" s="3" t="s">
        <v>633</v>
      </c>
      <c r="B1187" s="3" t="s">
        <v>883</v>
      </c>
      <c r="C1187" s="3" t="s">
        <v>653</v>
      </c>
      <c r="D1187" s="3"/>
      <c r="E1187" s="2" t="str">
        <f>HYPERLINK("https://old.ukr-mobil.com/steklo_displeya_samsung_n920_galaxy_note_5_original_blue_10567", "Перейти")</f>
        <v>Перейти</v>
      </c>
      <c r="F1187" s="2">
        <v>10567</v>
      </c>
      <c r="G1187" s="4" t="s">
        <v>1268</v>
      </c>
      <c r="H1187" s="1">
        <v>0</v>
      </c>
      <c r="I1187" s="1">
        <v>1</v>
      </c>
      <c r="J1187" s="1">
        <v>0</v>
      </c>
      <c r="K1187" s="2">
        <v>2.25</v>
      </c>
    </row>
    <row r="1188" spans="1:12">
      <c r="A1188" s="3" t="s">
        <v>633</v>
      </c>
      <c r="B1188" s="3" t="s">
        <v>883</v>
      </c>
      <c r="C1188" s="3" t="s">
        <v>653</v>
      </c>
      <c r="D1188" s="3"/>
      <c r="E1188" s="2" t="str">
        <f>HYPERLINK("https://old.ukr-mobil.com/steklo_displeya_samsung_n920_galaxy_note_5_original_gold_10568", "Перейти")</f>
        <v>Перейти</v>
      </c>
      <c r="F1188" s="2">
        <v>10568</v>
      </c>
      <c r="G1188" s="4" t="s">
        <v>1269</v>
      </c>
      <c r="H1188" s="1">
        <v>0</v>
      </c>
      <c r="I1188" s="1">
        <v>4</v>
      </c>
      <c r="J1188" s="1">
        <v>0</v>
      </c>
      <c r="K1188" s="2">
        <v>2.25</v>
      </c>
    </row>
    <row r="1189" spans="1:12">
      <c r="A1189" s="3" t="s">
        <v>633</v>
      </c>
      <c r="B1189" s="3" t="s">
        <v>883</v>
      </c>
      <c r="C1189" s="3" t="s">
        <v>653</v>
      </c>
      <c r="D1189" s="3"/>
      <c r="E1189" s="2" t="str">
        <f>HYPERLINK("https://old.ukr-mobil.com/steklo_displeya_samsung_n920_galaxy_note_5_silver_10692", "Перейти")</f>
        <v>Перейти</v>
      </c>
      <c r="F1189" s="2">
        <v>10692</v>
      </c>
      <c r="G1189" s="4" t="s">
        <v>1270</v>
      </c>
      <c r="H1189" s="1">
        <v>3</v>
      </c>
      <c r="I1189" s="1">
        <v>0</v>
      </c>
      <c r="J1189" s="1">
        <v>0</v>
      </c>
      <c r="K1189" s="2">
        <v>2.25</v>
      </c>
    </row>
    <row r="1190" spans="1:12">
      <c r="A1190" s="3" t="s">
        <v>633</v>
      </c>
      <c r="B1190" s="3" t="s">
        <v>883</v>
      </c>
      <c r="C1190" s="3" t="s">
        <v>653</v>
      </c>
      <c r="D1190" s="3"/>
      <c r="E1190" s="2" t="str">
        <f>HYPERLINK("https://old.ukr-mobil.com/steklo_displeya_samsung_n950_galaxy_note_8_original_black_11920", "Перейти")</f>
        <v>Перейти</v>
      </c>
      <c r="F1190" s="2">
        <v>11920</v>
      </c>
      <c r="G1190" s="4" t="s">
        <v>1271</v>
      </c>
      <c r="H1190" s="1">
        <v>0</v>
      </c>
      <c r="I1190" s="1">
        <v>0</v>
      </c>
      <c r="J1190" s="1">
        <v>0</v>
      </c>
      <c r="K1190" s="2">
        <v>6.0</v>
      </c>
    </row>
    <row r="1191" spans="1:12">
      <c r="A1191" s="3" t="s">
        <v>633</v>
      </c>
      <c r="B1191" s="3" t="s">
        <v>883</v>
      </c>
      <c r="C1191" s="3" t="s">
        <v>653</v>
      </c>
      <c r="D1191" s="3"/>
      <c r="E1191" s="2" t="str">
        <f>HYPERLINK("https://old.ukr-mobil.com/steklo_displeya_samsung_n950_galaxy_note_8_s_oca_plenkoj_original_black_11830", "Перейти")</f>
        <v>Перейти</v>
      </c>
      <c r="F1191" s="2">
        <v>11830</v>
      </c>
      <c r="G1191" s="4" t="s">
        <v>1272</v>
      </c>
      <c r="H1191" s="1">
        <v>15</v>
      </c>
      <c r="I1191" s="1">
        <v>5</v>
      </c>
      <c r="J1191" s="1">
        <v>3</v>
      </c>
      <c r="K1191" s="2">
        <v>4.0</v>
      </c>
    </row>
    <row r="1192" spans="1:12">
      <c r="A1192" s="3" t="s">
        <v>633</v>
      </c>
      <c r="B1192" s="3" t="s">
        <v>883</v>
      </c>
      <c r="C1192" s="3" t="s">
        <v>653</v>
      </c>
      <c r="D1192" s="3"/>
      <c r="E1192" s="2" t="str">
        <f>HYPERLINK("https://old.ukr-mobil.com/steklo_displeya_samsung_n950_galaxy_note_8_s_oca_plenkoj_tachskrinom_original_prc_black_10001618", "Перейти")</f>
        <v>Перейти</v>
      </c>
      <c r="F1192" s="2">
        <v>10001618</v>
      </c>
      <c r="G1192" s="4" t="s">
        <v>1273</v>
      </c>
      <c r="H1192" s="1">
        <v>0</v>
      </c>
      <c r="I1192" s="1">
        <v>0</v>
      </c>
      <c r="J1192" s="1">
        <v>0</v>
      </c>
      <c r="K1192" s="2">
        <v>5.5</v>
      </c>
    </row>
    <row r="1193" spans="1:12">
      <c r="A1193" s="3" t="s">
        <v>633</v>
      </c>
      <c r="B1193" s="3" t="s">
        <v>883</v>
      </c>
      <c r="C1193" s="3" t="s">
        <v>653</v>
      </c>
      <c r="D1193" s="3"/>
      <c r="E1193" s="2" t="str">
        <f>HYPERLINK("https://old.ukr-mobil.com/steklo_displeya_samsung_n960_galaxy_note_9_original_black_11921", "Перейти")</f>
        <v>Перейти</v>
      </c>
      <c r="F1193" s="2">
        <v>11921</v>
      </c>
      <c r="G1193" s="4" t="s">
        <v>1274</v>
      </c>
      <c r="H1193" s="1">
        <v>0</v>
      </c>
      <c r="I1193" s="1">
        <v>2</v>
      </c>
      <c r="J1193" s="1">
        <v>0</v>
      </c>
      <c r="K1193" s="2">
        <v>4.5</v>
      </c>
    </row>
    <row r="1194" spans="1:12">
      <c r="A1194" s="3" t="s">
        <v>633</v>
      </c>
      <c r="B1194" s="3" t="s">
        <v>883</v>
      </c>
      <c r="C1194" s="3" t="s">
        <v>653</v>
      </c>
      <c r="D1194" s="3"/>
      <c r="E1194" s="2" t="str">
        <f>HYPERLINK("https://old.ukr-mobil.com/steklo_displeya_samsung_n960_galaxy_note_9_s_oca_plenkoj_original_black_11829", "Перейти")</f>
        <v>Перейти</v>
      </c>
      <c r="F1194" s="2">
        <v>11829</v>
      </c>
      <c r="G1194" s="4" t="s">
        <v>1275</v>
      </c>
      <c r="H1194" s="1">
        <v>0</v>
      </c>
      <c r="I1194" s="1">
        <v>1</v>
      </c>
      <c r="J1194" s="1">
        <v>1</v>
      </c>
      <c r="K1194" s="2">
        <v>5.5</v>
      </c>
    </row>
    <row r="1195" spans="1:12">
      <c r="A1195" s="3" t="s">
        <v>633</v>
      </c>
      <c r="B1195" s="3" t="s">
        <v>883</v>
      </c>
      <c r="C1195" s="3" t="s">
        <v>653</v>
      </c>
      <c r="D1195" s="3"/>
      <c r="E1195" s="2" t="str">
        <f>HYPERLINK("https://old.ukr-mobil.com/steklo_displeya_samsung_n970_galaxy_note_10_original_black_10000818", "Перейти")</f>
        <v>Перейти</v>
      </c>
      <c r="F1195" s="2">
        <v>10000818</v>
      </c>
      <c r="G1195" s="4" t="s">
        <v>1276</v>
      </c>
      <c r="H1195" s="1">
        <v>2</v>
      </c>
      <c r="I1195" s="1">
        <v>2</v>
      </c>
      <c r="J1195" s="1">
        <v>2</v>
      </c>
      <c r="K1195" s="2">
        <v>3.5</v>
      </c>
    </row>
    <row r="1196" spans="1:12">
      <c r="A1196" s="3" t="s">
        <v>633</v>
      </c>
      <c r="B1196" s="3" t="s">
        <v>883</v>
      </c>
      <c r="C1196" s="3" t="s">
        <v>653</v>
      </c>
      <c r="D1196" s="3"/>
      <c r="E1196" s="2" t="str">
        <f>HYPERLINK("https://old.ukr-mobil.com/steklo_displeya_samsung_n970_galaxy_note_10_s_oca_plenkoj_original_black_10001053", "Перейти")</f>
        <v>Перейти</v>
      </c>
      <c r="F1196" s="2">
        <v>10001053</v>
      </c>
      <c r="G1196" s="4" t="s">
        <v>1277</v>
      </c>
      <c r="H1196" s="1">
        <v>14</v>
      </c>
      <c r="I1196" s="1">
        <v>11</v>
      </c>
      <c r="J1196" s="1">
        <v>4</v>
      </c>
      <c r="K1196" s="2">
        <v>6.0</v>
      </c>
    </row>
    <row r="1197" spans="1:12">
      <c r="A1197" s="3" t="s">
        <v>633</v>
      </c>
      <c r="B1197" s="3" t="s">
        <v>883</v>
      </c>
      <c r="C1197" s="3" t="s">
        <v>653</v>
      </c>
      <c r="D1197" s="3"/>
      <c r="E1197" s="2" t="str">
        <f>HYPERLINK("https://old.ukr-mobil.com/steklo_displeya_samsung_n975_galaxy_note_10_plus_original_black_10000819", "Перейти")</f>
        <v>Перейти</v>
      </c>
      <c r="F1197" s="2">
        <v>10000819</v>
      </c>
      <c r="G1197" s="4" t="s">
        <v>1278</v>
      </c>
      <c r="H1197" s="1">
        <v>0</v>
      </c>
      <c r="I1197" s="1">
        <v>1</v>
      </c>
      <c r="J1197" s="1">
        <v>0</v>
      </c>
      <c r="K1197" s="2">
        <v>4.0</v>
      </c>
    </row>
    <row r="1198" spans="1:12">
      <c r="A1198" s="3" t="s">
        <v>633</v>
      </c>
      <c r="B1198" s="3" t="s">
        <v>883</v>
      </c>
      <c r="C1198" s="3" t="s">
        <v>653</v>
      </c>
      <c r="D1198" s="3"/>
      <c r="E1198" s="2" t="str">
        <f>HYPERLINK("https://old.ukr-mobil.com/steklo_displeya_samsung_n975_galaxy_note_10_plus_s_oca_plenkoj_original_black_10001054", "Перейти")</f>
        <v>Перейти</v>
      </c>
      <c r="F1198" s="2">
        <v>10001054</v>
      </c>
      <c r="G1198" s="4" t="s">
        <v>1279</v>
      </c>
      <c r="H1198" s="1">
        <v>19</v>
      </c>
      <c r="I1198" s="1">
        <v>4</v>
      </c>
      <c r="J1198" s="1">
        <v>1</v>
      </c>
      <c r="K1198" s="2">
        <v>7.5</v>
      </c>
    </row>
    <row r="1199" spans="1:12">
      <c r="A1199" s="3" t="s">
        <v>633</v>
      </c>
      <c r="B1199" s="3" t="s">
        <v>883</v>
      </c>
      <c r="C1199" s="3" t="s">
        <v>653</v>
      </c>
      <c r="D1199" s="3"/>
      <c r="E1199" s="2" t="str">
        <f>HYPERLINK("https://old.ukr-mobil.com/steklo_displeya_samsung_n980_galaxy_note_20_s_oca_plenkoj_original_prc_10002055", "Перейти")</f>
        <v>Перейти</v>
      </c>
      <c r="F1199" s="2">
        <v>10002055</v>
      </c>
      <c r="G1199" s="4" t="s">
        <v>1280</v>
      </c>
      <c r="H1199" s="1">
        <v>16</v>
      </c>
      <c r="I1199" s="1">
        <v>7</v>
      </c>
      <c r="J1199" s="1">
        <v>6</v>
      </c>
      <c r="K1199" s="2">
        <v>2.5</v>
      </c>
    </row>
    <row r="1200" spans="1:12">
      <c r="A1200" s="3" t="s">
        <v>633</v>
      </c>
      <c r="B1200" s="3" t="s">
        <v>883</v>
      </c>
      <c r="C1200" s="3" t="s">
        <v>653</v>
      </c>
      <c r="D1200" s="3"/>
      <c r="E1200" s="2" t="str">
        <f>HYPERLINK("https://old.ukr-mobil.com/steklo_displeya_samsung_n985_galaxy_note_20_ultra_s_oca_plenkoj_original_prc_10002056", "Перейти")</f>
        <v>Перейти</v>
      </c>
      <c r="F1200" s="2">
        <v>10002056</v>
      </c>
      <c r="G1200" s="4" t="s">
        <v>1281</v>
      </c>
      <c r="H1200" s="1">
        <v>1</v>
      </c>
      <c r="I1200" s="1">
        <v>4</v>
      </c>
      <c r="J1200" s="1">
        <v>1</v>
      </c>
      <c r="K1200" s="2">
        <v>7.5</v>
      </c>
    </row>
    <row r="1201" spans="1:12">
      <c r="A1201" s="3" t="s">
        <v>633</v>
      </c>
      <c r="B1201" s="3" t="s">
        <v>883</v>
      </c>
      <c r="C1201" s="3" t="s">
        <v>653</v>
      </c>
      <c r="D1201" s="3"/>
      <c r="E1201" s="2" t="str">
        <f>HYPERLINK("https://old.ukr-mobil.com/steklo_displeya_samsung_p610_p613_p615_p617_p619_galaxy_tab_s6_lite_s_oca_plenkoj_original_black_10004050", "Перейти")</f>
        <v>Перейти</v>
      </c>
      <c r="F1201" s="2">
        <v>10004050</v>
      </c>
      <c r="G1201" s="4" t="s">
        <v>1282</v>
      </c>
      <c r="H1201" s="1">
        <v>38</v>
      </c>
      <c r="I1201" s="1">
        <v>8</v>
      </c>
      <c r="J1201" s="1">
        <v>7</v>
      </c>
      <c r="K1201" s="2">
        <v>2.0</v>
      </c>
    </row>
    <row r="1202" spans="1:12">
      <c r="A1202" s="3" t="s">
        <v>633</v>
      </c>
      <c r="B1202" s="3" t="s">
        <v>883</v>
      </c>
      <c r="C1202" s="3" t="s">
        <v>653</v>
      </c>
      <c r="D1202" s="3"/>
      <c r="E1202" s="2" t="str">
        <f>HYPERLINK("https://old.ukr-mobil.com/steklo_displeya_samsung_s901_galaxy_s22_s_oca_plenkoj_original_10002874", "Перейти")</f>
        <v>Перейти</v>
      </c>
      <c r="F1202" s="2">
        <v>10002874</v>
      </c>
      <c r="G1202" s="4" t="s">
        <v>1283</v>
      </c>
      <c r="H1202" s="1">
        <v>24</v>
      </c>
      <c r="I1202" s="1">
        <v>2</v>
      </c>
      <c r="J1202" s="1">
        <v>8</v>
      </c>
      <c r="K1202" s="2">
        <v>2.5</v>
      </c>
    </row>
    <row r="1203" spans="1:12">
      <c r="A1203" s="3" t="s">
        <v>633</v>
      </c>
      <c r="B1203" s="3" t="s">
        <v>883</v>
      </c>
      <c r="C1203" s="3" t="s">
        <v>653</v>
      </c>
      <c r="D1203" s="3"/>
      <c r="E1203" s="2" t="str">
        <f>HYPERLINK("https://old.ukr-mobil.com/steklo_displeya_samsung_s906_galaxy_s22_plus_s_oca_plenkoj_original_10002875", "Перейти")</f>
        <v>Перейти</v>
      </c>
      <c r="F1203" s="2">
        <v>10002875</v>
      </c>
      <c r="G1203" s="4" t="s">
        <v>1284</v>
      </c>
      <c r="H1203" s="1">
        <v>33</v>
      </c>
      <c r="I1203" s="1">
        <v>8</v>
      </c>
      <c r="J1203" s="1">
        <v>7</v>
      </c>
      <c r="K1203" s="2">
        <v>2.75</v>
      </c>
    </row>
    <row r="1204" spans="1:12">
      <c r="A1204" s="3" t="s">
        <v>633</v>
      </c>
      <c r="B1204" s="3" t="s">
        <v>883</v>
      </c>
      <c r="C1204" s="3" t="s">
        <v>653</v>
      </c>
      <c r="D1204" s="3"/>
      <c r="E1204" s="2" t="str">
        <f>HYPERLINK("https://old.ukr-mobil.com/steklo_displeya_samsung_s911_galaxy_s23_s_oca_plenkoj_original_g_oca_pro_10004530", "Перейти")</f>
        <v>Перейти</v>
      </c>
      <c r="F1204" s="2">
        <v>10004530</v>
      </c>
      <c r="G1204" s="4" t="s">
        <v>1285</v>
      </c>
      <c r="H1204" s="1">
        <v>19</v>
      </c>
      <c r="I1204" s="1">
        <v>7</v>
      </c>
      <c r="J1204" s="1">
        <v>5</v>
      </c>
      <c r="K1204" s="2">
        <v>3.75</v>
      </c>
    </row>
    <row r="1205" spans="1:12">
      <c r="A1205" s="3" t="s">
        <v>633</v>
      </c>
      <c r="B1205" s="3" t="s">
        <v>883</v>
      </c>
      <c r="C1205" s="3" t="s">
        <v>653</v>
      </c>
      <c r="D1205" s="3"/>
      <c r="E1205" s="2" t="str">
        <f>HYPERLINK("https://old.ukr-mobil.com/steklo_displeya_samsung_s916_galaxy_s23_plus_s_oca_plenkoj_original_g_oca_pro_10004531", "Перейти")</f>
        <v>Перейти</v>
      </c>
      <c r="F1205" s="2">
        <v>10004531</v>
      </c>
      <c r="G1205" s="4" t="s">
        <v>1286</v>
      </c>
      <c r="H1205" s="1">
        <v>27</v>
      </c>
      <c r="I1205" s="1">
        <v>5</v>
      </c>
      <c r="J1205" s="1">
        <v>5</v>
      </c>
      <c r="K1205" s="2">
        <v>3.75</v>
      </c>
    </row>
    <row r="1206" spans="1:12">
      <c r="A1206" s="3" t="s">
        <v>633</v>
      </c>
      <c r="B1206" s="3" t="s">
        <v>883</v>
      </c>
      <c r="C1206" s="3" t="s">
        <v>653</v>
      </c>
      <c r="D1206" s="3"/>
      <c r="E1206" s="2" t="str">
        <f>HYPERLINK("https://old.ukr-mobil.com/steklo_displeya_samsung_t220_galaxy_tab_a7_lite_wi-fi_s_oca_plenkoj_original_black_10004048", "Перейти")</f>
        <v>Перейти</v>
      </c>
      <c r="F1206" s="2">
        <v>10004048</v>
      </c>
      <c r="G1206" s="4" t="s">
        <v>1287</v>
      </c>
      <c r="H1206" s="1">
        <v>19</v>
      </c>
      <c r="I1206" s="1">
        <v>7</v>
      </c>
      <c r="J1206" s="1">
        <v>6</v>
      </c>
      <c r="K1206" s="2">
        <v>2.62</v>
      </c>
    </row>
    <row r="1207" spans="1:12">
      <c r="A1207" s="3" t="s">
        <v>633</v>
      </c>
      <c r="B1207" s="3" t="s">
        <v>883</v>
      </c>
      <c r="C1207" s="3" t="s">
        <v>653</v>
      </c>
      <c r="D1207" s="3"/>
      <c r="E1207" s="2" t="str">
        <f>HYPERLINK("https://old.ukr-mobil.com/steklo_displeya_samsung_t225_galaxy_tab_a7_lite_lte_s_oca_plenkoj_original_black_10004046", "Перейти")</f>
        <v>Перейти</v>
      </c>
      <c r="F1207" s="2">
        <v>10004046</v>
      </c>
      <c r="G1207" s="4" t="s">
        <v>1288</v>
      </c>
      <c r="H1207" s="1">
        <v>19</v>
      </c>
      <c r="I1207" s="1">
        <v>6</v>
      </c>
      <c r="J1207" s="1">
        <v>7</v>
      </c>
      <c r="K1207" s="2">
        <v>2.5</v>
      </c>
    </row>
    <row r="1208" spans="1:12">
      <c r="A1208" s="3" t="s">
        <v>633</v>
      </c>
      <c r="B1208" s="3" t="s">
        <v>883</v>
      </c>
      <c r="C1208" s="3" t="s">
        <v>653</v>
      </c>
      <c r="D1208" s="3"/>
      <c r="E1208" s="2" t="str">
        <f>HYPERLINK("https://old.ukr-mobil.com/steklo_displeya_samsung_t225_galaxy_tab_a7_lite_lte_s_oca_plenkoj_original_white_10004047", "Перейти")</f>
        <v>Перейти</v>
      </c>
      <c r="F1208" s="2">
        <v>10004047</v>
      </c>
      <c r="G1208" s="4" t="s">
        <v>1289</v>
      </c>
      <c r="H1208" s="1">
        <v>0</v>
      </c>
      <c r="I1208" s="1">
        <v>2</v>
      </c>
      <c r="J1208" s="1">
        <v>2</v>
      </c>
      <c r="K1208" s="2">
        <v>3.0</v>
      </c>
    </row>
    <row r="1209" spans="1:12">
      <c r="A1209" s="3" t="s">
        <v>633</v>
      </c>
      <c r="B1209" s="3" t="s">
        <v>883</v>
      </c>
      <c r="C1209" s="3" t="s">
        <v>653</v>
      </c>
      <c r="D1209" s="3"/>
      <c r="E1209" s="2" t="str">
        <f>HYPERLINK("https://old.ukr-mobil.com/steklo_displeya_samsung_t280_galaxy_tab_a_7_0_wi-fi_black_9705", "Перейти")</f>
        <v>Перейти</v>
      </c>
      <c r="F1209" s="2">
        <v>9705</v>
      </c>
      <c r="G1209" s="4" t="s">
        <v>1290</v>
      </c>
      <c r="H1209" s="1">
        <v>1</v>
      </c>
      <c r="I1209" s="1">
        <v>0</v>
      </c>
      <c r="J1209" s="1">
        <v>0</v>
      </c>
      <c r="K1209" s="2">
        <v>1.0</v>
      </c>
    </row>
    <row r="1210" spans="1:12">
      <c r="A1210" s="3" t="s">
        <v>633</v>
      </c>
      <c r="B1210" s="3" t="s">
        <v>883</v>
      </c>
      <c r="C1210" s="3" t="s">
        <v>653</v>
      </c>
      <c r="D1210" s="3"/>
      <c r="E1210" s="2" t="str">
        <f>HYPERLINK("https://old.ukr-mobil.com/steklo_displeya_samsung_t280_galaxy_tab_a_7_0_wi-fi_white_9706", "Перейти")</f>
        <v>Перейти</v>
      </c>
      <c r="F1210" s="2">
        <v>9706</v>
      </c>
      <c r="G1210" s="4" t="s">
        <v>1291</v>
      </c>
      <c r="H1210" s="1">
        <v>3</v>
      </c>
      <c r="I1210" s="1">
        <v>0</v>
      </c>
      <c r="J1210" s="1">
        <v>0</v>
      </c>
      <c r="K1210" s="2">
        <v>1.5</v>
      </c>
    </row>
    <row r="1211" spans="1:12">
      <c r="A1211" s="3" t="s">
        <v>633</v>
      </c>
      <c r="B1211" s="3" t="s">
        <v>883</v>
      </c>
      <c r="C1211" s="3" t="s">
        <v>653</v>
      </c>
      <c r="D1211" s="3"/>
      <c r="E1211" s="2" t="str">
        <f>HYPERLINK("https://old.ukr-mobil.com/steklo_displeya_samsung_t285_galaxy_tab_a_7_0_3g_black_9698", "Перейти")</f>
        <v>Перейти</v>
      </c>
      <c r="F1211" s="2">
        <v>9698</v>
      </c>
      <c r="G1211" s="4" t="s">
        <v>1292</v>
      </c>
      <c r="H1211" s="1">
        <v>0</v>
      </c>
      <c r="I1211" s="1">
        <v>0</v>
      </c>
      <c r="J1211" s="1">
        <v>0</v>
      </c>
      <c r="K1211" s="2">
        <v>6.05</v>
      </c>
    </row>
    <row r="1212" spans="1:12">
      <c r="A1212" s="3" t="s">
        <v>633</v>
      </c>
      <c r="B1212" s="3" t="s">
        <v>883</v>
      </c>
      <c r="C1212" s="3" t="s">
        <v>653</v>
      </c>
      <c r="D1212" s="3"/>
      <c r="E1212" s="2" t="str">
        <f>HYPERLINK("https://old.ukr-mobil.com/steklo_displeya_samsung_t285_galaxy_tab_a_7_0_3g_white_9699", "Перейти")</f>
        <v>Перейти</v>
      </c>
      <c r="F1212" s="2">
        <v>9699</v>
      </c>
      <c r="G1212" s="4" t="s">
        <v>1293</v>
      </c>
      <c r="H1212" s="1">
        <v>0</v>
      </c>
      <c r="I1212" s="1">
        <v>0</v>
      </c>
      <c r="J1212" s="1">
        <v>0</v>
      </c>
      <c r="K1212" s="2">
        <v>6.05</v>
      </c>
    </row>
    <row r="1213" spans="1:12">
      <c r="A1213" s="3" t="s">
        <v>633</v>
      </c>
      <c r="B1213" s="3" t="s">
        <v>883</v>
      </c>
      <c r="C1213" s="3" t="s">
        <v>653</v>
      </c>
      <c r="D1213" s="3"/>
      <c r="E1213" s="2" t="str">
        <f>HYPERLINK("https://old.ukr-mobil.com/index.php?route=product&amp;product_id=10004734", "Перейти")</f>
        <v>Перейти</v>
      </c>
      <c r="F1213" s="2">
        <v>10004734</v>
      </c>
      <c r="G1213" s="4" t="s">
        <v>1294</v>
      </c>
      <c r="H1213" s="1">
        <v>19</v>
      </c>
      <c r="I1213" s="1">
        <v>6</v>
      </c>
      <c r="J1213" s="1">
        <v>5</v>
      </c>
      <c r="K1213" s="2">
        <v>2.5</v>
      </c>
    </row>
    <row r="1214" spans="1:12">
      <c r="A1214" s="3" t="s">
        <v>633</v>
      </c>
      <c r="B1214" s="3" t="s">
        <v>883</v>
      </c>
      <c r="C1214" s="3" t="s">
        <v>653</v>
      </c>
      <c r="D1214" s="3"/>
      <c r="E1214" s="2" t="str">
        <f>HYPERLINK("https://old.ukr-mobil.com/steklo_displeya_samsung_t290_galaxy_tab_a_8_0_wifi_s_oca_plenkoj_original_black_10004044", "Перейти")</f>
        <v>Перейти</v>
      </c>
      <c r="F1214" s="2">
        <v>10004044</v>
      </c>
      <c r="G1214" s="4" t="s">
        <v>1295</v>
      </c>
      <c r="H1214" s="1">
        <v>15</v>
      </c>
      <c r="I1214" s="1">
        <v>6</v>
      </c>
      <c r="J1214" s="1">
        <v>5</v>
      </c>
      <c r="K1214" s="2">
        <v>2.0</v>
      </c>
    </row>
    <row r="1215" spans="1:12">
      <c r="A1215" s="3" t="s">
        <v>633</v>
      </c>
      <c r="B1215" s="3" t="s">
        <v>883</v>
      </c>
      <c r="C1215" s="3" t="s">
        <v>653</v>
      </c>
      <c r="D1215" s="3"/>
      <c r="E1215" s="2" t="str">
        <f>HYPERLINK("https://old.ukr-mobil.com/steklo_displeya_samsung_t290_galaxy_tab_a_8_0_wifi_s_oca_plenkoj_original_white_10004045", "Перейти")</f>
        <v>Перейти</v>
      </c>
      <c r="F1215" s="2">
        <v>10004045</v>
      </c>
      <c r="G1215" s="4" t="s">
        <v>1296</v>
      </c>
      <c r="H1215" s="1">
        <v>3</v>
      </c>
      <c r="I1215" s="1">
        <v>3</v>
      </c>
      <c r="J1215" s="1">
        <v>2</v>
      </c>
      <c r="K1215" s="2">
        <v>2.0</v>
      </c>
    </row>
    <row r="1216" spans="1:12">
      <c r="A1216" s="3" t="s">
        <v>633</v>
      </c>
      <c r="B1216" s="3" t="s">
        <v>883</v>
      </c>
      <c r="C1216" s="3" t="s">
        <v>653</v>
      </c>
      <c r="D1216" s="3"/>
      <c r="E1216" s="2" t="str">
        <f>HYPERLINK("https://old.ukr-mobil.com/steklo_displeya_samsung_t500_t505_galaxy_tab_a7_10_4_s_oca_plenkoj_original_black_10004051", "Перейти")</f>
        <v>Перейти</v>
      </c>
      <c r="F1216" s="2">
        <v>10004051</v>
      </c>
      <c r="G1216" s="4" t="s">
        <v>1297</v>
      </c>
      <c r="H1216" s="1">
        <v>9</v>
      </c>
      <c r="I1216" s="1">
        <v>9</v>
      </c>
      <c r="J1216" s="1">
        <v>5</v>
      </c>
      <c r="K1216" s="2">
        <v>3.0</v>
      </c>
    </row>
    <row r="1217" spans="1:12">
      <c r="A1217" s="3" t="s">
        <v>633</v>
      </c>
      <c r="B1217" s="3" t="s">
        <v>883</v>
      </c>
      <c r="C1217" s="3" t="s">
        <v>653</v>
      </c>
      <c r="D1217" s="3"/>
      <c r="E1217" s="2" t="str">
        <f>HYPERLINK("https://old.ukr-mobil.com/steklo_displeya_samsung_t500_t505_galaxy_tab_a7_10_4_s_oca_plenkoj_original_white_10004052", "Перейти")</f>
        <v>Перейти</v>
      </c>
      <c r="F1217" s="2">
        <v>10004052</v>
      </c>
      <c r="G1217" s="4" t="s">
        <v>1298</v>
      </c>
      <c r="H1217" s="1">
        <v>0</v>
      </c>
      <c r="I1217" s="1">
        <v>0</v>
      </c>
      <c r="J1217" s="1">
        <v>0</v>
      </c>
      <c r="K1217" s="2">
        <v>2.75</v>
      </c>
    </row>
    <row r="1218" spans="1:12">
      <c r="A1218" s="3" t="s">
        <v>633</v>
      </c>
      <c r="B1218" s="3" t="s">
        <v>883</v>
      </c>
      <c r="C1218" s="3" t="s">
        <v>653</v>
      </c>
      <c r="D1218" s="3"/>
      <c r="E1218" s="2" t="str">
        <f>HYPERLINK("https://old.ukr-mobil.com/steklo_displeya_samsung_t510_galaxy_tab_a_10_1_wi-fi_t515_galaxy_tab_a_10_1_lte_black_10002912", "Перейти")</f>
        <v>Перейти</v>
      </c>
      <c r="F1218" s="2">
        <v>10002912</v>
      </c>
      <c r="G1218" s="4" t="s">
        <v>1299</v>
      </c>
      <c r="H1218" s="1">
        <v>14</v>
      </c>
      <c r="I1218" s="1">
        <v>4</v>
      </c>
      <c r="J1218" s="1">
        <v>1</v>
      </c>
      <c r="K1218" s="2">
        <v>1.5</v>
      </c>
    </row>
    <row r="1219" spans="1:12">
      <c r="A1219" s="3" t="s">
        <v>633</v>
      </c>
      <c r="B1219" s="3" t="s">
        <v>883</v>
      </c>
      <c r="C1219" s="3" t="s">
        <v>653</v>
      </c>
      <c r="D1219" s="3"/>
      <c r="E1219" s="2" t="str">
        <f>HYPERLINK("https://old.ukr-mobil.com/steklo_displeya_samsung_t700_galaxy_tab_s_8_4_black_9693", "Перейти")</f>
        <v>Перейти</v>
      </c>
      <c r="F1219" s="2">
        <v>9693</v>
      </c>
      <c r="G1219" s="4" t="s">
        <v>1300</v>
      </c>
      <c r="H1219" s="1">
        <v>1</v>
      </c>
      <c r="I1219" s="1">
        <v>0</v>
      </c>
      <c r="J1219" s="1">
        <v>0</v>
      </c>
      <c r="K1219" s="2">
        <v>8.06</v>
      </c>
    </row>
    <row r="1220" spans="1:12">
      <c r="A1220" s="3" t="s">
        <v>633</v>
      </c>
      <c r="B1220" s="3" t="s">
        <v>883</v>
      </c>
      <c r="C1220" s="3" t="s">
        <v>653</v>
      </c>
      <c r="D1220" s="3"/>
      <c r="E1220" s="2" t="str">
        <f>HYPERLINK("https://old.ukr-mobil.com/steklo_displeya_samsung_t700_galaxy_tab_s_8_4_white_9694", "Перейти")</f>
        <v>Перейти</v>
      </c>
      <c r="F1220" s="2">
        <v>9694</v>
      </c>
      <c r="G1220" s="4" t="s">
        <v>1301</v>
      </c>
      <c r="H1220" s="1">
        <v>0</v>
      </c>
      <c r="I1220" s="1">
        <v>0</v>
      </c>
      <c r="J1220" s="1">
        <v>0</v>
      </c>
      <c r="K1220" s="2">
        <v>8.06</v>
      </c>
    </row>
    <row r="1221" spans="1:12">
      <c r="A1221" s="3" t="s">
        <v>633</v>
      </c>
      <c r="B1221" s="3" t="s">
        <v>883</v>
      </c>
      <c r="C1221" s="3" t="s">
        <v>653</v>
      </c>
      <c r="D1221" s="3"/>
      <c r="E1221" s="2" t="str">
        <f>HYPERLINK("https://old.ukr-mobil.com/index.php?route=product&amp;product_id=10004735", "Перейти")</f>
        <v>Перейти</v>
      </c>
      <c r="F1221" s="2">
        <v>10004735</v>
      </c>
      <c r="G1221" s="4" t="s">
        <v>1302</v>
      </c>
      <c r="H1221" s="1">
        <v>10</v>
      </c>
      <c r="I1221" s="1">
        <v>5</v>
      </c>
      <c r="J1221" s="1">
        <v>3</v>
      </c>
      <c r="K1221" s="2">
        <v>2.0</v>
      </c>
    </row>
    <row r="1222" spans="1:12">
      <c r="A1222" s="3" t="s">
        <v>633</v>
      </c>
      <c r="B1222" s="3" t="s">
        <v>883</v>
      </c>
      <c r="C1222" s="3" t="s">
        <v>653</v>
      </c>
      <c r="D1222" s="3"/>
      <c r="E1222" s="2" t="str">
        <f>HYPERLINK("https://old.ukr-mobil.com/index.php?route=product&amp;product_id=10004733", "Перейти")</f>
        <v>Перейти</v>
      </c>
      <c r="F1222" s="2">
        <v>10004733</v>
      </c>
      <c r="G1222" s="4" t="s">
        <v>1303</v>
      </c>
      <c r="H1222" s="1">
        <v>38</v>
      </c>
      <c r="I1222" s="1">
        <v>6</v>
      </c>
      <c r="J1222" s="1">
        <v>6</v>
      </c>
      <c r="K1222" s="2">
        <v>5.25</v>
      </c>
    </row>
    <row r="1223" spans="1:12">
      <c r="A1223" s="3" t="s">
        <v>633</v>
      </c>
      <c r="B1223" s="3" t="s">
        <v>883</v>
      </c>
      <c r="C1223" s="3" t="s">
        <v>653</v>
      </c>
      <c r="D1223" s="3"/>
      <c r="E1223" s="2" t="str">
        <f>HYPERLINK("https://old.ukr-mobil.com/steklo_displeya_samsung_t800_galaxy_tab_s_10_5_t805_galaxy_tab_s_10_5_lte_s_oca_plenkoj_original_black_10004041", "Перейти")</f>
        <v>Перейти</v>
      </c>
      <c r="F1223" s="2">
        <v>10004041</v>
      </c>
      <c r="G1223" s="4" t="s">
        <v>1304</v>
      </c>
      <c r="H1223" s="1">
        <v>7</v>
      </c>
      <c r="I1223" s="1">
        <v>6</v>
      </c>
      <c r="J1223" s="1">
        <v>7</v>
      </c>
      <c r="K1223" s="2">
        <v>2.0</v>
      </c>
    </row>
    <row r="1224" spans="1:12">
      <c r="A1224" s="3" t="s">
        <v>633</v>
      </c>
      <c r="B1224" s="3" t="s">
        <v>883</v>
      </c>
      <c r="C1224" s="3" t="s">
        <v>653</v>
      </c>
      <c r="D1224" s="3"/>
      <c r="E1224" s="2" t="str">
        <f>HYPERLINK("https://old.ukr-mobil.com/steklo_displeya_samsung_t800_galaxy_tab_s_10_5_t805_galaxy_tab_s_10_5_lte_s_oca_plenkoj_original_white_10004042", "Перейти")</f>
        <v>Перейти</v>
      </c>
      <c r="F1224" s="2">
        <v>10004042</v>
      </c>
      <c r="G1224" s="4" t="s">
        <v>1305</v>
      </c>
      <c r="H1224" s="1">
        <v>4</v>
      </c>
      <c r="I1224" s="1">
        <v>3</v>
      </c>
      <c r="J1224" s="1">
        <v>3</v>
      </c>
      <c r="K1224" s="2">
        <v>2.0</v>
      </c>
    </row>
    <row r="1225" spans="1:12">
      <c r="A1225" s="3" t="s">
        <v>633</v>
      </c>
      <c r="B1225" s="3" t="s">
        <v>883</v>
      </c>
      <c r="C1225" s="3" t="s">
        <v>653</v>
      </c>
      <c r="D1225" s="3"/>
      <c r="E1225" s="2" t="str">
        <f>HYPERLINK("https://old.ukr-mobil.com/steklo_displeya_samsung_t810_galaxy_tab_s2_t815_galaxy_tab_s2_lte_s_oca_plenkoj_original_black_10004039", "Перейти")</f>
        <v>Перейти</v>
      </c>
      <c r="F1225" s="2">
        <v>10004039</v>
      </c>
      <c r="G1225" s="4" t="s">
        <v>1306</v>
      </c>
      <c r="H1225" s="1">
        <v>0</v>
      </c>
      <c r="I1225" s="1">
        <v>0</v>
      </c>
      <c r="J1225" s="1">
        <v>0</v>
      </c>
      <c r="K1225" s="2">
        <v>3.85</v>
      </c>
    </row>
    <row r="1226" spans="1:12">
      <c r="A1226" s="3" t="s">
        <v>633</v>
      </c>
      <c r="B1226" s="3" t="s">
        <v>883</v>
      </c>
      <c r="C1226" s="3" t="s">
        <v>653</v>
      </c>
      <c r="D1226" s="3"/>
      <c r="E1226" s="2" t="str">
        <f>HYPERLINK("https://old.ukr-mobil.com/steklo_displeya_samsung_t810_galaxy_tab_s2_t815_galaxy_tab_s2_lte_s_oca_plenkoj_original_white_10004040", "Перейти")</f>
        <v>Перейти</v>
      </c>
      <c r="F1226" s="2">
        <v>10004040</v>
      </c>
      <c r="G1226" s="4" t="s">
        <v>1307</v>
      </c>
      <c r="H1226" s="1">
        <v>1</v>
      </c>
      <c r="I1226" s="1">
        <v>3</v>
      </c>
      <c r="J1226" s="1">
        <v>2</v>
      </c>
      <c r="K1226" s="2">
        <v>1.5</v>
      </c>
    </row>
    <row r="1227" spans="1:12">
      <c r="A1227" s="3" t="s">
        <v>633</v>
      </c>
      <c r="B1227" s="3" t="s">
        <v>883</v>
      </c>
      <c r="C1227" s="3" t="s">
        <v>653</v>
      </c>
      <c r="D1227" s="3"/>
      <c r="E1227" s="2" t="str">
        <f>HYPERLINK("https://old.ukr-mobil.com/steklo_displeya_samsung_t870_galaxy_tab_s7_wi-fi_t875_t876_galaxy_tab_s7_lte_5g_s_oca_plenkoj_original_black_10004510", "Перейти")</f>
        <v>Перейти</v>
      </c>
      <c r="F1227" s="2">
        <v>10004510</v>
      </c>
      <c r="G1227" s="4" t="s">
        <v>1308</v>
      </c>
      <c r="H1227" s="1">
        <v>15</v>
      </c>
      <c r="I1227" s="1">
        <v>8</v>
      </c>
      <c r="J1227" s="1">
        <v>6</v>
      </c>
      <c r="K1227" s="2">
        <v>2.5</v>
      </c>
    </row>
    <row r="1228" spans="1:12">
      <c r="A1228" s="3" t="s">
        <v>633</v>
      </c>
      <c r="B1228" s="3" t="s">
        <v>883</v>
      </c>
      <c r="C1228" s="3" t="s">
        <v>653</v>
      </c>
      <c r="D1228" s="3"/>
      <c r="E1228" s="2" t="str">
        <f>HYPERLINK("https://old.ukr-mobil.com/steklo_displeya_samsung_t970_galaxy_tab_s7_plus_wi-fi_t975_t976_galaxy_tab_s7_plus_lte_5g_s_oca_plenkoj_original_black_10004511", "Перейти")</f>
        <v>Перейти</v>
      </c>
      <c r="F1228" s="2">
        <v>10004511</v>
      </c>
      <c r="G1228" s="4" t="s">
        <v>1309</v>
      </c>
      <c r="H1228" s="1">
        <v>18</v>
      </c>
      <c r="I1228" s="1">
        <v>7</v>
      </c>
      <c r="J1228" s="1">
        <v>6</v>
      </c>
      <c r="K1228" s="2">
        <v>1.8</v>
      </c>
    </row>
    <row r="1229" spans="1:12">
      <c r="A1229" s="3" t="s">
        <v>633</v>
      </c>
      <c r="B1229" s="3" t="s">
        <v>883</v>
      </c>
      <c r="C1229" s="3" t="s">
        <v>653</v>
      </c>
      <c r="D1229" s="3"/>
      <c r="E1229" s="2" t="str">
        <f>HYPERLINK("https://old.ukr-mobil.com/steklo_displeya_samsung_x200_galaxy_tab_a8_wi-fi_x205_galaxy_tab_a8_lte_s_oca_plenkoj_original_black_10004038", "Перейти")</f>
        <v>Перейти</v>
      </c>
      <c r="F1229" s="2">
        <v>10004038</v>
      </c>
      <c r="G1229" s="4" t="s">
        <v>1310</v>
      </c>
      <c r="H1229" s="1">
        <v>12</v>
      </c>
      <c r="I1229" s="1">
        <v>3</v>
      </c>
      <c r="J1229" s="1">
        <v>6</v>
      </c>
      <c r="K1229" s="2">
        <v>2.5</v>
      </c>
    </row>
    <row r="1230" spans="1:12">
      <c r="A1230" s="3" t="s">
        <v>633</v>
      </c>
      <c r="B1230" s="3" t="s">
        <v>883</v>
      </c>
      <c r="C1230" s="3" t="s">
        <v>653</v>
      </c>
      <c r="D1230" s="3"/>
      <c r="E1230" s="2" t="str">
        <f>HYPERLINK("https://old.ukr-mobil.com/steklo_displeya_samsung_x700_x706_galaxy_tab_s8_original_black_10002640", "Перейти")</f>
        <v>Перейти</v>
      </c>
      <c r="F1230" s="2">
        <v>10002640</v>
      </c>
      <c r="G1230" s="4" t="s">
        <v>1311</v>
      </c>
      <c r="H1230" s="1">
        <v>2</v>
      </c>
      <c r="I1230" s="1">
        <v>2</v>
      </c>
      <c r="J1230" s="1">
        <v>1</v>
      </c>
      <c r="K1230" s="2">
        <v>4.0</v>
      </c>
    </row>
    <row r="1231" spans="1:12">
      <c r="A1231" s="3" t="s">
        <v>633</v>
      </c>
      <c r="B1231" s="3" t="s">
        <v>883</v>
      </c>
      <c r="C1231" s="3" t="s">
        <v>676</v>
      </c>
      <c r="D1231" s="3"/>
      <c r="E1231" s="2" t="str">
        <f>HYPERLINK("https://old.ukr-mobil.com/steklo_displeya_sony_f3111_xperia_xa_f3112_xperia_xa_dual_f3113_xperia_xa_f3115_xperia_xa_f3116_xperia_xa_dual_gold_11437", "Перейти")</f>
        <v>Перейти</v>
      </c>
      <c r="F1231" s="2">
        <v>11437</v>
      </c>
      <c r="G1231" s="4" t="s">
        <v>1312</v>
      </c>
      <c r="H1231" s="1">
        <v>4</v>
      </c>
      <c r="I1231" s="1">
        <v>0</v>
      </c>
      <c r="J1231" s="1">
        <v>0</v>
      </c>
      <c r="K1231" s="2">
        <v>2.52</v>
      </c>
    </row>
    <row r="1232" spans="1:12">
      <c r="A1232" s="3" t="s">
        <v>633</v>
      </c>
      <c r="B1232" s="3" t="s">
        <v>883</v>
      </c>
      <c r="C1232" s="3" t="s">
        <v>676</v>
      </c>
      <c r="D1232" s="3"/>
      <c r="E1232" s="2" t="str">
        <f>HYPERLINK("https://old.ukr-mobil.com/steklo_displeya_sony_f3111_xperia_xa_f3112_xperia_xa_dual_f3113_xperia_xa_f3115_xperia_xa_f3116_xperia_xa_dual_pink_11438", "Перейти")</f>
        <v>Перейти</v>
      </c>
      <c r="F1232" s="2">
        <v>11438</v>
      </c>
      <c r="G1232" s="4" t="s">
        <v>1313</v>
      </c>
      <c r="H1232" s="1">
        <v>1</v>
      </c>
      <c r="I1232" s="1">
        <v>0</v>
      </c>
      <c r="J1232" s="1">
        <v>0</v>
      </c>
      <c r="K1232" s="2">
        <v>2.52</v>
      </c>
    </row>
    <row r="1233" spans="1:12">
      <c r="A1233" s="3" t="s">
        <v>633</v>
      </c>
      <c r="B1233" s="3" t="s">
        <v>883</v>
      </c>
      <c r="C1233" s="3" t="s">
        <v>1314</v>
      </c>
      <c r="D1233" s="3"/>
      <c r="E1233" s="2" t="str">
        <f>HYPERLINK("https://old.ukr-mobil.com/steklo_displeya_tecno_camon_12_cc7_s_oca_plenkoj_original_10002864", "Перейти")</f>
        <v>Перейти</v>
      </c>
      <c r="F1233" s="2">
        <v>10002864</v>
      </c>
      <c r="G1233" s="4" t="s">
        <v>1315</v>
      </c>
      <c r="H1233" s="1">
        <v>31</v>
      </c>
      <c r="I1233" s="1">
        <v>9</v>
      </c>
      <c r="J1233" s="1">
        <v>7</v>
      </c>
      <c r="K1233" s="2">
        <v>3.0</v>
      </c>
    </row>
    <row r="1234" spans="1:12">
      <c r="A1234" s="3" t="s">
        <v>633</v>
      </c>
      <c r="B1234" s="3" t="s">
        <v>883</v>
      </c>
      <c r="C1234" s="3" t="s">
        <v>1314</v>
      </c>
      <c r="D1234" s="3"/>
      <c r="E1234" s="2" t="str">
        <f>HYPERLINK("https://old.ukr-mobil.com/steklo_displeya_tecno_camon_12_air_cc6_s_oca_plenkoj_original_10002863", "Перейти")</f>
        <v>Перейти</v>
      </c>
      <c r="F1234" s="2">
        <v>10002863</v>
      </c>
      <c r="G1234" s="4" t="s">
        <v>1316</v>
      </c>
      <c r="H1234" s="1">
        <v>29</v>
      </c>
      <c r="I1234" s="1">
        <v>10</v>
      </c>
      <c r="J1234" s="1">
        <v>7</v>
      </c>
      <c r="K1234" s="2">
        <v>3.0</v>
      </c>
    </row>
    <row r="1235" spans="1:12">
      <c r="A1235" s="3" t="s">
        <v>633</v>
      </c>
      <c r="B1235" s="3" t="s">
        <v>883</v>
      </c>
      <c r="C1235" s="3" t="s">
        <v>1314</v>
      </c>
      <c r="D1235" s="3"/>
      <c r="E1235" s="2" t="str">
        <f>HYPERLINK("https://old.ukr-mobil.com/steklo_displeya_tecno_camon_15_cd7_camon_15_air_spark_5_spark_5_pro_kd7_s_oca_plenkoj_original_10002881", "Перейти")</f>
        <v>Перейти</v>
      </c>
      <c r="F1235" s="2">
        <v>10002881</v>
      </c>
      <c r="G1235" s="4" t="s">
        <v>1317</v>
      </c>
      <c r="H1235" s="1">
        <v>0</v>
      </c>
      <c r="I1235" s="1">
        <v>0</v>
      </c>
      <c r="J1235" s="1">
        <v>0</v>
      </c>
      <c r="K1235" s="2">
        <v>3.0</v>
      </c>
    </row>
    <row r="1236" spans="1:12">
      <c r="A1236" s="3" t="s">
        <v>633</v>
      </c>
      <c r="B1236" s="3" t="s">
        <v>883</v>
      </c>
      <c r="C1236" s="3" t="s">
        <v>1314</v>
      </c>
      <c r="D1236" s="3"/>
      <c r="E1236" s="2" t="str">
        <f>HYPERLINK("https://old.ukr-mobil.com/index.php?route=product&amp;product_id=10004728", "Перейти")</f>
        <v>Перейти</v>
      </c>
      <c r="F1236" s="2">
        <v>10004728</v>
      </c>
      <c r="G1236" s="4" t="s">
        <v>1318</v>
      </c>
      <c r="H1236" s="1">
        <v>63</v>
      </c>
      <c r="I1236" s="1">
        <v>0</v>
      </c>
      <c r="J1236" s="1">
        <v>15</v>
      </c>
      <c r="K1236" s="2">
        <v>2.85</v>
      </c>
    </row>
    <row r="1237" spans="1:12">
      <c r="A1237" s="3" t="s">
        <v>633</v>
      </c>
      <c r="B1237" s="3" t="s">
        <v>883</v>
      </c>
      <c r="C1237" s="3" t="s">
        <v>1314</v>
      </c>
      <c r="D1237" s="3"/>
      <c r="E1237" s="2" t="str">
        <f>HYPERLINK("https://old.ukr-mobil.com/steklo_displeya_tecno_camon_18_ch6n_camon_18p_ch7_10002399", "Перейти")</f>
        <v>Перейти</v>
      </c>
      <c r="F1237" s="2">
        <v>10002399</v>
      </c>
      <c r="G1237" s="4" t="s">
        <v>1319</v>
      </c>
      <c r="H1237" s="1">
        <v>7</v>
      </c>
      <c r="I1237" s="1">
        <v>5</v>
      </c>
      <c r="J1237" s="1">
        <v>0</v>
      </c>
      <c r="K1237" s="2">
        <v>2.15</v>
      </c>
    </row>
    <row r="1238" spans="1:12">
      <c r="A1238" s="3" t="s">
        <v>633</v>
      </c>
      <c r="B1238" s="3" t="s">
        <v>883</v>
      </c>
      <c r="C1238" s="3" t="s">
        <v>1314</v>
      </c>
      <c r="D1238" s="3"/>
      <c r="E1238" s="2" t="str">
        <f>HYPERLINK("https://old.ukr-mobil.com/steklo_displeya_tecno_camon_18_ch6n_camon_18p_ch7_s_oca_plenkoj_original_10002883", "Перейти")</f>
        <v>Перейти</v>
      </c>
      <c r="F1238" s="2">
        <v>10002883</v>
      </c>
      <c r="G1238" s="4" t="s">
        <v>1320</v>
      </c>
      <c r="H1238" s="1">
        <v>8</v>
      </c>
      <c r="I1238" s="1">
        <v>8</v>
      </c>
      <c r="J1238" s="1">
        <v>8</v>
      </c>
      <c r="K1238" s="2">
        <v>3.5</v>
      </c>
    </row>
    <row r="1239" spans="1:12">
      <c r="A1239" s="3" t="s">
        <v>633</v>
      </c>
      <c r="B1239" s="3" t="s">
        <v>883</v>
      </c>
      <c r="C1239" s="3" t="s">
        <v>1314</v>
      </c>
      <c r="D1239" s="3"/>
      <c r="E1239" s="2" t="str">
        <f>HYPERLINK("https://old.ukr-mobil.com/steklo_displeya_tecno_pova_2_le7n_10002397", "Перейти")</f>
        <v>Перейти</v>
      </c>
      <c r="F1239" s="2">
        <v>10002397</v>
      </c>
      <c r="G1239" s="4" t="s">
        <v>1321</v>
      </c>
      <c r="H1239" s="1">
        <v>0</v>
      </c>
      <c r="I1239" s="1">
        <v>0</v>
      </c>
      <c r="J1239" s="1">
        <v>0</v>
      </c>
      <c r="K1239" s="2">
        <v>2.75</v>
      </c>
    </row>
    <row r="1240" spans="1:12">
      <c r="A1240" s="3" t="s">
        <v>633</v>
      </c>
      <c r="B1240" s="3" t="s">
        <v>883</v>
      </c>
      <c r="C1240" s="3" t="s">
        <v>1314</v>
      </c>
      <c r="D1240" s="3"/>
      <c r="E1240" s="2" t="str">
        <f>HYPERLINK("https://old.ukr-mobil.com/steklo_displeya_tecno_pova_2_le7n_s_oca_plenkoj_original_10002884", "Перейти")</f>
        <v>Перейти</v>
      </c>
      <c r="F1240" s="2">
        <v>10002884</v>
      </c>
      <c r="G1240" s="4" t="s">
        <v>1322</v>
      </c>
      <c r="H1240" s="1">
        <v>1</v>
      </c>
      <c r="I1240" s="1">
        <v>4</v>
      </c>
      <c r="J1240" s="1">
        <v>4</v>
      </c>
      <c r="K1240" s="2">
        <v>3.35</v>
      </c>
    </row>
    <row r="1241" spans="1:12">
      <c r="A1241" s="3" t="s">
        <v>633</v>
      </c>
      <c r="B1241" s="3" t="s">
        <v>883</v>
      </c>
      <c r="C1241" s="3" t="s">
        <v>1314</v>
      </c>
      <c r="D1241" s="3"/>
      <c r="E1241" s="2" t="str">
        <f>HYPERLINK("https://old.ukr-mobil.com/steklo_displeya_tecno_spark_5_air_kd6_s_oca_plenkoj_original_10003212", "Перейти")</f>
        <v>Перейти</v>
      </c>
      <c r="F1241" s="2">
        <v>10003212</v>
      </c>
      <c r="G1241" s="4" t="s">
        <v>1323</v>
      </c>
      <c r="H1241" s="1">
        <v>60</v>
      </c>
      <c r="I1241" s="1">
        <v>20</v>
      </c>
      <c r="J1241" s="1">
        <v>20</v>
      </c>
      <c r="K1241" s="2">
        <v>2.0</v>
      </c>
    </row>
    <row r="1242" spans="1:12">
      <c r="A1242" s="3" t="s">
        <v>633</v>
      </c>
      <c r="B1242" s="3" t="s">
        <v>883</v>
      </c>
      <c r="C1242" s="3" t="s">
        <v>1314</v>
      </c>
      <c r="D1242" s="3"/>
      <c r="E1242" s="2" t="str">
        <f>HYPERLINK("https://old.ukr-mobil.com/steklo_displeya_tecno_spark_6_ke7_camon_16_se_ce7j_10002396", "Перейти")</f>
        <v>Перейти</v>
      </c>
      <c r="F1242" s="2">
        <v>10002396</v>
      </c>
      <c r="G1242" s="4" t="s">
        <v>1324</v>
      </c>
      <c r="H1242" s="1">
        <v>7</v>
      </c>
      <c r="I1242" s="1">
        <v>4</v>
      </c>
      <c r="J1242" s="1">
        <v>3</v>
      </c>
      <c r="K1242" s="2">
        <v>2.0</v>
      </c>
    </row>
    <row r="1243" spans="1:12">
      <c r="A1243" s="3" t="s">
        <v>633</v>
      </c>
      <c r="B1243" s="3" t="s">
        <v>883</v>
      </c>
      <c r="C1243" s="3" t="s">
        <v>1314</v>
      </c>
      <c r="D1243" s="3"/>
      <c r="E1243" s="2" t="str">
        <f>HYPERLINK("https://old.ukr-mobil.com/steklo_displeya_tecno_spark_6_ke7_camon_16_se_ce7j_s_oca_plenkoj_original_10002862", "Перейти")</f>
        <v>Перейти</v>
      </c>
      <c r="F1243" s="2">
        <v>10002862</v>
      </c>
      <c r="G1243" s="4" t="s">
        <v>1325</v>
      </c>
      <c r="H1243" s="1">
        <v>16</v>
      </c>
      <c r="I1243" s="1">
        <v>11</v>
      </c>
      <c r="J1243" s="1">
        <v>6</v>
      </c>
      <c r="K1243" s="2">
        <v>3.25</v>
      </c>
    </row>
    <row r="1244" spans="1:12">
      <c r="A1244" s="3" t="s">
        <v>633</v>
      </c>
      <c r="B1244" s="3" t="s">
        <v>883</v>
      </c>
      <c r="C1244" s="3" t="s">
        <v>1314</v>
      </c>
      <c r="D1244" s="3"/>
      <c r="E1244" s="2" t="str">
        <f>HYPERLINK("https://old.ukr-mobil.com/steklo_displeya_tecno_spark_6_go_ke5_10002398", "Перейти")</f>
        <v>Перейти</v>
      </c>
      <c r="F1244" s="2">
        <v>10002398</v>
      </c>
      <c r="G1244" s="4" t="s">
        <v>1326</v>
      </c>
      <c r="H1244" s="1">
        <v>0</v>
      </c>
      <c r="I1244" s="1">
        <v>0</v>
      </c>
      <c r="J1244" s="1">
        <v>0</v>
      </c>
      <c r="K1244" s="2">
        <v>2.75</v>
      </c>
    </row>
    <row r="1245" spans="1:12">
      <c r="A1245" s="3" t="s">
        <v>633</v>
      </c>
      <c r="B1245" s="3" t="s">
        <v>883</v>
      </c>
      <c r="C1245" s="3" t="s">
        <v>1314</v>
      </c>
      <c r="D1245" s="3"/>
      <c r="E1245" s="2" t="str">
        <f>HYPERLINK("https://old.ukr-mobil.com/steklo_displeya_tecno_spark_6_go_ke5_s_oca_plenkoj_original_10002886", "Перейти")</f>
        <v>Перейти</v>
      </c>
      <c r="F1245" s="2">
        <v>10002886</v>
      </c>
      <c r="G1245" s="4" t="s">
        <v>1327</v>
      </c>
      <c r="H1245" s="1">
        <v>19</v>
      </c>
      <c r="I1245" s="1">
        <v>9</v>
      </c>
      <c r="J1245" s="1">
        <v>9</v>
      </c>
      <c r="K1245" s="2">
        <v>2.95</v>
      </c>
    </row>
    <row r="1246" spans="1:12">
      <c r="A1246" s="3" t="s">
        <v>633</v>
      </c>
      <c r="B1246" s="3" t="s">
        <v>883</v>
      </c>
      <c r="C1246" s="3" t="s">
        <v>1314</v>
      </c>
      <c r="D1246" s="3"/>
      <c r="E1246" s="2" t="str">
        <f>HYPERLINK("https://old.ukr-mobil.com/steklo_displeya_tecno_spark_7_kf6n_10002394", "Перейти")</f>
        <v>Перейти</v>
      </c>
      <c r="F1246" s="2">
        <v>10002394</v>
      </c>
      <c r="G1246" s="4" t="s">
        <v>1328</v>
      </c>
      <c r="H1246" s="1">
        <v>0</v>
      </c>
      <c r="I1246" s="1">
        <v>0</v>
      </c>
      <c r="J1246" s="1">
        <v>0</v>
      </c>
      <c r="K1246" s="2">
        <v>2.35</v>
      </c>
    </row>
    <row r="1247" spans="1:12">
      <c r="A1247" s="3" t="s">
        <v>633</v>
      </c>
      <c r="B1247" s="3" t="s">
        <v>883</v>
      </c>
      <c r="C1247" s="3" t="s">
        <v>1314</v>
      </c>
      <c r="D1247" s="3"/>
      <c r="E1247" s="2" t="str">
        <f>HYPERLINK("https://old.ukr-mobil.com/steklo_displeya_tecno_spark_7_go_kf6m_10002395", "Перейти")</f>
        <v>Перейти</v>
      </c>
      <c r="F1247" s="2">
        <v>10002395</v>
      </c>
      <c r="G1247" s="4" t="s">
        <v>1329</v>
      </c>
      <c r="H1247" s="1">
        <v>0</v>
      </c>
      <c r="I1247" s="1">
        <v>0</v>
      </c>
      <c r="J1247" s="1">
        <v>0</v>
      </c>
      <c r="K1247" s="2">
        <v>3.25</v>
      </c>
    </row>
    <row r="1248" spans="1:12">
      <c r="A1248" s="3" t="s">
        <v>633</v>
      </c>
      <c r="B1248" s="3" t="s">
        <v>883</v>
      </c>
      <c r="C1248" s="3" t="s">
        <v>1314</v>
      </c>
      <c r="D1248" s="3"/>
      <c r="E1248" s="2" t="str">
        <f>HYPERLINK("https://old.ukr-mobil.com/steklo_displeya_tecno_spark_7_kf6n_tecno_spark_8c_kg5n_s_oca_plenkoj_original_10002885", "Перейти")</f>
        <v>Перейти</v>
      </c>
      <c r="F1248" s="2">
        <v>10002885</v>
      </c>
      <c r="G1248" s="4" t="s">
        <v>1330</v>
      </c>
      <c r="H1248" s="1">
        <v>0</v>
      </c>
      <c r="I1248" s="1">
        <v>0</v>
      </c>
      <c r="J1248" s="1">
        <v>9</v>
      </c>
      <c r="K1248" s="2">
        <v>2.75</v>
      </c>
    </row>
    <row r="1249" spans="1:12">
      <c r="A1249" s="3" t="s">
        <v>633</v>
      </c>
      <c r="B1249" s="3" t="s">
        <v>883</v>
      </c>
      <c r="C1249" s="3" t="s">
        <v>812</v>
      </c>
      <c r="D1249" s="3"/>
      <c r="E1249" s="2" t="str">
        <f>HYPERLINK("https://old.ukr-mobil.com/steklo_displeya_vivo_y15_y17_black_10001219", "Перейти")</f>
        <v>Перейти</v>
      </c>
      <c r="F1249" s="2">
        <v>10001219</v>
      </c>
      <c r="G1249" s="4" t="s">
        <v>1331</v>
      </c>
      <c r="H1249" s="1">
        <v>1</v>
      </c>
      <c r="I1249" s="1">
        <v>0</v>
      </c>
      <c r="J1249" s="1">
        <v>0</v>
      </c>
      <c r="K1249" s="2">
        <v>1.85</v>
      </c>
    </row>
    <row r="1250" spans="1:12">
      <c r="A1250" s="3" t="s">
        <v>633</v>
      </c>
      <c r="B1250" s="3" t="s">
        <v>883</v>
      </c>
      <c r="C1250" s="3" t="s">
        <v>812</v>
      </c>
      <c r="D1250" s="3"/>
      <c r="E1250" s="2" t="str">
        <f>HYPERLINK("https://old.ukr-mobil.com/steklo_displeya_vivo_y11_2019_y12_2019_y15_2019_y17_2019_s_oca_plenkoj_original_10002826", "Перейти")</f>
        <v>Перейти</v>
      </c>
      <c r="F1250" s="2">
        <v>10002826</v>
      </c>
      <c r="G1250" s="4" t="s">
        <v>1332</v>
      </c>
      <c r="H1250" s="1">
        <v>6</v>
      </c>
      <c r="I1250" s="1">
        <v>5</v>
      </c>
      <c r="J1250" s="1">
        <v>4</v>
      </c>
      <c r="K1250" s="2">
        <v>2.5</v>
      </c>
    </row>
    <row r="1251" spans="1:12">
      <c r="A1251" s="3" t="s">
        <v>633</v>
      </c>
      <c r="B1251" s="3" t="s">
        <v>883</v>
      </c>
      <c r="C1251" s="3" t="s">
        <v>812</v>
      </c>
      <c r="D1251" s="3"/>
      <c r="E1251" s="2" t="str">
        <f>HYPERLINK("https://old.ukr-mobil.com/steklo_displeya_vivo_y19_s_oca_plenkoj_original_10002827", "Перейти")</f>
        <v>Перейти</v>
      </c>
      <c r="F1251" s="2">
        <v>10002827</v>
      </c>
      <c r="G1251" s="4" t="s">
        <v>1333</v>
      </c>
      <c r="H1251" s="1">
        <v>35</v>
      </c>
      <c r="I1251" s="1">
        <v>10</v>
      </c>
      <c r="J1251" s="1">
        <v>5</v>
      </c>
      <c r="K1251" s="2">
        <v>2.5</v>
      </c>
    </row>
    <row r="1252" spans="1:12">
      <c r="A1252" s="3" t="s">
        <v>633</v>
      </c>
      <c r="B1252" s="3" t="s">
        <v>883</v>
      </c>
      <c r="C1252" s="3" t="s">
        <v>812</v>
      </c>
      <c r="D1252" s="3"/>
      <c r="E1252" s="2" t="str">
        <f>HYPERLINK("https://old.ukr-mobil.com/steklo_displeya_vivo_y20_y30_black_10001218", "Перейти")</f>
        <v>Перейти</v>
      </c>
      <c r="F1252" s="2">
        <v>10001218</v>
      </c>
      <c r="G1252" s="4" t="s">
        <v>1334</v>
      </c>
      <c r="H1252" s="1">
        <v>0</v>
      </c>
      <c r="I1252" s="1">
        <v>0</v>
      </c>
      <c r="J1252" s="1">
        <v>0</v>
      </c>
      <c r="K1252" s="2">
        <v>4.0</v>
      </c>
    </row>
    <row r="1253" spans="1:12">
      <c r="A1253" s="3" t="s">
        <v>633</v>
      </c>
      <c r="B1253" s="3" t="s">
        <v>883</v>
      </c>
      <c r="C1253" s="3" t="s">
        <v>812</v>
      </c>
      <c r="D1253" s="3"/>
      <c r="E1253" s="2" t="str">
        <f>HYPERLINK("https://old.ukr-mobil.com/steklo_displeya_vivo_y21_v2111_y21s_v2110_s_plenkoj_oca_original_10002876", "Перейти")</f>
        <v>Перейти</v>
      </c>
      <c r="F1253" s="2">
        <v>10002876</v>
      </c>
      <c r="G1253" s="4" t="s">
        <v>1335</v>
      </c>
      <c r="H1253" s="1">
        <v>3</v>
      </c>
      <c r="I1253" s="1">
        <v>8</v>
      </c>
      <c r="J1253" s="1">
        <v>4</v>
      </c>
      <c r="K1253" s="2">
        <v>2.5</v>
      </c>
    </row>
    <row r="1254" spans="1:12">
      <c r="A1254" s="3" t="s">
        <v>633</v>
      </c>
      <c r="B1254" s="3" t="s">
        <v>883</v>
      </c>
      <c r="C1254" s="3" t="s">
        <v>812</v>
      </c>
      <c r="D1254" s="3"/>
      <c r="E1254" s="2" t="str">
        <f>HYPERLINK("https://old.ukr-mobil.com/steklo_displeya_vivo_y31_v2036_y31s_v2054a_s_oca_plenkoj_original_10002828", "Перейти")</f>
        <v>Перейти</v>
      </c>
      <c r="F1254" s="2">
        <v>10002828</v>
      </c>
      <c r="G1254" s="4" t="s">
        <v>1336</v>
      </c>
      <c r="H1254" s="1">
        <v>0</v>
      </c>
      <c r="I1254" s="1">
        <v>0</v>
      </c>
      <c r="J1254" s="1">
        <v>0</v>
      </c>
      <c r="K1254" s="2">
        <v>3.0</v>
      </c>
    </row>
    <row r="1255" spans="1:12">
      <c r="A1255" s="3" t="s">
        <v>633</v>
      </c>
      <c r="B1255" s="3" t="s">
        <v>883</v>
      </c>
      <c r="C1255" s="3" t="s">
        <v>812</v>
      </c>
      <c r="D1255" s="3"/>
      <c r="E1255" s="2" t="str">
        <f>HYPERLINK("https://old.ukr-mobil.com/steklo_displeya_vivo_y53s_v2111a_v2058_s_plenkoj_oca_original_black_10002815", "Перейти")</f>
        <v>Перейти</v>
      </c>
      <c r="F1255" s="2">
        <v>10002815</v>
      </c>
      <c r="G1255" s="4" t="s">
        <v>1337</v>
      </c>
      <c r="H1255" s="1">
        <v>26</v>
      </c>
      <c r="I1255" s="1">
        <v>9</v>
      </c>
      <c r="J1255" s="1">
        <v>2</v>
      </c>
      <c r="K1255" s="2">
        <v>2.5</v>
      </c>
    </row>
    <row r="1256" spans="1:12">
      <c r="A1256" s="3" t="s">
        <v>633</v>
      </c>
      <c r="B1256" s="3" t="s">
        <v>883</v>
      </c>
      <c r="C1256" s="3" t="s">
        <v>814</v>
      </c>
      <c r="D1256" s="3"/>
      <c r="E1256" s="2" t="str">
        <f>HYPERLINK("https://old.ukr-mobil.com/steklo_displeya_xiaomi_11_lite_mi_11_lite_5g_s_oca_plenkoj_original_10002856", "Перейти")</f>
        <v>Перейти</v>
      </c>
      <c r="F1256" s="2">
        <v>10002856</v>
      </c>
      <c r="G1256" s="4" t="s">
        <v>1338</v>
      </c>
      <c r="H1256" s="1">
        <v>8</v>
      </c>
      <c r="I1256" s="1">
        <v>4</v>
      </c>
      <c r="J1256" s="1">
        <v>0</v>
      </c>
      <c r="K1256" s="2">
        <v>3.0</v>
      </c>
    </row>
    <row r="1257" spans="1:12">
      <c r="A1257" s="3" t="s">
        <v>633</v>
      </c>
      <c r="B1257" s="3" t="s">
        <v>883</v>
      </c>
      <c r="C1257" s="3" t="s">
        <v>814</v>
      </c>
      <c r="D1257" s="3"/>
      <c r="E1257" s="2" t="str">
        <f>HYPERLINK("https://old.ukr-mobil.com/steklo_displeya_xiaomi_11t_11t_pro_s_oca_plenkoj_original_10002857", "Перейти")</f>
        <v>Перейти</v>
      </c>
      <c r="F1257" s="2">
        <v>10002857</v>
      </c>
      <c r="G1257" s="4" t="s">
        <v>1339</v>
      </c>
      <c r="H1257" s="1">
        <v>1</v>
      </c>
      <c r="I1257" s="1">
        <v>1</v>
      </c>
      <c r="J1257" s="1">
        <v>4</v>
      </c>
      <c r="K1257" s="2">
        <v>3.0</v>
      </c>
    </row>
    <row r="1258" spans="1:12">
      <c r="A1258" s="3" t="s">
        <v>633</v>
      </c>
      <c r="B1258" s="3" t="s">
        <v>883</v>
      </c>
      <c r="C1258" s="3" t="s">
        <v>814</v>
      </c>
      <c r="D1258" s="3"/>
      <c r="E1258" s="2" t="str">
        <f>HYPERLINK("https://old.ukr-mobil.com/steklo_displeya_xiaomi_12_lite_s_oca_plenkoj_original_10003275", "Перейти")</f>
        <v>Перейти</v>
      </c>
      <c r="F1258" s="2">
        <v>10003275</v>
      </c>
      <c r="G1258" s="4" t="s">
        <v>1340</v>
      </c>
      <c r="H1258" s="1">
        <v>11</v>
      </c>
      <c r="I1258" s="1">
        <v>1</v>
      </c>
      <c r="J1258" s="1">
        <v>1</v>
      </c>
      <c r="K1258" s="2">
        <v>3.0</v>
      </c>
    </row>
    <row r="1259" spans="1:12">
      <c r="A1259" s="3" t="s">
        <v>633</v>
      </c>
      <c r="B1259" s="3" t="s">
        <v>883</v>
      </c>
      <c r="C1259" s="3" t="s">
        <v>814</v>
      </c>
      <c r="D1259" s="3"/>
      <c r="E1259" s="2" t="str">
        <f>HYPERLINK("https://old.ukr-mobil.com/steklo_displeya_xiaomi_12t_s_oca_plenkoj_original_10003276", "Перейти")</f>
        <v>Перейти</v>
      </c>
      <c r="F1259" s="2">
        <v>10003276</v>
      </c>
      <c r="G1259" s="4" t="s">
        <v>1341</v>
      </c>
      <c r="H1259" s="1">
        <v>5</v>
      </c>
      <c r="I1259" s="1">
        <v>4</v>
      </c>
      <c r="J1259" s="1">
        <v>5</v>
      </c>
      <c r="K1259" s="2">
        <v>2.5</v>
      </c>
    </row>
    <row r="1260" spans="1:12">
      <c r="A1260" s="3" t="s">
        <v>633</v>
      </c>
      <c r="B1260" s="3" t="s">
        <v>883</v>
      </c>
      <c r="C1260" s="3" t="s">
        <v>814</v>
      </c>
      <c r="D1260" s="3"/>
      <c r="E1260" s="2" t="str">
        <f>HYPERLINK("https://old.ukr-mobil.com/index.php?route=product&amp;product_id=10004769", "Перейти")</f>
        <v>Перейти</v>
      </c>
      <c r="F1260" s="2">
        <v>10004769</v>
      </c>
      <c r="G1260" s="4" t="s">
        <v>1342</v>
      </c>
      <c r="H1260" s="1">
        <v>11</v>
      </c>
      <c r="I1260" s="1">
        <v>5</v>
      </c>
      <c r="J1260" s="1">
        <v>2</v>
      </c>
      <c r="K1260" s="2">
        <v>5.0</v>
      </c>
    </row>
    <row r="1261" spans="1:12">
      <c r="A1261" s="3" t="s">
        <v>633</v>
      </c>
      <c r="B1261" s="3" t="s">
        <v>883</v>
      </c>
      <c r="C1261" s="3" t="s">
        <v>814</v>
      </c>
      <c r="D1261" s="3"/>
      <c r="E1261" s="2" t="str">
        <f>HYPERLINK("https://old.ukr-mobil.com/index.php?route=product&amp;product_id=10004766", "Перейти")</f>
        <v>Перейти</v>
      </c>
      <c r="F1261" s="2">
        <v>10004766</v>
      </c>
      <c r="G1261" s="4" t="s">
        <v>1343</v>
      </c>
      <c r="H1261" s="1">
        <v>12</v>
      </c>
      <c r="I1261" s="1">
        <v>5</v>
      </c>
      <c r="J1261" s="1">
        <v>3</v>
      </c>
      <c r="K1261" s="2">
        <v>9.0</v>
      </c>
    </row>
    <row r="1262" spans="1:12">
      <c r="A1262" s="3" t="s">
        <v>633</v>
      </c>
      <c r="B1262" s="3" t="s">
        <v>883</v>
      </c>
      <c r="C1262" s="3" t="s">
        <v>814</v>
      </c>
      <c r="D1262" s="3"/>
      <c r="E1262" s="2" t="str">
        <f>HYPERLINK("https://old.ukr-mobil.com/index.php?route=product&amp;product_id=10004768", "Перейти")</f>
        <v>Перейти</v>
      </c>
      <c r="F1262" s="2">
        <v>10004768</v>
      </c>
      <c r="G1262" s="4" t="s">
        <v>1344</v>
      </c>
      <c r="H1262" s="1">
        <v>2</v>
      </c>
      <c r="I1262" s="1">
        <v>3</v>
      </c>
      <c r="J1262" s="1">
        <v>3</v>
      </c>
      <c r="K1262" s="2">
        <v>2.85</v>
      </c>
    </row>
    <row r="1263" spans="1:12">
      <c r="A1263" s="3" t="s">
        <v>633</v>
      </c>
      <c r="B1263" s="3" t="s">
        <v>883</v>
      </c>
      <c r="C1263" s="3" t="s">
        <v>814</v>
      </c>
      <c r="D1263" s="3"/>
      <c r="E1263" s="2" t="str">
        <f>HYPERLINK("https://old.ukr-mobil.com/steklo_displeya_xiaomi_cc9e_mi_a3_black_10000342", "Перейти")</f>
        <v>Перейти</v>
      </c>
      <c r="F1263" s="2">
        <v>10000342</v>
      </c>
      <c r="G1263" s="4" t="s">
        <v>1345</v>
      </c>
      <c r="H1263" s="1">
        <v>21</v>
      </c>
      <c r="I1263" s="1">
        <v>4</v>
      </c>
      <c r="J1263" s="1">
        <v>2</v>
      </c>
      <c r="K1263" s="2">
        <v>2.25</v>
      </c>
    </row>
    <row r="1264" spans="1:12">
      <c r="A1264" s="3" t="s">
        <v>633</v>
      </c>
      <c r="B1264" s="3" t="s">
        <v>883</v>
      </c>
      <c r="C1264" s="3" t="s">
        <v>814</v>
      </c>
      <c r="D1264" s="3"/>
      <c r="E1264" s="2" t="str">
        <f>HYPERLINK("https://old.ukr-mobil.com/steklo_displeya_xiaomi_mi_10_mi_10_pro_black_10001040", "Перейти")</f>
        <v>Перейти</v>
      </c>
      <c r="F1264" s="2">
        <v>10001040</v>
      </c>
      <c r="G1264" s="4" t="s">
        <v>1346</v>
      </c>
      <c r="H1264" s="1">
        <v>8</v>
      </c>
      <c r="I1264" s="1">
        <v>5</v>
      </c>
      <c r="J1264" s="1">
        <v>2</v>
      </c>
      <c r="K1264" s="2">
        <v>2.5</v>
      </c>
    </row>
    <row r="1265" spans="1:12">
      <c r="A1265" s="3" t="s">
        <v>633</v>
      </c>
      <c r="B1265" s="3" t="s">
        <v>883</v>
      </c>
      <c r="C1265" s="3" t="s">
        <v>814</v>
      </c>
      <c r="D1265" s="3"/>
      <c r="E1265" s="2" t="str">
        <f>HYPERLINK("https://old.ukr-mobil.com/steklo_displeya_xiaomi_mi_10_mi_10_pro_s_oca_plenkoj_original_black_10003012", "Перейти")</f>
        <v>Перейти</v>
      </c>
      <c r="F1265" s="2">
        <v>10003012</v>
      </c>
      <c r="G1265" s="4" t="s">
        <v>1347</v>
      </c>
      <c r="H1265" s="1">
        <v>0</v>
      </c>
      <c r="I1265" s="1">
        <v>0</v>
      </c>
      <c r="J1265" s="1">
        <v>2</v>
      </c>
      <c r="K1265" s="2">
        <v>3.75</v>
      </c>
    </row>
    <row r="1266" spans="1:12">
      <c r="A1266" s="3" t="s">
        <v>633</v>
      </c>
      <c r="B1266" s="3" t="s">
        <v>883</v>
      </c>
      <c r="C1266" s="3" t="s">
        <v>814</v>
      </c>
      <c r="D1266" s="3"/>
      <c r="E1266" s="2" t="str">
        <f>HYPERLINK("https://old.ukr-mobil.com/steklo_displeya_xiaomi_mi_10t_lite_poco_x3_original_black_10001626", "Перейти")</f>
        <v>Перейти</v>
      </c>
      <c r="F1266" s="2">
        <v>10001626</v>
      </c>
      <c r="G1266" s="4" t="s">
        <v>1348</v>
      </c>
      <c r="H1266" s="1">
        <v>0</v>
      </c>
      <c r="I1266" s="1">
        <v>0</v>
      </c>
      <c r="J1266" s="1">
        <v>0</v>
      </c>
      <c r="K1266" s="2">
        <v>1.85</v>
      </c>
    </row>
    <row r="1267" spans="1:12">
      <c r="A1267" s="3" t="s">
        <v>633</v>
      </c>
      <c r="B1267" s="3" t="s">
        <v>883</v>
      </c>
      <c r="C1267" s="3" t="s">
        <v>814</v>
      </c>
      <c r="D1267" s="3"/>
      <c r="E1267" s="2" t="str">
        <f>HYPERLINK("https://old.ukr-mobil.com/steklo_displeya_xiaomi_mi_10t_lite_poco_x3_poco_x3_pro_s_oca_plenkoj_original_10002844", "Перейти")</f>
        <v>Перейти</v>
      </c>
      <c r="F1267" s="2">
        <v>10002844</v>
      </c>
      <c r="G1267" s="4" t="s">
        <v>1349</v>
      </c>
      <c r="H1267" s="1">
        <v>37</v>
      </c>
      <c r="I1267" s="1">
        <v>8</v>
      </c>
      <c r="J1267" s="1">
        <v>6</v>
      </c>
      <c r="K1267" s="2">
        <v>2.95</v>
      </c>
    </row>
    <row r="1268" spans="1:12">
      <c r="A1268" s="3" t="s">
        <v>633</v>
      </c>
      <c r="B1268" s="3" t="s">
        <v>883</v>
      </c>
      <c r="C1268" s="3" t="s">
        <v>814</v>
      </c>
      <c r="D1268" s="3"/>
      <c r="E1268" s="2" t="str">
        <f>HYPERLINK("https://old.ukr-mobil.com/steklo_displeya_xiaomi_mi_11_original_black_10001624", "Перейти")</f>
        <v>Перейти</v>
      </c>
      <c r="F1268" s="2">
        <v>10001624</v>
      </c>
      <c r="G1268" s="4" t="s">
        <v>1350</v>
      </c>
      <c r="H1268" s="1">
        <v>8</v>
      </c>
      <c r="I1268" s="1">
        <v>3</v>
      </c>
      <c r="J1268" s="1">
        <v>2</v>
      </c>
      <c r="K1268" s="2">
        <v>8.0</v>
      </c>
    </row>
    <row r="1269" spans="1:12">
      <c r="A1269" s="3" t="s">
        <v>633</v>
      </c>
      <c r="B1269" s="3" t="s">
        <v>883</v>
      </c>
      <c r="C1269" s="3" t="s">
        <v>814</v>
      </c>
      <c r="D1269" s="3"/>
      <c r="E1269" s="2" t="str">
        <f>HYPERLINK("https://old.ukr-mobil.com/steklo_displeya_xiaomi_mi_11_mi_11_pro_mi_11_ultra_s_oca_plenkoj_original_10002903", "Перейти")</f>
        <v>Перейти</v>
      </c>
      <c r="F1269" s="2">
        <v>10002903</v>
      </c>
      <c r="G1269" s="4" t="s">
        <v>1351</v>
      </c>
      <c r="H1269" s="1">
        <v>6</v>
      </c>
      <c r="I1269" s="1">
        <v>1</v>
      </c>
      <c r="J1269" s="1">
        <v>1</v>
      </c>
      <c r="K1269" s="2">
        <v>13.0</v>
      </c>
    </row>
    <row r="1270" spans="1:12">
      <c r="A1270" s="3" t="s">
        <v>633</v>
      </c>
      <c r="B1270" s="3" t="s">
        <v>883</v>
      </c>
      <c r="C1270" s="3" t="s">
        <v>814</v>
      </c>
      <c r="D1270" s="3"/>
      <c r="E1270" s="2" t="str">
        <f>HYPERLINK("https://old.ukr-mobil.com/steklo_displeya_xiaomi_mi_11i_poco_f3_redmi_k40_original_black_10001936", "Перейти")</f>
        <v>Перейти</v>
      </c>
      <c r="F1270" s="2">
        <v>10001936</v>
      </c>
      <c r="G1270" s="4" t="s">
        <v>1352</v>
      </c>
      <c r="H1270" s="1">
        <v>0</v>
      </c>
      <c r="I1270" s="1">
        <v>0</v>
      </c>
      <c r="J1270" s="1">
        <v>0</v>
      </c>
      <c r="K1270" s="2">
        <v>2.25</v>
      </c>
    </row>
    <row r="1271" spans="1:12">
      <c r="A1271" s="3" t="s">
        <v>633</v>
      </c>
      <c r="B1271" s="3" t="s">
        <v>883</v>
      </c>
      <c r="C1271" s="3" t="s">
        <v>814</v>
      </c>
      <c r="D1271" s="3"/>
      <c r="E1271" s="2" t="str">
        <f>HYPERLINK("https://old.ukr-mobil.com/steklo_displeya_xiaomi_mi_11i_mi_11x_black_shark_4_poco_f3_poco_f4_redmi_k40_s_oca_plenkoj_original_10002858", "Перейти")</f>
        <v>Перейти</v>
      </c>
      <c r="F1271" s="2">
        <v>10002858</v>
      </c>
      <c r="G1271" s="4" t="s">
        <v>1353</v>
      </c>
      <c r="H1271" s="1">
        <v>1</v>
      </c>
      <c r="I1271" s="1">
        <v>1</v>
      </c>
      <c r="J1271" s="1">
        <v>0</v>
      </c>
      <c r="K1271" s="2">
        <v>3.0</v>
      </c>
    </row>
    <row r="1272" spans="1:12">
      <c r="A1272" s="3" t="s">
        <v>633</v>
      </c>
      <c r="B1272" s="3" t="s">
        <v>883</v>
      </c>
      <c r="C1272" s="3" t="s">
        <v>814</v>
      </c>
      <c r="D1272" s="3"/>
      <c r="E1272" s="2" t="str">
        <f>HYPERLINK("https://old.ukr-mobil.com/steklo_displeya_xiaomi_mi_8_lite_black_11320", "Перейти")</f>
        <v>Перейти</v>
      </c>
      <c r="F1272" s="2">
        <v>11320</v>
      </c>
      <c r="G1272" s="4" t="s">
        <v>1354</v>
      </c>
      <c r="H1272" s="1">
        <v>2</v>
      </c>
      <c r="I1272" s="1">
        <v>0</v>
      </c>
      <c r="J1272" s="1">
        <v>0</v>
      </c>
      <c r="K1272" s="2">
        <v>1.1</v>
      </c>
    </row>
    <row r="1273" spans="1:12">
      <c r="A1273" s="3" t="s">
        <v>633</v>
      </c>
      <c r="B1273" s="3" t="s">
        <v>883</v>
      </c>
      <c r="C1273" s="3" t="s">
        <v>814</v>
      </c>
      <c r="D1273" s="3"/>
      <c r="E1273" s="2" t="str">
        <f>HYPERLINK("https://old.ukr-mobil.com/steklo_displeya_xiaomi_mi_8_lite_white_11321", "Перейти")</f>
        <v>Перейти</v>
      </c>
      <c r="F1273" s="2">
        <v>11321</v>
      </c>
      <c r="G1273" s="4" t="s">
        <v>1355</v>
      </c>
      <c r="H1273" s="1">
        <v>0</v>
      </c>
      <c r="I1273" s="1">
        <v>3</v>
      </c>
      <c r="J1273" s="1">
        <v>1</v>
      </c>
      <c r="K1273" s="2">
        <v>1.25</v>
      </c>
    </row>
    <row r="1274" spans="1:12">
      <c r="A1274" s="3" t="s">
        <v>633</v>
      </c>
      <c r="B1274" s="3" t="s">
        <v>883</v>
      </c>
      <c r="C1274" s="3" t="s">
        <v>814</v>
      </c>
      <c r="D1274" s="3"/>
      <c r="E1274" s="2" t="str">
        <f>HYPERLINK("https://old.ukr-mobil.com/steklo_displeya_xiaomi_mi_8_lite_s_oca_plenkoj_original_10002846", "Перейти")</f>
        <v>Перейти</v>
      </c>
      <c r="F1274" s="2">
        <v>10002846</v>
      </c>
      <c r="G1274" s="4" t="s">
        <v>1356</v>
      </c>
      <c r="H1274" s="1">
        <v>18</v>
      </c>
      <c r="I1274" s="1">
        <v>3</v>
      </c>
      <c r="J1274" s="1">
        <v>3</v>
      </c>
      <c r="K1274" s="2">
        <v>2.95</v>
      </c>
    </row>
    <row r="1275" spans="1:12">
      <c r="A1275" s="3" t="s">
        <v>633</v>
      </c>
      <c r="B1275" s="3" t="s">
        <v>883</v>
      </c>
      <c r="C1275" s="3" t="s">
        <v>814</v>
      </c>
      <c r="D1275" s="3"/>
      <c r="E1275" s="2" t="str">
        <f>HYPERLINK("https://old.ukr-mobil.com/steklo_displeya_xiaomi_mi_8_pro_black_10000825", "Перейти")</f>
        <v>Перейти</v>
      </c>
      <c r="F1275" s="2">
        <v>10000825</v>
      </c>
      <c r="G1275" s="4" t="s">
        <v>1357</v>
      </c>
      <c r="H1275" s="1">
        <v>8</v>
      </c>
      <c r="I1275" s="1">
        <v>5</v>
      </c>
      <c r="J1275" s="1">
        <v>2</v>
      </c>
      <c r="K1275" s="2">
        <v>1.35</v>
      </c>
    </row>
    <row r="1276" spans="1:12">
      <c r="A1276" s="3" t="s">
        <v>633</v>
      </c>
      <c r="B1276" s="3" t="s">
        <v>883</v>
      </c>
      <c r="C1276" s="3" t="s">
        <v>814</v>
      </c>
      <c r="D1276" s="3"/>
      <c r="E1276" s="2" t="str">
        <f>HYPERLINK("https://old.ukr-mobil.com/steklo_displeya_xiaomi_mi_8_se_black_10000826", "Перейти")</f>
        <v>Перейти</v>
      </c>
      <c r="F1276" s="2">
        <v>10000826</v>
      </c>
      <c r="G1276" s="4" t="s">
        <v>1358</v>
      </c>
      <c r="H1276" s="1">
        <v>21</v>
      </c>
      <c r="I1276" s="1">
        <v>4</v>
      </c>
      <c r="J1276" s="1">
        <v>2</v>
      </c>
      <c r="K1276" s="2">
        <v>3.5</v>
      </c>
    </row>
    <row r="1277" spans="1:12">
      <c r="A1277" s="3" t="s">
        <v>633</v>
      </c>
      <c r="B1277" s="3" t="s">
        <v>883</v>
      </c>
      <c r="C1277" s="3" t="s">
        <v>814</v>
      </c>
      <c r="D1277" s="3"/>
      <c r="E1277" s="2" t="str">
        <f>HYPERLINK("https://old.ukr-mobil.com/steklo_displeya_xiaomi_mi_8_black_11318", "Перейти")</f>
        <v>Перейти</v>
      </c>
      <c r="F1277" s="2">
        <v>11318</v>
      </c>
      <c r="G1277" s="4" t="s">
        <v>1359</v>
      </c>
      <c r="H1277" s="1">
        <v>19</v>
      </c>
      <c r="I1277" s="1">
        <v>9</v>
      </c>
      <c r="J1277" s="1">
        <v>2</v>
      </c>
      <c r="K1277" s="2">
        <v>1.1</v>
      </c>
    </row>
    <row r="1278" spans="1:12">
      <c r="A1278" s="3" t="s">
        <v>633</v>
      </c>
      <c r="B1278" s="3" t="s">
        <v>883</v>
      </c>
      <c r="C1278" s="3" t="s">
        <v>814</v>
      </c>
      <c r="D1278" s="3"/>
      <c r="E1278" s="2" t="str">
        <f>HYPERLINK("https://old.ukr-mobil.com/steklo_displeya_xiaomi_mi_8_white_11319", "Перейти")</f>
        <v>Перейти</v>
      </c>
      <c r="F1278" s="2">
        <v>11319</v>
      </c>
      <c r="G1278" s="4" t="s">
        <v>1360</v>
      </c>
      <c r="H1278" s="1">
        <v>1</v>
      </c>
      <c r="I1278" s="1">
        <v>2</v>
      </c>
      <c r="J1278" s="1">
        <v>0</v>
      </c>
      <c r="K1278" s="2">
        <v>1.1</v>
      </c>
    </row>
    <row r="1279" spans="1:12">
      <c r="A1279" s="3" t="s">
        <v>633</v>
      </c>
      <c r="B1279" s="3" t="s">
        <v>883</v>
      </c>
      <c r="C1279" s="3" t="s">
        <v>814</v>
      </c>
      <c r="D1279" s="3"/>
      <c r="E1279" s="2" t="str">
        <f>HYPERLINK("https://old.ukr-mobil.com/steklo_displeya_xiaomi_mi_8_s_oca_plenkoj_original_10002845", "Перейти")</f>
        <v>Перейти</v>
      </c>
      <c r="F1279" s="2">
        <v>10002845</v>
      </c>
      <c r="G1279" s="4" t="s">
        <v>1361</v>
      </c>
      <c r="H1279" s="1">
        <v>18</v>
      </c>
      <c r="I1279" s="1">
        <v>3</v>
      </c>
      <c r="J1279" s="1">
        <v>2</v>
      </c>
      <c r="K1279" s="2">
        <v>2.95</v>
      </c>
    </row>
    <row r="1280" spans="1:12">
      <c r="A1280" s="3" t="s">
        <v>633</v>
      </c>
      <c r="B1280" s="3" t="s">
        <v>883</v>
      </c>
      <c r="C1280" s="3" t="s">
        <v>814</v>
      </c>
      <c r="D1280" s="3"/>
      <c r="E1280" s="2" t="str">
        <f>HYPERLINK("https://old.ukr-mobil.com/steklo_displeya_xiaomi_mi_9_lite_black_10000343", "Перейти")</f>
        <v>Перейти</v>
      </c>
      <c r="F1280" s="2">
        <v>10000343</v>
      </c>
      <c r="G1280" s="4" t="s">
        <v>1362</v>
      </c>
      <c r="H1280" s="1">
        <v>27</v>
      </c>
      <c r="I1280" s="1">
        <v>2</v>
      </c>
      <c r="J1280" s="1">
        <v>2</v>
      </c>
      <c r="K1280" s="2">
        <v>1.75</v>
      </c>
    </row>
    <row r="1281" spans="1:12">
      <c r="A1281" s="3" t="s">
        <v>633</v>
      </c>
      <c r="B1281" s="3" t="s">
        <v>883</v>
      </c>
      <c r="C1281" s="3" t="s">
        <v>814</v>
      </c>
      <c r="D1281" s="3"/>
      <c r="E1281" s="2" t="str">
        <f>HYPERLINK("https://old.ukr-mobil.com/steklo_displeya_xiaomi_mi_9_lite_s_oca_plenkoj_original_10002848", "Перейти")</f>
        <v>Перейти</v>
      </c>
      <c r="F1281" s="2">
        <v>10002848</v>
      </c>
      <c r="G1281" s="4" t="s">
        <v>1363</v>
      </c>
      <c r="H1281" s="1">
        <v>13</v>
      </c>
      <c r="I1281" s="1">
        <v>6</v>
      </c>
      <c r="J1281" s="1">
        <v>2</v>
      </c>
      <c r="K1281" s="2">
        <v>2.95</v>
      </c>
    </row>
    <row r="1282" spans="1:12">
      <c r="A1282" s="3" t="s">
        <v>633</v>
      </c>
      <c r="B1282" s="3" t="s">
        <v>883</v>
      </c>
      <c r="C1282" s="3" t="s">
        <v>814</v>
      </c>
      <c r="D1282" s="3"/>
      <c r="E1282" s="2" t="str">
        <f>HYPERLINK("https://old.ukr-mobil.com/steklo_displeya_xiaomi_mi_9_se_black_10000824", "Перейти")</f>
        <v>Перейти</v>
      </c>
      <c r="F1282" s="2">
        <v>10000824</v>
      </c>
      <c r="G1282" s="4" t="s">
        <v>1364</v>
      </c>
      <c r="H1282" s="1">
        <v>6</v>
      </c>
      <c r="I1282" s="1">
        <v>3</v>
      </c>
      <c r="J1282" s="1">
        <v>5</v>
      </c>
      <c r="K1282" s="2">
        <v>3.5</v>
      </c>
    </row>
    <row r="1283" spans="1:12">
      <c r="A1283" s="3" t="s">
        <v>633</v>
      </c>
      <c r="B1283" s="3" t="s">
        <v>883</v>
      </c>
      <c r="C1283" s="3" t="s">
        <v>814</v>
      </c>
      <c r="D1283" s="3"/>
      <c r="E1283" s="2" t="str">
        <f>HYPERLINK("https://old.ukr-mobil.com/steklo_displeya_xiaomi_mi9_original_black_11808", "Перейти")</f>
        <v>Перейти</v>
      </c>
      <c r="F1283" s="2">
        <v>11808</v>
      </c>
      <c r="G1283" s="4" t="s">
        <v>1365</v>
      </c>
      <c r="H1283" s="1">
        <v>5</v>
      </c>
      <c r="I1283" s="1">
        <v>3</v>
      </c>
      <c r="J1283" s="1">
        <v>5</v>
      </c>
      <c r="K1283" s="2">
        <v>1.5</v>
      </c>
    </row>
    <row r="1284" spans="1:12">
      <c r="A1284" s="3" t="s">
        <v>633</v>
      </c>
      <c r="B1284" s="3" t="s">
        <v>883</v>
      </c>
      <c r="C1284" s="3" t="s">
        <v>814</v>
      </c>
      <c r="D1284" s="3"/>
      <c r="E1284" s="2" t="str">
        <f>HYPERLINK("https://old.ukr-mobil.com/steklo_displeya_xiaomi_mi_9_s_oca_plenkoj_original_10002847", "Перейти")</f>
        <v>Перейти</v>
      </c>
      <c r="F1284" s="2">
        <v>10002847</v>
      </c>
      <c r="G1284" s="4" t="s">
        <v>1366</v>
      </c>
      <c r="H1284" s="1">
        <v>21</v>
      </c>
      <c r="I1284" s="1">
        <v>0</v>
      </c>
      <c r="J1284" s="1">
        <v>4</v>
      </c>
      <c r="K1284" s="2">
        <v>2.95</v>
      </c>
    </row>
    <row r="1285" spans="1:12">
      <c r="A1285" s="3" t="s">
        <v>633</v>
      </c>
      <c r="B1285" s="3" t="s">
        <v>883</v>
      </c>
      <c r="C1285" s="3" t="s">
        <v>814</v>
      </c>
      <c r="D1285" s="3"/>
      <c r="E1285" s="2" t="str">
        <f>HYPERLINK("https://old.ukr-mobil.com/steklo_displeya_xiaomi_mi_9t_mi_9t_pro_redmi_k20_redmi_k20_pro_original_black_10000344", "Перейти")</f>
        <v>Перейти</v>
      </c>
      <c r="F1285" s="2">
        <v>10000344</v>
      </c>
      <c r="G1285" s="4" t="s">
        <v>1367</v>
      </c>
      <c r="H1285" s="1">
        <v>7</v>
      </c>
      <c r="I1285" s="1">
        <v>6</v>
      </c>
      <c r="J1285" s="1">
        <v>1</v>
      </c>
      <c r="K1285" s="2">
        <v>1.85</v>
      </c>
    </row>
    <row r="1286" spans="1:12">
      <c r="A1286" s="3" t="s">
        <v>633</v>
      </c>
      <c r="B1286" s="3" t="s">
        <v>883</v>
      </c>
      <c r="C1286" s="3" t="s">
        <v>814</v>
      </c>
      <c r="D1286" s="3"/>
      <c r="E1286" s="2" t="str">
        <f>HYPERLINK("https://old.ukr-mobil.com/steklo_displeya_xiaomi_mi_9t_mi_9t_pro_redmi_k20_redmi_k20_pro_s_oca_plenkoj_original_10001965", "Перейти")</f>
        <v>Перейти</v>
      </c>
      <c r="F1286" s="2">
        <v>10001965</v>
      </c>
      <c r="G1286" s="4" t="s">
        <v>1368</v>
      </c>
      <c r="H1286" s="1">
        <v>57</v>
      </c>
      <c r="I1286" s="1">
        <v>10</v>
      </c>
      <c r="J1286" s="1">
        <v>9</v>
      </c>
      <c r="K1286" s="2">
        <v>2.95</v>
      </c>
    </row>
    <row r="1287" spans="1:12">
      <c r="A1287" s="3" t="s">
        <v>633</v>
      </c>
      <c r="B1287" s="3" t="s">
        <v>883</v>
      </c>
      <c r="C1287" s="3" t="s">
        <v>814</v>
      </c>
      <c r="D1287" s="3"/>
      <c r="E1287" s="2" t="str">
        <f>HYPERLINK("https://old.ukr-mobil.com/steklo_displeya_xiaomi_mi_a2_redmi_6x_black_11322", "Перейти")</f>
        <v>Перейти</v>
      </c>
      <c r="F1287" s="2">
        <v>11322</v>
      </c>
      <c r="G1287" s="4" t="s">
        <v>1369</v>
      </c>
      <c r="H1287" s="1">
        <v>0</v>
      </c>
      <c r="I1287" s="1">
        <v>0</v>
      </c>
      <c r="J1287" s="1">
        <v>0</v>
      </c>
      <c r="K1287" s="2">
        <v>1.51</v>
      </c>
    </row>
    <row r="1288" spans="1:12">
      <c r="A1288" s="3" t="s">
        <v>633</v>
      </c>
      <c r="B1288" s="3" t="s">
        <v>883</v>
      </c>
      <c r="C1288" s="3" t="s">
        <v>814</v>
      </c>
      <c r="D1288" s="3"/>
      <c r="E1288" s="2" t="str">
        <f>HYPERLINK("https://old.ukr-mobil.com/steklo_displeya_xiaomi_mi_a2_redmi_6x_original_s_oleofobnym_pokrytiem_black_11365", "Перейти")</f>
        <v>Перейти</v>
      </c>
      <c r="F1288" s="2">
        <v>11365</v>
      </c>
      <c r="G1288" s="4" t="s">
        <v>1370</v>
      </c>
      <c r="H1288" s="1">
        <v>0</v>
      </c>
      <c r="I1288" s="1">
        <v>0</v>
      </c>
      <c r="J1288" s="1">
        <v>0</v>
      </c>
      <c r="K1288" s="2">
        <v>2.52</v>
      </c>
    </row>
    <row r="1289" spans="1:12">
      <c r="A1289" s="3" t="s">
        <v>633</v>
      </c>
      <c r="B1289" s="3" t="s">
        <v>883</v>
      </c>
      <c r="C1289" s="3" t="s">
        <v>814</v>
      </c>
      <c r="D1289" s="3"/>
      <c r="E1289" s="2" t="str">
        <f>HYPERLINK("https://old.ukr-mobil.com/steklo_displeya_xiaomi_mi_a2_redmi_6x_original_s_oleofobnym_pokrytiem_white_11366", "Перейти")</f>
        <v>Перейти</v>
      </c>
      <c r="F1289" s="2">
        <v>11366</v>
      </c>
      <c r="G1289" s="4" t="s">
        <v>1371</v>
      </c>
      <c r="H1289" s="1">
        <v>0</v>
      </c>
      <c r="I1289" s="1">
        <v>0</v>
      </c>
      <c r="J1289" s="1">
        <v>0</v>
      </c>
      <c r="K1289" s="2">
        <v>2.52</v>
      </c>
    </row>
    <row r="1290" spans="1:12">
      <c r="A1290" s="3" t="s">
        <v>633</v>
      </c>
      <c r="B1290" s="3" t="s">
        <v>883</v>
      </c>
      <c r="C1290" s="3" t="s">
        <v>814</v>
      </c>
      <c r="D1290" s="3"/>
      <c r="E1290" s="2" t="str">
        <f>HYPERLINK("https://old.ukr-mobil.com/steklo_displeya_xiaomi_mi_a2_redmi_6x_white_11323", "Перейти")</f>
        <v>Перейти</v>
      </c>
      <c r="F1290" s="2">
        <v>11323</v>
      </c>
      <c r="G1290" s="4" t="s">
        <v>1372</v>
      </c>
      <c r="H1290" s="1">
        <v>0</v>
      </c>
      <c r="I1290" s="1">
        <v>0</v>
      </c>
      <c r="J1290" s="1">
        <v>0</v>
      </c>
      <c r="K1290" s="2">
        <v>1.51</v>
      </c>
    </row>
    <row r="1291" spans="1:12">
      <c r="A1291" s="3" t="s">
        <v>633</v>
      </c>
      <c r="B1291" s="3" t="s">
        <v>883</v>
      </c>
      <c r="C1291" s="3" t="s">
        <v>814</v>
      </c>
      <c r="D1291" s="3"/>
      <c r="E1291" s="2" t="str">
        <f>HYPERLINK("https://old.ukr-mobil.com/steklo_displeya_xiaomi_mi_mix_2_black_10528", "Перейти")</f>
        <v>Перейти</v>
      </c>
      <c r="F1291" s="2">
        <v>10528</v>
      </c>
      <c r="G1291" s="4" t="s">
        <v>1373</v>
      </c>
      <c r="H1291" s="1">
        <v>0</v>
      </c>
      <c r="I1291" s="1">
        <v>0</v>
      </c>
      <c r="J1291" s="1">
        <v>0</v>
      </c>
      <c r="K1291" s="2">
        <v>2.02</v>
      </c>
    </row>
    <row r="1292" spans="1:12">
      <c r="A1292" s="3" t="s">
        <v>633</v>
      </c>
      <c r="B1292" s="3" t="s">
        <v>883</v>
      </c>
      <c r="C1292" s="3" t="s">
        <v>814</v>
      </c>
      <c r="D1292" s="3"/>
      <c r="E1292" s="2" t="str">
        <f>HYPERLINK("https://old.ukr-mobil.com/steklo_displeya_xiaomi_mi_mix_2_original_s_oleofobnym_pokrytiem_white_11364", "Перейти")</f>
        <v>Перейти</v>
      </c>
      <c r="F1292" s="2">
        <v>11364</v>
      </c>
      <c r="G1292" s="4" t="s">
        <v>1374</v>
      </c>
      <c r="H1292" s="1">
        <v>0</v>
      </c>
      <c r="I1292" s="1">
        <v>2</v>
      </c>
      <c r="J1292" s="1">
        <v>0</v>
      </c>
      <c r="K1292" s="2">
        <v>3.02</v>
      </c>
    </row>
    <row r="1293" spans="1:12">
      <c r="A1293" s="3" t="s">
        <v>633</v>
      </c>
      <c r="B1293" s="3" t="s">
        <v>883</v>
      </c>
      <c r="C1293" s="3" t="s">
        <v>814</v>
      </c>
      <c r="D1293" s="3"/>
      <c r="E1293" s="2" t="str">
        <f>HYPERLINK("https://old.ukr-mobil.com/steklo_displeya_xiaomi_mi_mix_2_white_10529", "Перейти")</f>
        <v>Перейти</v>
      </c>
      <c r="F1293" s="2">
        <v>10529</v>
      </c>
      <c r="G1293" s="4" t="s">
        <v>1375</v>
      </c>
      <c r="H1293" s="1">
        <v>0</v>
      </c>
      <c r="I1293" s="1">
        <v>2</v>
      </c>
      <c r="J1293" s="1">
        <v>0</v>
      </c>
      <c r="K1293" s="2">
        <v>4.03</v>
      </c>
    </row>
    <row r="1294" spans="1:12">
      <c r="A1294" s="3" t="s">
        <v>633</v>
      </c>
      <c r="B1294" s="3" t="s">
        <v>883</v>
      </c>
      <c r="C1294" s="3" t="s">
        <v>814</v>
      </c>
      <c r="D1294" s="3"/>
      <c r="E1294" s="2" t="str">
        <f>HYPERLINK("https://old.ukr-mobil.com/steklo_displeya_xiaomi_mi_mix_3_black_11363", "Перейти")</f>
        <v>Перейти</v>
      </c>
      <c r="F1294" s="2">
        <v>11363</v>
      </c>
      <c r="G1294" s="4" t="s">
        <v>1376</v>
      </c>
      <c r="H1294" s="1">
        <v>28</v>
      </c>
      <c r="I1294" s="1">
        <v>9</v>
      </c>
      <c r="J1294" s="1">
        <v>2</v>
      </c>
      <c r="K1294" s="2">
        <v>2.0</v>
      </c>
    </row>
    <row r="1295" spans="1:12">
      <c r="A1295" s="3" t="s">
        <v>633</v>
      </c>
      <c r="B1295" s="3" t="s">
        <v>883</v>
      </c>
      <c r="C1295" s="3" t="s">
        <v>814</v>
      </c>
      <c r="D1295" s="3"/>
      <c r="E1295" s="2" t="str">
        <f>HYPERLINK("https://old.ukr-mobil.com/steklo_displeya_xiaomi_mi_mix_black_10526", "Перейти")</f>
        <v>Перейти</v>
      </c>
      <c r="F1295" s="2">
        <v>10526</v>
      </c>
      <c r="G1295" s="4" t="s">
        <v>1377</v>
      </c>
      <c r="H1295" s="1">
        <v>6</v>
      </c>
      <c r="I1295" s="1">
        <v>0</v>
      </c>
      <c r="J1295" s="1">
        <v>2</v>
      </c>
      <c r="K1295" s="2">
        <v>2.52</v>
      </c>
    </row>
    <row r="1296" spans="1:12">
      <c r="A1296" s="3" t="s">
        <v>633</v>
      </c>
      <c r="B1296" s="3" t="s">
        <v>883</v>
      </c>
      <c r="C1296" s="3" t="s">
        <v>814</v>
      </c>
      <c r="D1296" s="3"/>
      <c r="E1296" s="2" t="str">
        <f>HYPERLINK("https://old.ukr-mobil.com/steklo_displeya_xiaomi_mi_mix_white_10527", "Перейти")</f>
        <v>Перейти</v>
      </c>
      <c r="F1296" s="2">
        <v>10527</v>
      </c>
      <c r="G1296" s="4" t="s">
        <v>1378</v>
      </c>
      <c r="H1296" s="1">
        <v>8</v>
      </c>
      <c r="I1296" s="1">
        <v>2</v>
      </c>
      <c r="J1296" s="1">
        <v>2</v>
      </c>
      <c r="K1296" s="2">
        <v>2.52</v>
      </c>
    </row>
    <row r="1297" spans="1:12">
      <c r="A1297" s="3" t="s">
        <v>633</v>
      </c>
      <c r="B1297" s="3" t="s">
        <v>883</v>
      </c>
      <c r="C1297" s="3" t="s">
        <v>814</v>
      </c>
      <c r="D1297" s="3"/>
      <c r="E1297" s="2" t="str">
        <f>HYPERLINK("https://old.ukr-mobil.com/steklo_displeya_xiaomi_mi_note_10_mi_note_10_pro_black_10001039", "Перейти")</f>
        <v>Перейти</v>
      </c>
      <c r="F1297" s="2">
        <v>10001039</v>
      </c>
      <c r="G1297" s="4" t="s">
        <v>1379</v>
      </c>
      <c r="H1297" s="1">
        <v>0</v>
      </c>
      <c r="I1297" s="1">
        <v>0</v>
      </c>
      <c r="J1297" s="1">
        <v>0</v>
      </c>
      <c r="K1297" s="2">
        <v>3.5</v>
      </c>
    </row>
    <row r="1298" spans="1:12">
      <c r="A1298" s="3" t="s">
        <v>633</v>
      </c>
      <c r="B1298" s="3" t="s">
        <v>883</v>
      </c>
      <c r="C1298" s="3" t="s">
        <v>814</v>
      </c>
      <c r="D1298" s="3"/>
      <c r="E1298" s="2" t="str">
        <f>HYPERLINK("https://old.ukr-mobil.com/steklo_displeya_xiaomi_mi_note_10_mi_note_10_lite_mi_note_10_pro_s_oca_plenkoj_original_black_10002729", "Перейти")</f>
        <v>Перейти</v>
      </c>
      <c r="F1298" s="2">
        <v>10002729</v>
      </c>
      <c r="G1298" s="4" t="s">
        <v>1380</v>
      </c>
      <c r="H1298" s="1">
        <v>0</v>
      </c>
      <c r="I1298" s="1">
        <v>4</v>
      </c>
      <c r="J1298" s="1">
        <v>7</v>
      </c>
      <c r="K1298" s="2">
        <v>3.5</v>
      </c>
    </row>
    <row r="1299" spans="1:12">
      <c r="A1299" s="3" t="s">
        <v>633</v>
      </c>
      <c r="B1299" s="3" t="s">
        <v>883</v>
      </c>
      <c r="C1299" s="3" t="s">
        <v>814</v>
      </c>
      <c r="D1299" s="3"/>
      <c r="E1299" s="2" t="str">
        <f>HYPERLINK("https://old.ukr-mobil.com/steklo_displeya_xiaomi_mi_note_2_black_11058", "Перейти")</f>
        <v>Перейти</v>
      </c>
      <c r="F1299" s="2">
        <v>11058</v>
      </c>
      <c r="G1299" s="4" t="s">
        <v>1381</v>
      </c>
      <c r="H1299" s="1">
        <v>2</v>
      </c>
      <c r="I1299" s="1">
        <v>0</v>
      </c>
      <c r="J1299" s="1">
        <v>2</v>
      </c>
      <c r="K1299" s="2">
        <v>19.15</v>
      </c>
    </row>
    <row r="1300" spans="1:12">
      <c r="A1300" s="3" t="s">
        <v>633</v>
      </c>
      <c r="B1300" s="3" t="s">
        <v>883</v>
      </c>
      <c r="C1300" s="3" t="s">
        <v>814</v>
      </c>
      <c r="D1300" s="3"/>
      <c r="E1300" s="2" t="str">
        <f>HYPERLINK("https://old.ukr-mobil.com/index.php?route=product&amp;product_id=10004748", "Перейти")</f>
        <v>Перейти</v>
      </c>
      <c r="F1300" s="2">
        <v>10004748</v>
      </c>
      <c r="G1300" s="4" t="s">
        <v>1382</v>
      </c>
      <c r="H1300" s="1">
        <v>19</v>
      </c>
      <c r="I1300" s="1">
        <v>5</v>
      </c>
      <c r="J1300" s="1">
        <v>5</v>
      </c>
      <c r="K1300" s="2">
        <v>3.5</v>
      </c>
    </row>
    <row r="1301" spans="1:12">
      <c r="A1301" s="3" t="s">
        <v>633</v>
      </c>
      <c r="B1301" s="3" t="s">
        <v>883</v>
      </c>
      <c r="C1301" s="3" t="s">
        <v>814</v>
      </c>
      <c r="D1301" s="3"/>
      <c r="E1301" s="2" t="str">
        <f>HYPERLINK("https://old.ukr-mobil.com/steklo_displeya_xiaomi_mi_pad_5_mi_pad_5_pro_s_oca_plenkoj_original_10003894", "Перейти")</f>
        <v>Перейти</v>
      </c>
      <c r="F1301" s="2">
        <v>10003894</v>
      </c>
      <c r="G1301" s="4" t="s">
        <v>1383</v>
      </c>
      <c r="H1301" s="1">
        <v>8</v>
      </c>
      <c r="I1301" s="1">
        <v>1</v>
      </c>
      <c r="J1301" s="1">
        <v>1</v>
      </c>
      <c r="K1301" s="2">
        <v>2.0</v>
      </c>
    </row>
    <row r="1302" spans="1:12">
      <c r="A1302" s="3" t="s">
        <v>633</v>
      </c>
      <c r="B1302" s="3" t="s">
        <v>883</v>
      </c>
      <c r="C1302" s="3" t="s">
        <v>814</v>
      </c>
      <c r="D1302" s="3"/>
      <c r="E1302" s="2" t="str">
        <f>HYPERLINK("https://old.ukr-mobil.com/index.php?route=product&amp;product_id=10004732", "Перейти")</f>
        <v>Перейти</v>
      </c>
      <c r="F1302" s="2">
        <v>10004732</v>
      </c>
      <c r="G1302" s="4" t="s">
        <v>1384</v>
      </c>
      <c r="H1302" s="1">
        <v>6</v>
      </c>
      <c r="I1302" s="1">
        <v>5</v>
      </c>
      <c r="J1302" s="1">
        <v>3</v>
      </c>
      <c r="K1302" s="2">
        <v>3.0</v>
      </c>
    </row>
    <row r="1303" spans="1:12">
      <c r="A1303" s="3" t="s">
        <v>633</v>
      </c>
      <c r="B1303" s="3" t="s">
        <v>883</v>
      </c>
      <c r="C1303" s="3" t="s">
        <v>814</v>
      </c>
      <c r="D1303" s="3"/>
      <c r="E1303" s="2" t="str">
        <f>HYPERLINK("https://old.ukr-mobil.com/steklo_displeya_xiaomi_pocophone_f1_black_11367", "Перейти")</f>
        <v>Перейти</v>
      </c>
      <c r="F1303" s="2">
        <v>11367</v>
      </c>
      <c r="G1303" s="4" t="s">
        <v>1385</v>
      </c>
      <c r="H1303" s="1">
        <v>0</v>
      </c>
      <c r="I1303" s="1">
        <v>0</v>
      </c>
      <c r="J1303" s="1">
        <v>0</v>
      </c>
      <c r="K1303" s="2">
        <v>1.15</v>
      </c>
    </row>
    <row r="1304" spans="1:12">
      <c r="A1304" s="3" t="s">
        <v>633</v>
      </c>
      <c r="B1304" s="3" t="s">
        <v>883</v>
      </c>
      <c r="C1304" s="3" t="s">
        <v>814</v>
      </c>
      <c r="D1304" s="3"/>
      <c r="E1304" s="2" t="str">
        <f>HYPERLINK("https://old.ukr-mobil.com/steklo_displeya_xiaomi_redmi_10a_original_black_10002536", "Перейти")</f>
        <v>Перейти</v>
      </c>
      <c r="F1304" s="2">
        <v>10002536</v>
      </c>
      <c r="G1304" s="4" t="s">
        <v>1386</v>
      </c>
      <c r="H1304" s="1">
        <v>23</v>
      </c>
      <c r="I1304" s="1">
        <v>4</v>
      </c>
      <c r="J1304" s="1">
        <v>3</v>
      </c>
      <c r="K1304" s="2">
        <v>2.5</v>
      </c>
    </row>
    <row r="1305" spans="1:12">
      <c r="A1305" s="3" t="s">
        <v>633</v>
      </c>
      <c r="B1305" s="3" t="s">
        <v>883</v>
      </c>
      <c r="C1305" s="3" t="s">
        <v>814</v>
      </c>
      <c r="D1305" s="3"/>
      <c r="E1305" s="2" t="str">
        <f>HYPERLINK("https://old.ukr-mobil.com/steklo_displeya_xiaomi_redmi_10c_s_oca_plenkoj_original_10002859", "Перейти")</f>
        <v>Перейти</v>
      </c>
      <c r="F1305" s="2">
        <v>10002859</v>
      </c>
      <c r="G1305" s="4" t="s">
        <v>1387</v>
      </c>
      <c r="H1305" s="1">
        <v>7</v>
      </c>
      <c r="I1305" s="1">
        <v>14</v>
      </c>
      <c r="J1305" s="1">
        <v>14</v>
      </c>
      <c r="K1305" s="2">
        <v>2.5</v>
      </c>
    </row>
    <row r="1306" spans="1:12">
      <c r="A1306" s="3" t="s">
        <v>633</v>
      </c>
      <c r="B1306" s="3" t="s">
        <v>883</v>
      </c>
      <c r="C1306" s="3" t="s">
        <v>814</v>
      </c>
      <c r="D1306" s="3"/>
      <c r="E1306" s="2" t="str">
        <f>HYPERLINK("https://old.ukr-mobil.com/index.php?route=product&amp;product_id=10004765", "Перейти")</f>
        <v>Перейти</v>
      </c>
      <c r="F1306" s="2">
        <v>10004765</v>
      </c>
      <c r="G1306" s="4" t="s">
        <v>1388</v>
      </c>
      <c r="H1306" s="1">
        <v>0</v>
      </c>
      <c r="I1306" s="1">
        <v>1</v>
      </c>
      <c r="J1306" s="1">
        <v>0</v>
      </c>
      <c r="K1306" s="2">
        <v>2.5</v>
      </c>
    </row>
    <row r="1307" spans="1:12">
      <c r="A1307" s="3" t="s">
        <v>633</v>
      </c>
      <c r="B1307" s="3" t="s">
        <v>883</v>
      </c>
      <c r="C1307" s="3" t="s">
        <v>814</v>
      </c>
      <c r="D1307" s="3"/>
      <c r="E1307" s="2" t="str">
        <f>HYPERLINK("https://old.ukr-mobil.com/steklo_displeya_xiaomi_redmi_12c_s_oca_plenkoj_original_10003268", "Перейти")</f>
        <v>Перейти</v>
      </c>
      <c r="F1307" s="2">
        <v>10003268</v>
      </c>
      <c r="G1307" s="4" t="s">
        <v>1389</v>
      </c>
      <c r="H1307" s="1">
        <v>14</v>
      </c>
      <c r="I1307" s="1">
        <v>17</v>
      </c>
      <c r="J1307" s="1">
        <v>9</v>
      </c>
      <c r="K1307" s="2">
        <v>2.5</v>
      </c>
    </row>
    <row r="1308" spans="1:12">
      <c r="A1308" s="3" t="s">
        <v>633</v>
      </c>
      <c r="B1308" s="3" t="s">
        <v>883</v>
      </c>
      <c r="C1308" s="3" t="s">
        <v>814</v>
      </c>
      <c r="D1308" s="3"/>
      <c r="E1308" s="2" t="str">
        <f>HYPERLINK("https://old.ukr-mobil.com/steklo_displeya_xiaomi_redmi_5_plus_original_black_11357", "Перейти")</f>
        <v>Перейти</v>
      </c>
      <c r="F1308" s="2">
        <v>11357</v>
      </c>
      <c r="G1308" s="4" t="s">
        <v>1390</v>
      </c>
      <c r="H1308" s="1">
        <v>7</v>
      </c>
      <c r="I1308" s="1">
        <v>0</v>
      </c>
      <c r="J1308" s="1">
        <v>5</v>
      </c>
      <c r="K1308" s="2">
        <v>2.0</v>
      </c>
    </row>
    <row r="1309" spans="1:12">
      <c r="A1309" s="3" t="s">
        <v>633</v>
      </c>
      <c r="B1309" s="3" t="s">
        <v>883</v>
      </c>
      <c r="C1309" s="3" t="s">
        <v>814</v>
      </c>
      <c r="D1309" s="3"/>
      <c r="E1309" s="2" t="str">
        <f>HYPERLINK("https://old.ukr-mobil.com/steklo_displeya_xiaomi_redmi_5_original_white_11356", "Перейти")</f>
        <v>Перейти</v>
      </c>
      <c r="F1309" s="2">
        <v>11356</v>
      </c>
      <c r="G1309" s="4" t="s">
        <v>1391</v>
      </c>
      <c r="H1309" s="1">
        <v>0</v>
      </c>
      <c r="I1309" s="1">
        <v>0</v>
      </c>
      <c r="J1309" s="1">
        <v>1</v>
      </c>
      <c r="K1309" s="2">
        <v>1.25</v>
      </c>
    </row>
    <row r="1310" spans="1:12">
      <c r="A1310" s="3" t="s">
        <v>633</v>
      </c>
      <c r="B1310" s="3" t="s">
        <v>883</v>
      </c>
      <c r="C1310" s="3" t="s">
        <v>814</v>
      </c>
      <c r="D1310" s="3"/>
      <c r="E1310" s="2" t="str">
        <f>HYPERLINK("https://old.ukr-mobil.com/steklo_displeya_xiaomi_redmi_5_white_10531", "Перейти")</f>
        <v>Перейти</v>
      </c>
      <c r="F1310" s="2">
        <v>10531</v>
      </c>
      <c r="G1310" s="4" t="s">
        <v>1392</v>
      </c>
      <c r="H1310" s="1">
        <v>0</v>
      </c>
      <c r="I1310" s="1">
        <v>0</v>
      </c>
      <c r="J1310" s="1">
        <v>0</v>
      </c>
      <c r="K1310" s="2">
        <v>1.01</v>
      </c>
    </row>
    <row r="1311" spans="1:12">
      <c r="A1311" s="3" t="s">
        <v>633</v>
      </c>
      <c r="B1311" s="3" t="s">
        <v>883</v>
      </c>
      <c r="C1311" s="3" t="s">
        <v>814</v>
      </c>
      <c r="D1311" s="3"/>
      <c r="E1311" s="2" t="str">
        <f>HYPERLINK("https://old.ukr-mobil.com/steklo_displeya_xiaomi_redmi_8_black_10000339", "Перейти")</f>
        <v>Перейти</v>
      </c>
      <c r="F1311" s="2">
        <v>10000339</v>
      </c>
      <c r="G1311" s="4" t="s">
        <v>1393</v>
      </c>
      <c r="H1311" s="1">
        <v>0</v>
      </c>
      <c r="I1311" s="1">
        <v>0</v>
      </c>
      <c r="J1311" s="1">
        <v>0</v>
      </c>
      <c r="K1311" s="2">
        <v>1.5</v>
      </c>
    </row>
    <row r="1312" spans="1:12">
      <c r="A1312" s="3" t="s">
        <v>633</v>
      </c>
      <c r="B1312" s="3" t="s">
        <v>883</v>
      </c>
      <c r="C1312" s="3" t="s">
        <v>814</v>
      </c>
      <c r="D1312" s="3"/>
      <c r="E1312" s="2" t="str">
        <f>HYPERLINK("https://old.ukr-mobil.com/steklo_displeya_xiaomi_redmi_8_redmi_8a_s_oca_plenkoj_original_10002854", "Перейти")</f>
        <v>Перейти</v>
      </c>
      <c r="F1312" s="2">
        <v>10002854</v>
      </c>
      <c r="G1312" s="4" t="s">
        <v>1394</v>
      </c>
      <c r="H1312" s="1">
        <v>6</v>
      </c>
      <c r="I1312" s="1">
        <v>5</v>
      </c>
      <c r="J1312" s="1">
        <v>2</v>
      </c>
      <c r="K1312" s="2">
        <v>2.75</v>
      </c>
    </row>
    <row r="1313" spans="1:12">
      <c r="A1313" s="3" t="s">
        <v>633</v>
      </c>
      <c r="B1313" s="3" t="s">
        <v>883</v>
      </c>
      <c r="C1313" s="3" t="s">
        <v>814</v>
      </c>
      <c r="D1313" s="3"/>
      <c r="E1313" s="2" t="str">
        <f>HYPERLINK("https://old.ukr-mobil.com/steklo_displeya_xiaomi_redmi_9_black_10001038", "Перейти")</f>
        <v>Перейти</v>
      </c>
      <c r="F1313" s="2">
        <v>10001038</v>
      </c>
      <c r="G1313" s="4" t="s">
        <v>1395</v>
      </c>
      <c r="H1313" s="1">
        <v>3</v>
      </c>
      <c r="I1313" s="1">
        <v>0</v>
      </c>
      <c r="J1313" s="1">
        <v>2</v>
      </c>
      <c r="K1313" s="2">
        <v>2.0</v>
      </c>
    </row>
    <row r="1314" spans="1:12">
      <c r="A1314" s="3" t="s">
        <v>633</v>
      </c>
      <c r="B1314" s="3" t="s">
        <v>883</v>
      </c>
      <c r="C1314" s="3" t="s">
        <v>814</v>
      </c>
      <c r="D1314" s="3"/>
      <c r="E1314" s="2" t="str">
        <f>HYPERLINK("https://old.ukr-mobil.com/steklo_displeya_xiaomi_redmi_9_s_oca_plenkoj_original_10002730", "Перейти")</f>
        <v>Перейти</v>
      </c>
      <c r="F1314" s="2">
        <v>10002730</v>
      </c>
      <c r="G1314" s="4" t="s">
        <v>1396</v>
      </c>
      <c r="H1314" s="1">
        <v>34</v>
      </c>
      <c r="I1314" s="1">
        <v>10</v>
      </c>
      <c r="J1314" s="1">
        <v>17</v>
      </c>
      <c r="K1314" s="2">
        <v>2.75</v>
      </c>
    </row>
    <row r="1315" spans="1:12">
      <c r="A1315" s="3" t="s">
        <v>633</v>
      </c>
      <c r="B1315" s="3" t="s">
        <v>883</v>
      </c>
      <c r="C1315" s="3" t="s">
        <v>814</v>
      </c>
      <c r="D1315" s="3"/>
      <c r="E1315" s="2" t="str">
        <f>HYPERLINK("https://old.ukr-mobil.com/steklo_displeya_xiaomi_redmi_9a_redmi_9c_black_10001521", "Перейти")</f>
        <v>Перейти</v>
      </c>
      <c r="F1315" s="2">
        <v>10001521</v>
      </c>
      <c r="G1315" s="4" t="s">
        <v>1397</v>
      </c>
      <c r="H1315" s="1">
        <v>0</v>
      </c>
      <c r="I1315" s="1">
        <v>0</v>
      </c>
      <c r="J1315" s="1">
        <v>0</v>
      </c>
      <c r="K1315" s="2">
        <v>1.9</v>
      </c>
    </row>
    <row r="1316" spans="1:12">
      <c r="A1316" s="3" t="s">
        <v>633</v>
      </c>
      <c r="B1316" s="3" t="s">
        <v>883</v>
      </c>
      <c r="C1316" s="3" t="s">
        <v>814</v>
      </c>
      <c r="D1316" s="3"/>
      <c r="E1316" s="2" t="str">
        <f>HYPERLINK("https://old.ukr-mobil.com/steklo_displeya_xiaomi_redmi_9a_redmi_9c_redmi_10a_poco_c3_s_oca_plenkoj_original_10002297", "Перейти")</f>
        <v>Перейти</v>
      </c>
      <c r="F1316" s="2">
        <v>10002297</v>
      </c>
      <c r="G1316" s="4" t="s">
        <v>1398</v>
      </c>
      <c r="H1316" s="1">
        <v>19</v>
      </c>
      <c r="I1316" s="1">
        <v>4</v>
      </c>
      <c r="J1316" s="1">
        <v>5</v>
      </c>
      <c r="K1316" s="2">
        <v>2.85</v>
      </c>
    </row>
    <row r="1317" spans="1:12">
      <c r="A1317" s="3" t="s">
        <v>633</v>
      </c>
      <c r="B1317" s="3" t="s">
        <v>883</v>
      </c>
      <c r="C1317" s="3" t="s">
        <v>814</v>
      </c>
      <c r="D1317" s="3"/>
      <c r="E1317" s="2" t="str">
        <f>HYPERLINK("https://old.ukr-mobil.com/steklo_displeya_xiaomi_poco_m3_original_black_10001625", "Перейти")</f>
        <v>Перейти</v>
      </c>
      <c r="F1317" s="2">
        <v>10001625</v>
      </c>
      <c r="G1317" s="4" t="s">
        <v>1399</v>
      </c>
      <c r="H1317" s="1">
        <v>0</v>
      </c>
      <c r="I1317" s="1">
        <v>0</v>
      </c>
      <c r="J1317" s="1">
        <v>0</v>
      </c>
      <c r="K1317" s="2">
        <v>1.9</v>
      </c>
    </row>
    <row r="1318" spans="1:12">
      <c r="A1318" s="3" t="s">
        <v>633</v>
      </c>
      <c r="B1318" s="3" t="s">
        <v>883</v>
      </c>
      <c r="C1318" s="3" t="s">
        <v>814</v>
      </c>
      <c r="D1318" s="3"/>
      <c r="E1318" s="2" t="str">
        <f>HYPERLINK("https://old.ukr-mobil.com/steklo_displeya_xiaomi_redmi_9t_redmi_9_power_poco_m3_s_oca_plenkoj_original_10002727", "Перейти")</f>
        <v>Перейти</v>
      </c>
      <c r="F1318" s="2">
        <v>10002727</v>
      </c>
      <c r="G1318" s="4" t="s">
        <v>1400</v>
      </c>
      <c r="H1318" s="1">
        <v>9</v>
      </c>
      <c r="I1318" s="1">
        <v>0</v>
      </c>
      <c r="J1318" s="1">
        <v>16</v>
      </c>
      <c r="K1318" s="2">
        <v>2.85</v>
      </c>
    </row>
    <row r="1319" spans="1:12">
      <c r="A1319" s="3" t="s">
        <v>633</v>
      </c>
      <c r="B1319" s="3" t="s">
        <v>883</v>
      </c>
      <c r="C1319" s="3" t="s">
        <v>814</v>
      </c>
      <c r="D1319" s="3"/>
      <c r="E1319" s="2" t="str">
        <f>HYPERLINK("https://old.ukr-mobil.com/steklo_displeya_xiaomi_mi_10t_redmi_k30_pocophone_x2_black_10000790", "Перейти")</f>
        <v>Перейти</v>
      </c>
      <c r="F1319" s="2">
        <v>10000790</v>
      </c>
      <c r="G1319" s="4" t="s">
        <v>1401</v>
      </c>
      <c r="H1319" s="1">
        <v>71</v>
      </c>
      <c r="I1319" s="1">
        <v>4</v>
      </c>
      <c r="J1319" s="1">
        <v>10</v>
      </c>
      <c r="K1319" s="2">
        <v>1.7</v>
      </c>
    </row>
    <row r="1320" spans="1:12">
      <c r="A1320" s="3" t="s">
        <v>633</v>
      </c>
      <c r="B1320" s="3" t="s">
        <v>883</v>
      </c>
      <c r="C1320" s="3" t="s">
        <v>814</v>
      </c>
      <c r="D1320" s="3"/>
      <c r="E1320" s="2" t="str">
        <f>HYPERLINK("https://old.ukr-mobil.com/steklo_displeya_xiaomi_redmi_note_10_4g_original_black_10001935", "Перейти")</f>
        <v>Перейти</v>
      </c>
      <c r="F1320" s="2">
        <v>10001935</v>
      </c>
      <c r="G1320" s="4" t="s">
        <v>1402</v>
      </c>
      <c r="H1320" s="1">
        <v>0</v>
      </c>
      <c r="I1320" s="1">
        <v>0</v>
      </c>
      <c r="J1320" s="1">
        <v>0</v>
      </c>
      <c r="K1320" s="2">
        <v>2.0</v>
      </c>
    </row>
    <row r="1321" spans="1:12">
      <c r="A1321" s="3" t="s">
        <v>633</v>
      </c>
      <c r="B1321" s="3" t="s">
        <v>883</v>
      </c>
      <c r="C1321" s="3" t="s">
        <v>814</v>
      </c>
      <c r="D1321" s="3"/>
      <c r="E1321" s="2" t="str">
        <f>HYPERLINK("https://old.ukr-mobil.com/steklo_displeya_xiaomi_redmi_note_10_4g_redmi_note_10s_s_oca_plenkoj_original_10002728", "Перейти")</f>
        <v>Перейти</v>
      </c>
      <c r="F1321" s="2">
        <v>10002728</v>
      </c>
      <c r="G1321" s="4" t="s">
        <v>1403</v>
      </c>
      <c r="H1321" s="1">
        <v>0</v>
      </c>
      <c r="I1321" s="1">
        <v>0</v>
      </c>
      <c r="J1321" s="1">
        <v>0</v>
      </c>
      <c r="K1321" s="2">
        <v>2.5</v>
      </c>
    </row>
    <row r="1322" spans="1:12">
      <c r="A1322" s="3" t="s">
        <v>633</v>
      </c>
      <c r="B1322" s="3" t="s">
        <v>883</v>
      </c>
      <c r="C1322" s="3" t="s">
        <v>814</v>
      </c>
      <c r="D1322" s="3"/>
      <c r="E1322" s="2" t="str">
        <f>HYPERLINK("https://old.ukr-mobil.com/steklo_displeya_xiaomi_redmi_note_10_4g_redmi_note_10s_original_black_10001833", "Перейти")</f>
        <v>Перейти</v>
      </c>
      <c r="F1322" s="2">
        <v>10001833</v>
      </c>
      <c r="G1322" s="4" t="s">
        <v>1404</v>
      </c>
      <c r="H1322" s="1">
        <v>0</v>
      </c>
      <c r="I1322" s="1">
        <v>0</v>
      </c>
      <c r="J1322" s="1">
        <v>0</v>
      </c>
      <c r="K1322" s="2">
        <v>2.25</v>
      </c>
    </row>
    <row r="1323" spans="1:12">
      <c r="A1323" s="3" t="s">
        <v>633</v>
      </c>
      <c r="B1323" s="3" t="s">
        <v>883</v>
      </c>
      <c r="C1323" s="3" t="s">
        <v>814</v>
      </c>
      <c r="D1323" s="3"/>
      <c r="E1323" s="2" t="str">
        <f>HYPERLINK("https://old.ukr-mobil.com/steklo_displeya_xiaomi_redmi_note_10_5g_poco_m3_pro_poco_m3_pro_5g_s_oca_plenkoj_original_black_10002565", "Перейти")</f>
        <v>Перейти</v>
      </c>
      <c r="F1323" s="2">
        <v>10002565</v>
      </c>
      <c r="G1323" s="4" t="s">
        <v>1405</v>
      </c>
      <c r="H1323" s="1">
        <v>9</v>
      </c>
      <c r="I1323" s="1">
        <v>4</v>
      </c>
      <c r="J1323" s="1">
        <v>13</v>
      </c>
      <c r="K1323" s="2">
        <v>2.35</v>
      </c>
    </row>
    <row r="1324" spans="1:12">
      <c r="A1324" s="3" t="s">
        <v>633</v>
      </c>
      <c r="B1324" s="3" t="s">
        <v>883</v>
      </c>
      <c r="C1324" s="3" t="s">
        <v>814</v>
      </c>
      <c r="D1324" s="3"/>
      <c r="E1324" s="2" t="str">
        <f>HYPERLINK("https://old.ukr-mobil.com/steklo_displeya_xiaomi_redmi_note_10_pro_original_black_10001937", "Перейти")</f>
        <v>Перейти</v>
      </c>
      <c r="F1324" s="2">
        <v>10001937</v>
      </c>
      <c r="G1324" s="4" t="s">
        <v>1406</v>
      </c>
      <c r="H1324" s="1">
        <v>0</v>
      </c>
      <c r="I1324" s="1">
        <v>0</v>
      </c>
      <c r="J1324" s="1">
        <v>0</v>
      </c>
      <c r="K1324" s="2">
        <v>2.0</v>
      </c>
    </row>
    <row r="1325" spans="1:12">
      <c r="A1325" s="3" t="s">
        <v>633</v>
      </c>
      <c r="B1325" s="3" t="s">
        <v>883</v>
      </c>
      <c r="C1325" s="3" t="s">
        <v>814</v>
      </c>
      <c r="D1325" s="3"/>
      <c r="E1325" s="2" t="str">
        <f>HYPERLINK("https://old.ukr-mobil.com/index.php?route=product&amp;product_id=10004762", "Перейти")</f>
        <v>Перейти</v>
      </c>
      <c r="F1325" s="2">
        <v>10004762</v>
      </c>
      <c r="G1325" s="4" t="s">
        <v>1407</v>
      </c>
      <c r="H1325" s="1">
        <v>49</v>
      </c>
      <c r="I1325" s="1">
        <v>0</v>
      </c>
      <c r="J1325" s="1">
        <v>0</v>
      </c>
      <c r="K1325" s="2">
        <v>0.0</v>
      </c>
    </row>
    <row r="1326" spans="1:12">
      <c r="A1326" s="3" t="s">
        <v>633</v>
      </c>
      <c r="B1326" s="3" t="s">
        <v>883</v>
      </c>
      <c r="C1326" s="3" t="s">
        <v>814</v>
      </c>
      <c r="D1326" s="3"/>
      <c r="E1326" s="2" t="str">
        <f>HYPERLINK("https://old.ukr-mobil.com/steklo_displeya_xiaomi_redmi_note_10_pro_s_oca_plenkoj_original_10002731", "Перейти")</f>
        <v>Перейти</v>
      </c>
      <c r="F1326" s="2">
        <v>10002731</v>
      </c>
      <c r="G1326" s="4" t="s">
        <v>1408</v>
      </c>
      <c r="H1326" s="1">
        <v>33</v>
      </c>
      <c r="I1326" s="1">
        <v>18</v>
      </c>
      <c r="J1326" s="1">
        <v>3</v>
      </c>
      <c r="K1326" s="2">
        <v>3.25</v>
      </c>
    </row>
    <row r="1327" spans="1:12">
      <c r="A1327" s="3" t="s">
        <v>633</v>
      </c>
      <c r="B1327" s="3" t="s">
        <v>883</v>
      </c>
      <c r="C1327" s="3" t="s">
        <v>814</v>
      </c>
      <c r="D1327" s="3"/>
      <c r="E1327" s="2" t="str">
        <f>HYPERLINK("https://old.ukr-mobil.com/steklo_displeya_xiaomi_redmi_note_11_global_version_redmi_note_11s_s_oca_plenkoj_original_black_10002732", "Перейти")</f>
        <v>Перейти</v>
      </c>
      <c r="F1327" s="2">
        <v>10002732</v>
      </c>
      <c r="G1327" s="4" t="s">
        <v>1409</v>
      </c>
      <c r="H1327" s="1">
        <v>0</v>
      </c>
      <c r="I1327" s="1">
        <v>0</v>
      </c>
      <c r="J1327" s="1">
        <v>0</v>
      </c>
      <c r="K1327" s="2">
        <v>2.75</v>
      </c>
    </row>
    <row r="1328" spans="1:12">
      <c r="A1328" s="3" t="s">
        <v>633</v>
      </c>
      <c r="B1328" s="3" t="s">
        <v>883</v>
      </c>
      <c r="C1328" s="3" t="s">
        <v>814</v>
      </c>
      <c r="D1328" s="3"/>
      <c r="E1328" s="2" t="str">
        <f>HYPERLINK("https://old.ukr-mobil.com/steklo_displeya_xiaomi_redmi_note_11_5g_poco_m4_pro_5g_s_oca_plenkoj_original_10002855", "Перейти")</f>
        <v>Перейти</v>
      </c>
      <c r="F1328" s="2">
        <v>10002855</v>
      </c>
      <c r="G1328" s="4" t="s">
        <v>1410</v>
      </c>
      <c r="H1328" s="1">
        <v>83</v>
      </c>
      <c r="I1328" s="1">
        <v>15</v>
      </c>
      <c r="J1328" s="1">
        <v>0</v>
      </c>
      <c r="K1328" s="2">
        <v>3.0</v>
      </c>
    </row>
    <row r="1329" spans="1:12">
      <c r="A1329" s="3" t="s">
        <v>633</v>
      </c>
      <c r="B1329" s="3" t="s">
        <v>883</v>
      </c>
      <c r="C1329" s="3" t="s">
        <v>814</v>
      </c>
      <c r="D1329" s="3"/>
      <c r="E1329" s="2" t="str">
        <f>HYPERLINK("https://old.ukr-mobil.com/steklo_displeya_xiaomi_redmi_note_11_pro_redmi_note_11_pro_5g_poco_x4_pro_5g_s_oca_plenkoj_original_10003267", "Перейти")</f>
        <v>Перейти</v>
      </c>
      <c r="F1329" s="2">
        <v>10003267</v>
      </c>
      <c r="G1329" s="4" t="s">
        <v>1411</v>
      </c>
      <c r="H1329" s="1">
        <v>5</v>
      </c>
      <c r="I1329" s="1">
        <v>3</v>
      </c>
      <c r="J1329" s="1">
        <v>0</v>
      </c>
      <c r="K1329" s="2">
        <v>3.25</v>
      </c>
    </row>
    <row r="1330" spans="1:12">
      <c r="A1330" s="3" t="s">
        <v>633</v>
      </c>
      <c r="B1330" s="3" t="s">
        <v>883</v>
      </c>
      <c r="C1330" s="3" t="s">
        <v>814</v>
      </c>
      <c r="D1330" s="3"/>
      <c r="E1330" s="2" t="str">
        <f>HYPERLINK("https://old.ukr-mobil.com/steklo_displeya_xiaomi_redmi_note_11e_redmi_10_5g_poco_m4_5g_poco_m5_s_oca_plenkoj_original_g_oca_pro_10004529", "Перейти")</f>
        <v>Перейти</v>
      </c>
      <c r="F1330" s="2">
        <v>10004529</v>
      </c>
      <c r="G1330" s="4" t="s">
        <v>1412</v>
      </c>
      <c r="H1330" s="1">
        <v>92</v>
      </c>
      <c r="I1330" s="1">
        <v>16</v>
      </c>
      <c r="J1330" s="1">
        <v>26</v>
      </c>
      <c r="K1330" s="2">
        <v>2.5</v>
      </c>
    </row>
    <row r="1331" spans="1:12">
      <c r="A1331" s="3" t="s">
        <v>633</v>
      </c>
      <c r="B1331" s="3" t="s">
        <v>883</v>
      </c>
      <c r="C1331" s="3" t="s">
        <v>814</v>
      </c>
      <c r="D1331" s="3"/>
      <c r="E1331" s="2" t="str">
        <f>HYPERLINK("https://old.ukr-mobil.com/steklo_displeya_xiaomi_redmi_note_12_4g_redmi_note_12_5g_poco_x5_s_oca_plenkoj_original_g_oca_pro_10004532", "Перейти")</f>
        <v>Перейти</v>
      </c>
      <c r="F1331" s="2">
        <v>10004532</v>
      </c>
      <c r="G1331" s="4" t="s">
        <v>1413</v>
      </c>
      <c r="H1331" s="1">
        <v>0</v>
      </c>
      <c r="I1331" s="1">
        <v>0</v>
      </c>
      <c r="J1331" s="1">
        <v>0</v>
      </c>
      <c r="K1331" s="2">
        <v>3.5</v>
      </c>
    </row>
    <row r="1332" spans="1:12">
      <c r="A1332" s="3" t="s">
        <v>633</v>
      </c>
      <c r="B1332" s="3" t="s">
        <v>883</v>
      </c>
      <c r="C1332" s="3" t="s">
        <v>814</v>
      </c>
      <c r="D1332" s="3"/>
      <c r="E1332" s="2" t="str">
        <f>HYPERLINK("https://old.ukr-mobil.com/steklo_displeya_xiaomi_redmi_note_12_pro_redmi_note_12_pro_plus_poco_x5_pro_s_oca_plenkoj_original_g_oca_pro_10004528", "Перейти")</f>
        <v>Перейти</v>
      </c>
      <c r="F1332" s="2">
        <v>10004528</v>
      </c>
      <c r="G1332" s="4" t="s">
        <v>1414</v>
      </c>
      <c r="H1332" s="1">
        <v>7</v>
      </c>
      <c r="I1332" s="1">
        <v>2</v>
      </c>
      <c r="J1332" s="1">
        <v>5</v>
      </c>
      <c r="K1332" s="2">
        <v>3.65</v>
      </c>
    </row>
    <row r="1333" spans="1:12">
      <c r="A1333" s="3" t="s">
        <v>633</v>
      </c>
      <c r="B1333" s="3" t="s">
        <v>883</v>
      </c>
      <c r="C1333" s="3" t="s">
        <v>814</v>
      </c>
      <c r="D1333" s="3"/>
      <c r="E1333" s="2" t="str">
        <f>HYPERLINK("https://old.ukr-mobil.com/steklo_displeya_xiaomi_redmi_note_12_s_oca_plenkoj_original_10003266", "Перейти")</f>
        <v>Перейти</v>
      </c>
      <c r="F1333" s="2">
        <v>10003266</v>
      </c>
      <c r="G1333" s="4" t="s">
        <v>1415</v>
      </c>
      <c r="H1333" s="1">
        <v>0</v>
      </c>
      <c r="I1333" s="1">
        <v>0</v>
      </c>
      <c r="J1333" s="1">
        <v>0</v>
      </c>
      <c r="K1333" s="2">
        <v>5.0</v>
      </c>
    </row>
    <row r="1334" spans="1:12">
      <c r="A1334" s="3" t="s">
        <v>633</v>
      </c>
      <c r="B1334" s="3" t="s">
        <v>883</v>
      </c>
      <c r="C1334" s="3" t="s">
        <v>814</v>
      </c>
      <c r="D1334" s="3"/>
      <c r="E1334" s="2" t="str">
        <f>HYPERLINK("https://old.ukr-mobil.com/steklo_displeya_xiaomi_redmi_note_5_redmi_note_5_pro_black_10532", "Перейти")</f>
        <v>Перейти</v>
      </c>
      <c r="F1334" s="2">
        <v>10532</v>
      </c>
      <c r="G1334" s="4" t="s">
        <v>1416</v>
      </c>
      <c r="H1334" s="1">
        <v>0</v>
      </c>
      <c r="I1334" s="1">
        <v>0</v>
      </c>
      <c r="J1334" s="1">
        <v>0</v>
      </c>
      <c r="K1334" s="2">
        <v>1.16</v>
      </c>
    </row>
    <row r="1335" spans="1:12">
      <c r="A1335" s="3" t="s">
        <v>633</v>
      </c>
      <c r="B1335" s="3" t="s">
        <v>883</v>
      </c>
      <c r="C1335" s="3" t="s">
        <v>814</v>
      </c>
      <c r="D1335" s="3"/>
      <c r="E1335" s="2" t="str">
        <f>HYPERLINK("https://old.ukr-mobil.com/steklo_displeya_xiaomi_redmi_note_5_redmi_note_5_pro_white_10533", "Перейти")</f>
        <v>Перейти</v>
      </c>
      <c r="F1335" s="2">
        <v>10533</v>
      </c>
      <c r="G1335" s="4" t="s">
        <v>1417</v>
      </c>
      <c r="H1335" s="1">
        <v>0</v>
      </c>
      <c r="I1335" s="1">
        <v>0</v>
      </c>
      <c r="J1335" s="1">
        <v>0</v>
      </c>
      <c r="K1335" s="2">
        <v>1.16</v>
      </c>
    </row>
    <row r="1336" spans="1:12">
      <c r="A1336" s="3" t="s">
        <v>633</v>
      </c>
      <c r="B1336" s="3" t="s">
        <v>883</v>
      </c>
      <c r="C1336" s="3" t="s">
        <v>814</v>
      </c>
      <c r="D1336" s="3"/>
      <c r="E1336" s="2" t="str">
        <f>HYPERLINK("https://old.ukr-mobil.com/steklo_displeya_xiaomi_redmi_note_5_redmi_note_5_pro_s_oleofobnym_pokrytiem_black_11361", "Перейти")</f>
        <v>Перейти</v>
      </c>
      <c r="F1336" s="2">
        <v>11361</v>
      </c>
      <c r="G1336" s="4" t="s">
        <v>1418</v>
      </c>
      <c r="H1336" s="1">
        <v>0</v>
      </c>
      <c r="I1336" s="1">
        <v>0</v>
      </c>
      <c r="J1336" s="1">
        <v>0</v>
      </c>
      <c r="K1336" s="2">
        <v>2.85</v>
      </c>
    </row>
    <row r="1337" spans="1:12">
      <c r="A1337" s="3" t="s">
        <v>633</v>
      </c>
      <c r="B1337" s="3" t="s">
        <v>883</v>
      </c>
      <c r="C1337" s="3" t="s">
        <v>814</v>
      </c>
      <c r="D1337" s="3"/>
      <c r="E1337" s="2" t="str">
        <f>HYPERLINK("https://old.ukr-mobil.com/steklo_displeya_xiaomi_redmi_note_5_redmi_note_5_pro_s_oleofobnym_pokrytiem_white_11362", "Перейти")</f>
        <v>Перейти</v>
      </c>
      <c r="F1337" s="2">
        <v>11362</v>
      </c>
      <c r="G1337" s="4" t="s">
        <v>1419</v>
      </c>
      <c r="H1337" s="1">
        <v>1</v>
      </c>
      <c r="I1337" s="1">
        <v>2</v>
      </c>
      <c r="J1337" s="1">
        <v>3</v>
      </c>
      <c r="K1337" s="2">
        <v>1.5</v>
      </c>
    </row>
    <row r="1338" spans="1:12">
      <c r="A1338" s="3" t="s">
        <v>633</v>
      </c>
      <c r="B1338" s="3" t="s">
        <v>883</v>
      </c>
      <c r="C1338" s="3" t="s">
        <v>814</v>
      </c>
      <c r="D1338" s="3"/>
      <c r="E1338" s="2" t="str">
        <f>HYPERLINK("https://old.ukr-mobil.com/steklo_displeya_xiaomi_redmi_note_6_pro_original_black_11359", "Перейти")</f>
        <v>Перейти</v>
      </c>
      <c r="F1338" s="2">
        <v>11359</v>
      </c>
      <c r="G1338" s="4" t="s">
        <v>1420</v>
      </c>
      <c r="H1338" s="1">
        <v>45</v>
      </c>
      <c r="I1338" s="1">
        <v>3</v>
      </c>
      <c r="J1338" s="1">
        <v>5</v>
      </c>
      <c r="K1338" s="2">
        <v>2.0</v>
      </c>
    </row>
    <row r="1339" spans="1:12">
      <c r="A1339" s="3" t="s">
        <v>633</v>
      </c>
      <c r="B1339" s="3" t="s">
        <v>883</v>
      </c>
      <c r="C1339" s="3" t="s">
        <v>814</v>
      </c>
      <c r="D1339" s="3"/>
      <c r="E1339" s="2" t="str">
        <f>HYPERLINK("https://old.ukr-mobil.com/steklo_displeya_xiaomi_redmi_note_6_pro_original_white_11360", "Перейти")</f>
        <v>Перейти</v>
      </c>
      <c r="F1339" s="2">
        <v>11360</v>
      </c>
      <c r="G1339" s="4" t="s">
        <v>1421</v>
      </c>
      <c r="H1339" s="1">
        <v>0</v>
      </c>
      <c r="I1339" s="1">
        <v>0</v>
      </c>
      <c r="J1339" s="1">
        <v>0</v>
      </c>
      <c r="K1339" s="2">
        <v>2.52</v>
      </c>
    </row>
    <row r="1340" spans="1:12">
      <c r="A1340" s="3" t="s">
        <v>633</v>
      </c>
      <c r="B1340" s="3" t="s">
        <v>883</v>
      </c>
      <c r="C1340" s="3" t="s">
        <v>814</v>
      </c>
      <c r="D1340" s="3"/>
      <c r="E1340" s="2" t="str">
        <f>HYPERLINK("https://old.ukr-mobil.com/steklo_displeya_xiaomi_redmi_note_6_original_s_oleofobnym_pokrytiem_black_11369", "Перейти")</f>
        <v>Перейти</v>
      </c>
      <c r="F1340" s="2">
        <v>11369</v>
      </c>
      <c r="G1340" s="4" t="s">
        <v>1422</v>
      </c>
      <c r="H1340" s="1">
        <v>19</v>
      </c>
      <c r="I1340" s="1">
        <v>6</v>
      </c>
      <c r="J1340" s="1">
        <v>2</v>
      </c>
      <c r="K1340" s="2">
        <v>1.5</v>
      </c>
    </row>
    <row r="1341" spans="1:12">
      <c r="A1341" s="3" t="s">
        <v>633</v>
      </c>
      <c r="B1341" s="3" t="s">
        <v>883</v>
      </c>
      <c r="C1341" s="3" t="s">
        <v>814</v>
      </c>
      <c r="D1341" s="3"/>
      <c r="E1341" s="2" t="str">
        <f>HYPERLINK("https://old.ukr-mobil.com/steklo_displeya_xiaomi_redmi_note_6_original_s_oleofobnym_pokrytiem_white_11370", "Перейти")</f>
        <v>Перейти</v>
      </c>
      <c r="F1341" s="2">
        <v>11370</v>
      </c>
      <c r="G1341" s="4" t="s">
        <v>1423</v>
      </c>
      <c r="H1341" s="1">
        <v>11</v>
      </c>
      <c r="I1341" s="1">
        <v>5</v>
      </c>
      <c r="J1341" s="1">
        <v>2</v>
      </c>
      <c r="K1341" s="2">
        <v>1.5</v>
      </c>
    </row>
    <row r="1342" spans="1:12">
      <c r="A1342" s="3" t="s">
        <v>633</v>
      </c>
      <c r="B1342" s="3" t="s">
        <v>883</v>
      </c>
      <c r="C1342" s="3" t="s">
        <v>814</v>
      </c>
      <c r="D1342" s="3"/>
      <c r="E1342" s="2" t="str">
        <f>HYPERLINK("https://old.ukr-mobil.com/steklo_displeya_xiaomi_redmi_note_7_original_black_11354", "Перейти")</f>
        <v>Перейти</v>
      </c>
      <c r="F1342" s="2">
        <v>11354</v>
      </c>
      <c r="G1342" s="4" t="s">
        <v>1424</v>
      </c>
      <c r="H1342" s="1">
        <v>0</v>
      </c>
      <c r="I1342" s="1">
        <v>0</v>
      </c>
      <c r="J1342" s="1">
        <v>0</v>
      </c>
      <c r="K1342" s="2">
        <v>0.95</v>
      </c>
    </row>
    <row r="1343" spans="1:12">
      <c r="A1343" s="3" t="s">
        <v>633</v>
      </c>
      <c r="B1343" s="3" t="s">
        <v>883</v>
      </c>
      <c r="C1343" s="3" t="s">
        <v>814</v>
      </c>
      <c r="D1343" s="3"/>
      <c r="E1343" s="2" t="str">
        <f>HYPERLINK("https://old.ukr-mobil.com/steklo_displeya_xiaomi_redmi_note_7_redmi_note_7_pro_s_oca_plenkoj_original_10002849", "Перейти")</f>
        <v>Перейти</v>
      </c>
      <c r="F1343" s="2">
        <v>10002849</v>
      </c>
      <c r="G1343" s="4" t="s">
        <v>1425</v>
      </c>
      <c r="H1343" s="1">
        <v>5</v>
      </c>
      <c r="I1343" s="1">
        <v>5</v>
      </c>
      <c r="J1343" s="1">
        <v>0</v>
      </c>
      <c r="K1343" s="2">
        <v>2.0</v>
      </c>
    </row>
    <row r="1344" spans="1:12">
      <c r="A1344" s="3" t="s">
        <v>633</v>
      </c>
      <c r="B1344" s="3" t="s">
        <v>883</v>
      </c>
      <c r="C1344" s="3" t="s">
        <v>814</v>
      </c>
      <c r="D1344" s="3"/>
      <c r="E1344" s="2" t="str">
        <f>HYPERLINK("https://old.ukr-mobil.com/steklo_displeya_xiaomi_redmi_note_8_pro_black_10000341", "Перейти")</f>
        <v>Перейти</v>
      </c>
      <c r="F1344" s="2">
        <v>10000341</v>
      </c>
      <c r="G1344" s="4" t="s">
        <v>1426</v>
      </c>
      <c r="H1344" s="1">
        <v>4</v>
      </c>
      <c r="I1344" s="1">
        <v>0</v>
      </c>
      <c r="J1344" s="1">
        <v>0</v>
      </c>
      <c r="K1344" s="2">
        <v>1.85</v>
      </c>
    </row>
    <row r="1345" spans="1:12">
      <c r="A1345" s="3" t="s">
        <v>633</v>
      </c>
      <c r="B1345" s="3" t="s">
        <v>883</v>
      </c>
      <c r="C1345" s="3" t="s">
        <v>814</v>
      </c>
      <c r="D1345" s="3"/>
      <c r="E1345" s="2" t="str">
        <f>HYPERLINK("https://old.ukr-mobil.com/steklo_displeya_xiaomi_redmi_note_8_pro_s_oca_plenkoj_original_10002852", "Перейти")</f>
        <v>Перейти</v>
      </c>
      <c r="F1345" s="2">
        <v>10002852</v>
      </c>
      <c r="G1345" s="4" t="s">
        <v>1427</v>
      </c>
      <c r="H1345" s="1">
        <v>4</v>
      </c>
      <c r="I1345" s="1">
        <v>0</v>
      </c>
      <c r="J1345" s="1">
        <v>1</v>
      </c>
      <c r="K1345" s="2">
        <v>2.0</v>
      </c>
    </row>
    <row r="1346" spans="1:12">
      <c r="A1346" s="3" t="s">
        <v>633</v>
      </c>
      <c r="B1346" s="3" t="s">
        <v>883</v>
      </c>
      <c r="C1346" s="3" t="s">
        <v>814</v>
      </c>
      <c r="D1346" s="3"/>
      <c r="E1346" s="2" t="str">
        <f>HYPERLINK("https://old.ukr-mobil.com/steklo_displeya_xiaomi_redmi_note_8_black_10000340", "Перейти")</f>
        <v>Перейти</v>
      </c>
      <c r="F1346" s="2">
        <v>10000340</v>
      </c>
      <c r="G1346" s="4" t="s">
        <v>1428</v>
      </c>
      <c r="H1346" s="1">
        <v>60</v>
      </c>
      <c r="I1346" s="1">
        <v>13</v>
      </c>
      <c r="J1346" s="1">
        <v>7</v>
      </c>
      <c r="K1346" s="2">
        <v>1.5</v>
      </c>
    </row>
    <row r="1347" spans="1:12">
      <c r="A1347" s="3" t="s">
        <v>633</v>
      </c>
      <c r="B1347" s="3" t="s">
        <v>883</v>
      </c>
      <c r="C1347" s="3" t="s">
        <v>814</v>
      </c>
      <c r="D1347" s="3"/>
      <c r="E1347" s="2" t="str">
        <f>HYPERLINK("https://old.ukr-mobil.com/steklo_displeya_xiaomi_redmi_note_8_s_oca_plenkoj_original_10002851", "Перейти")</f>
        <v>Перейти</v>
      </c>
      <c r="F1347" s="2">
        <v>10002851</v>
      </c>
      <c r="G1347" s="4" t="s">
        <v>1429</v>
      </c>
      <c r="H1347" s="1">
        <v>11</v>
      </c>
      <c r="I1347" s="1">
        <v>4</v>
      </c>
      <c r="J1347" s="1">
        <v>6</v>
      </c>
      <c r="K1347" s="2">
        <v>1.85</v>
      </c>
    </row>
    <row r="1348" spans="1:12">
      <c r="A1348" s="3" t="s">
        <v>633</v>
      </c>
      <c r="B1348" s="3" t="s">
        <v>883</v>
      </c>
      <c r="C1348" s="3" t="s">
        <v>814</v>
      </c>
      <c r="D1348" s="3"/>
      <c r="E1348" s="2" t="str">
        <f>HYPERLINK("https://old.ukr-mobil.com/steklo_displeya_xiaomi_redmi_note_8t_original_black_10000587", "Перейти")</f>
        <v>Перейти</v>
      </c>
      <c r="F1348" s="2">
        <v>10000587</v>
      </c>
      <c r="G1348" s="4" t="s">
        <v>1430</v>
      </c>
      <c r="H1348" s="1">
        <v>0</v>
      </c>
      <c r="I1348" s="1">
        <v>0</v>
      </c>
      <c r="J1348" s="1">
        <v>0</v>
      </c>
      <c r="K1348" s="2">
        <v>2.0</v>
      </c>
    </row>
    <row r="1349" spans="1:12">
      <c r="A1349" s="3" t="s">
        <v>633</v>
      </c>
      <c r="B1349" s="3" t="s">
        <v>883</v>
      </c>
      <c r="C1349" s="3" t="s">
        <v>814</v>
      </c>
      <c r="D1349" s="3"/>
      <c r="E1349" s="2" t="str">
        <f>HYPERLINK("https://old.ukr-mobil.com/steklo_displeya_xiaomi_redmi_note_9_pro_redmi_note_9s_black_10000967", "Перейти")</f>
        <v>Перейти</v>
      </c>
      <c r="F1349" s="2">
        <v>10000967</v>
      </c>
      <c r="G1349" s="4" t="s">
        <v>1431</v>
      </c>
      <c r="H1349" s="1">
        <v>17</v>
      </c>
      <c r="I1349" s="1">
        <v>10</v>
      </c>
      <c r="J1349" s="1">
        <v>0</v>
      </c>
      <c r="K1349" s="2">
        <v>1.5</v>
      </c>
    </row>
    <row r="1350" spans="1:12">
      <c r="A1350" s="3" t="s">
        <v>633</v>
      </c>
      <c r="B1350" s="3" t="s">
        <v>883</v>
      </c>
      <c r="C1350" s="3" t="s">
        <v>814</v>
      </c>
      <c r="D1350" s="3"/>
      <c r="E1350" s="2" t="str">
        <f>HYPERLINK("https://old.ukr-mobil.com/steklo_displeya_xiaomi_redmi_note_9_pro_redmi_note_9s_s_oca_plenkoj_original_10002850", "Перейти")</f>
        <v>Перейти</v>
      </c>
      <c r="F1350" s="2">
        <v>10002850</v>
      </c>
      <c r="G1350" s="4" t="s">
        <v>1432</v>
      </c>
      <c r="H1350" s="1">
        <v>3</v>
      </c>
      <c r="I1350" s="1">
        <v>0</v>
      </c>
      <c r="J1350" s="1">
        <v>7</v>
      </c>
      <c r="K1350" s="2">
        <v>2.5</v>
      </c>
    </row>
    <row r="1351" spans="1:12">
      <c r="A1351" s="3" t="s">
        <v>633</v>
      </c>
      <c r="B1351" s="3" t="s">
        <v>883</v>
      </c>
      <c r="C1351" s="3" t="s">
        <v>814</v>
      </c>
      <c r="D1351" s="3"/>
      <c r="E1351" s="2" t="str">
        <f>HYPERLINK("https://old.ukr-mobil.com/steklo_displeya_xiaomi_redmi_note_9_black_10000823", "Перейти")</f>
        <v>Перейти</v>
      </c>
      <c r="F1351" s="2">
        <v>10000823</v>
      </c>
      <c r="G1351" s="4" t="s">
        <v>1433</v>
      </c>
      <c r="H1351" s="1">
        <v>0</v>
      </c>
      <c r="I1351" s="1">
        <v>0</v>
      </c>
      <c r="J1351" s="1">
        <v>0</v>
      </c>
      <c r="K1351" s="2">
        <v>1.65</v>
      </c>
    </row>
    <row r="1352" spans="1:12">
      <c r="A1352" s="3" t="s">
        <v>633</v>
      </c>
      <c r="B1352" s="3" t="s">
        <v>883</v>
      </c>
      <c r="C1352" s="3" t="s">
        <v>814</v>
      </c>
      <c r="D1352" s="3"/>
      <c r="E1352" s="2" t="str">
        <f>HYPERLINK("https://old.ukr-mobil.com/steklo_displeya_xiaomi_redmi_note_9_redmi_10x_4g_s_oca_plenkoj_original_10002853", "Перейти")</f>
        <v>Перейти</v>
      </c>
      <c r="F1352" s="2">
        <v>10002853</v>
      </c>
      <c r="G1352" s="4" t="s">
        <v>1434</v>
      </c>
      <c r="H1352" s="1">
        <v>15</v>
      </c>
      <c r="I1352" s="1">
        <v>2</v>
      </c>
      <c r="J1352" s="1">
        <v>11</v>
      </c>
      <c r="K1352" s="2">
        <v>2.5</v>
      </c>
    </row>
    <row r="1353" spans="1:12">
      <c r="A1353" s="3" t="s">
        <v>633</v>
      </c>
      <c r="B1353" s="3" t="s">
        <v>1435</v>
      </c>
      <c r="C1353" s="3" t="s">
        <v>1436</v>
      </c>
      <c r="D1353" s="3"/>
      <c r="E1353" s="2" t="str">
        <f>HYPERLINK("https://old.ukr-mobil.com/komplekt_press_form_dlya_displeya_samsung_g973_galaxy_s10_dlya_presov_tipa_triangel_m103_12259", "Перейти")</f>
        <v>Перейти</v>
      </c>
      <c r="F1353" s="2">
        <v>12259</v>
      </c>
      <c r="G1353" s="4" t="s">
        <v>1437</v>
      </c>
      <c r="H1353" s="1">
        <v>0</v>
      </c>
      <c r="I1353" s="1">
        <v>0</v>
      </c>
      <c r="J1353" s="1">
        <v>0</v>
      </c>
      <c r="K1353" s="2">
        <v>96.0</v>
      </c>
    </row>
    <row r="1354" spans="1:12">
      <c r="A1354" s="3" t="s">
        <v>633</v>
      </c>
      <c r="B1354" s="3" t="s">
        <v>1435</v>
      </c>
      <c r="C1354" s="3" t="s">
        <v>1436</v>
      </c>
      <c r="D1354" s="3"/>
      <c r="E1354" s="2" t="str">
        <f>HYPERLINK("https://old.ukr-mobil.com/komplekt_press_form_dlya_displeya_samsung_g975_galaxy_s10_plus_dlya_presov_tipa_triangel_m103_12261", "Перейти")</f>
        <v>Перейти</v>
      </c>
      <c r="F1354" s="2">
        <v>12261</v>
      </c>
      <c r="G1354" s="4" t="s">
        <v>1438</v>
      </c>
      <c r="H1354" s="1">
        <v>0</v>
      </c>
      <c r="I1354" s="1">
        <v>0</v>
      </c>
      <c r="J1354" s="1">
        <v>0</v>
      </c>
      <c r="K1354" s="2">
        <v>96.0</v>
      </c>
    </row>
    <row r="1355" spans="1:12">
      <c r="A1355" s="3" t="s">
        <v>633</v>
      </c>
      <c r="B1355" s="3" t="s">
        <v>1435</v>
      </c>
      <c r="C1355" s="3" t="s">
        <v>1436</v>
      </c>
      <c r="D1355" s="3"/>
      <c r="E1355" s="2" t="str">
        <f>HYPERLINK("https://old.ukr-mobil.com/komplekt_press_form_dlya_displeya_samsung_g980_galaxy_s20_dlya_presov_tipa_triangel_m103_10001017", "Перейти")</f>
        <v>Перейти</v>
      </c>
      <c r="F1355" s="2">
        <v>10001017</v>
      </c>
      <c r="G1355" s="4" t="s">
        <v>1439</v>
      </c>
      <c r="H1355" s="1">
        <v>0</v>
      </c>
      <c r="I1355" s="1">
        <v>0</v>
      </c>
      <c r="J1355" s="1">
        <v>0</v>
      </c>
      <c r="K1355" s="2">
        <v>130.0</v>
      </c>
    </row>
    <row r="1356" spans="1:12">
      <c r="A1356" s="3" t="s">
        <v>633</v>
      </c>
      <c r="B1356" s="3" t="s">
        <v>1435</v>
      </c>
      <c r="C1356" s="3" t="s">
        <v>1436</v>
      </c>
      <c r="D1356" s="3"/>
      <c r="E1356" s="2" t="str">
        <f>HYPERLINK("https://old.ukr-mobil.com/komplekt_press_form_dlya_displeya_samsung_g985_galaxy_s20_plus_dlya_presov_tipa_triangel_m103_10001018", "Перейти")</f>
        <v>Перейти</v>
      </c>
      <c r="F1356" s="2">
        <v>10001018</v>
      </c>
      <c r="G1356" s="4" t="s">
        <v>1440</v>
      </c>
      <c r="H1356" s="1">
        <v>0</v>
      </c>
      <c r="I1356" s="1">
        <v>0</v>
      </c>
      <c r="J1356" s="1">
        <v>0</v>
      </c>
      <c r="K1356" s="2">
        <v>132.0</v>
      </c>
    </row>
    <row r="1357" spans="1:12">
      <c r="A1357" s="3" t="s">
        <v>633</v>
      </c>
      <c r="B1357" s="3" t="s">
        <v>1435</v>
      </c>
      <c r="C1357" s="3" t="s">
        <v>1436</v>
      </c>
      <c r="D1357" s="3"/>
      <c r="E1357" s="2" t="str">
        <f>HYPERLINK("https://old.ukr-mobil.com/komplekt_press_form_dlya_displeya_samsung_g988_galaxy_s20_ultra_dlya_presov_tipa_triangel_m103_10001016", "Перейти")</f>
        <v>Перейти</v>
      </c>
      <c r="F1357" s="2">
        <v>10001016</v>
      </c>
      <c r="G1357" s="4" t="s">
        <v>1441</v>
      </c>
      <c r="H1357" s="1">
        <v>0</v>
      </c>
      <c r="I1357" s="1">
        <v>0</v>
      </c>
      <c r="J1357" s="1">
        <v>0</v>
      </c>
      <c r="K1357" s="2">
        <v>134.0</v>
      </c>
    </row>
    <row r="1358" spans="1:12">
      <c r="A1358" s="3" t="s">
        <v>633</v>
      </c>
      <c r="B1358" s="3" t="s">
        <v>1435</v>
      </c>
      <c r="C1358" s="3" t="s">
        <v>1436</v>
      </c>
      <c r="D1358" s="3"/>
      <c r="E1358" s="2" t="str">
        <f>HYPERLINK("https://old.ukr-mobil.com/komplekt_press_form_dlya_displeya_samsung_n950_galaxy_note_8_dlya_presov_tipa_triangel_m103_12260", "Перейти")</f>
        <v>Перейти</v>
      </c>
      <c r="F1358" s="2">
        <v>12260</v>
      </c>
      <c r="G1358" s="4" t="s">
        <v>1442</v>
      </c>
      <c r="H1358" s="1">
        <v>2</v>
      </c>
      <c r="I1358" s="1">
        <v>0</v>
      </c>
      <c r="J1358" s="1">
        <v>0</v>
      </c>
      <c r="K1358" s="2">
        <v>22.0</v>
      </c>
    </row>
    <row r="1359" spans="1:12">
      <c r="A1359" s="3" t="s">
        <v>633</v>
      </c>
      <c r="B1359" s="3" t="s">
        <v>1435</v>
      </c>
      <c r="C1359" s="3" t="s">
        <v>1436</v>
      </c>
      <c r="D1359" s="3"/>
      <c r="E1359" s="2" t="str">
        <f>HYPERLINK("https://old.ukr-mobil.com/komplekt_press_form_dlya_displeya_samsung_n960_galaxy_note_9_dlya_presov_tipa_triangel_m103_12258", "Перейти")</f>
        <v>Перейти</v>
      </c>
      <c r="F1359" s="2">
        <v>12258</v>
      </c>
      <c r="G1359" s="4" t="s">
        <v>1443</v>
      </c>
      <c r="H1359" s="1">
        <v>0</v>
      </c>
      <c r="I1359" s="1">
        <v>0</v>
      </c>
      <c r="J1359" s="1">
        <v>0</v>
      </c>
      <c r="K1359" s="2">
        <v>24.0</v>
      </c>
    </row>
    <row r="1360" spans="1:12">
      <c r="A1360" s="3" t="s">
        <v>633</v>
      </c>
      <c r="B1360" s="3" t="s">
        <v>1435</v>
      </c>
      <c r="C1360" s="3" t="s">
        <v>1436</v>
      </c>
      <c r="D1360" s="3"/>
      <c r="E1360" s="2" t="str">
        <f>HYPERLINK("https://old.ukr-mobil.com/komplekt_press_form_dlya_displeya_samsung_n970_galaxy_note_10_dlya_presov_tipa_triangel_m103_10001019", "Перейти")</f>
        <v>Перейти</v>
      </c>
      <c r="F1360" s="2">
        <v>10001019</v>
      </c>
      <c r="G1360" s="4" t="s">
        <v>1444</v>
      </c>
      <c r="H1360" s="1">
        <v>0</v>
      </c>
      <c r="I1360" s="1">
        <v>0</v>
      </c>
      <c r="J1360" s="1">
        <v>0</v>
      </c>
      <c r="K1360" s="2">
        <v>112.0</v>
      </c>
    </row>
    <row r="1361" spans="1:12">
      <c r="A1361" s="3" t="s">
        <v>633</v>
      </c>
      <c r="B1361" s="3" t="s">
        <v>1435</v>
      </c>
      <c r="C1361" s="3" t="s">
        <v>1436</v>
      </c>
      <c r="D1361" s="3"/>
      <c r="E1361" s="2" t="str">
        <f>HYPERLINK("https://old.ukr-mobil.com/komplekt_press_form_dlya_displeya_samsung_n975_galaxy_note_10_plus_dlya_presov_tipa_triangel_m103_10001020", "Перейти")</f>
        <v>Перейти</v>
      </c>
      <c r="F1361" s="2">
        <v>10001020</v>
      </c>
      <c r="G1361" s="4" t="s">
        <v>1445</v>
      </c>
      <c r="H1361" s="1">
        <v>1</v>
      </c>
      <c r="I1361" s="1">
        <v>0</v>
      </c>
      <c r="J1361" s="1">
        <v>0</v>
      </c>
      <c r="K1361" s="2">
        <v>58.0</v>
      </c>
    </row>
    <row r="1362" spans="1:12">
      <c r="A1362" s="3" t="s">
        <v>633</v>
      </c>
      <c r="B1362" s="3" t="s">
        <v>1435</v>
      </c>
      <c r="C1362" s="3" t="s">
        <v>1446</v>
      </c>
      <c r="D1362" s="3"/>
      <c r="E1362" s="2" t="str">
        <f>HYPERLINK("https://old.ukr-mobil.com/komplekt_pres_form_dlya_laminacii_oca_dlya_laminacii_v_vakuumnyh_mashinah_samsung_galaxy_s8_g950_alyuminievo-silikonovyj_9552", "Перейти")</f>
        <v>Перейти</v>
      </c>
      <c r="F1362" s="2">
        <v>9552</v>
      </c>
      <c r="G1362" s="4" t="s">
        <v>1447</v>
      </c>
      <c r="H1362" s="1">
        <v>0</v>
      </c>
      <c r="I1362" s="1">
        <v>0</v>
      </c>
      <c r="J1362" s="1">
        <v>0</v>
      </c>
      <c r="K1362" s="2">
        <v>33.26</v>
      </c>
    </row>
    <row r="1363" spans="1:12">
      <c r="A1363" s="3" t="s">
        <v>633</v>
      </c>
      <c r="B1363" s="3" t="s">
        <v>1435</v>
      </c>
      <c r="C1363" s="3" t="s">
        <v>1446</v>
      </c>
      <c r="D1363" s="3"/>
      <c r="E1363" s="2" t="str">
        <f>HYPERLINK("https://old.ukr-mobil.com/pozicionnaya_forma_displejnogo_modulya_pri_sklejke_iphone_5_5s_5c_se_alyuminievyj_4309", "Перейти")</f>
        <v>Перейти</v>
      </c>
      <c r="F1363" s="2">
        <v>4309</v>
      </c>
      <c r="G1363" s="4" t="s">
        <v>1448</v>
      </c>
      <c r="H1363" s="1">
        <v>3</v>
      </c>
      <c r="I1363" s="1">
        <v>0</v>
      </c>
      <c r="J1363" s="1">
        <v>0</v>
      </c>
      <c r="K1363" s="2">
        <v>8.06</v>
      </c>
    </row>
    <row r="1364" spans="1:12">
      <c r="A1364" s="3" t="s">
        <v>633</v>
      </c>
      <c r="B1364" s="3" t="s">
        <v>1435</v>
      </c>
      <c r="C1364" s="3" t="s">
        <v>1446</v>
      </c>
      <c r="D1364" s="3"/>
      <c r="E1364" s="2" t="str">
        <f>HYPERLINK("https://old.ukr-mobil.com/pozicionnaya_forma_displeya_iphone_7_plus_8469", "Перейти")</f>
        <v>Перейти</v>
      </c>
      <c r="F1364" s="2">
        <v>8469</v>
      </c>
      <c r="G1364" s="4" t="s">
        <v>1449</v>
      </c>
      <c r="H1364" s="1">
        <v>2</v>
      </c>
      <c r="I1364" s="1">
        <v>0</v>
      </c>
      <c r="J1364" s="1">
        <v>0</v>
      </c>
      <c r="K1364" s="2">
        <v>8.06</v>
      </c>
    </row>
    <row r="1365" spans="1:12">
      <c r="A1365" s="3" t="s">
        <v>633</v>
      </c>
      <c r="B1365" s="3" t="s">
        <v>1435</v>
      </c>
      <c r="C1365" s="3" t="s">
        <v>1446</v>
      </c>
      <c r="D1365" s="3"/>
      <c r="E1365" s="2" t="str">
        <f>HYPERLINK("https://old.ukr-mobil.com/pozicionnaya_forma_displeya_iphone_x_xs_alyuminievaya_12274", "Перейти")</f>
        <v>Перейти</v>
      </c>
      <c r="F1365" s="2">
        <v>12274</v>
      </c>
      <c r="G1365" s="4" t="s">
        <v>1450</v>
      </c>
      <c r="H1365" s="1">
        <v>0</v>
      </c>
      <c r="I1365" s="1">
        <v>0</v>
      </c>
      <c r="J1365" s="1">
        <v>0</v>
      </c>
      <c r="K1365" s="2">
        <v>6.05</v>
      </c>
    </row>
    <row r="1366" spans="1:12">
      <c r="A1366" s="3" t="s">
        <v>633</v>
      </c>
      <c r="B1366" s="3" t="s">
        <v>1435</v>
      </c>
      <c r="C1366" s="3" t="s">
        <v>1446</v>
      </c>
      <c r="D1366" s="3"/>
      <c r="E1366" s="2" t="str">
        <f>HYPERLINK("https://old.ukr-mobil.com/pozicionnaya_forma_displeya_iphone_xs_max_alyuminievaya_12275", "Перейти")</f>
        <v>Перейти</v>
      </c>
      <c r="F1366" s="2">
        <v>12275</v>
      </c>
      <c r="G1366" s="4" t="s">
        <v>1451</v>
      </c>
      <c r="H1366" s="1">
        <v>0</v>
      </c>
      <c r="I1366" s="1">
        <v>0</v>
      </c>
      <c r="J1366" s="1">
        <v>0</v>
      </c>
      <c r="K1366" s="2">
        <v>8.06</v>
      </c>
    </row>
    <row r="1367" spans="1:12">
      <c r="A1367" s="3" t="s">
        <v>633</v>
      </c>
      <c r="B1367" s="3" t="s">
        <v>1435</v>
      </c>
      <c r="C1367" s="3" t="s">
        <v>1446</v>
      </c>
      <c r="D1367" s="3"/>
      <c r="E1367" s="2" t="str">
        <f>HYPERLINK("https://old.ukr-mobil.com/pozicionnaya_forma_displeya_samsung_a205_galaxy_a20_2019_alyuminievaya_12270", "Перейти")</f>
        <v>Перейти</v>
      </c>
      <c r="F1367" s="2">
        <v>12270</v>
      </c>
      <c r="G1367" s="4" t="s">
        <v>1452</v>
      </c>
      <c r="H1367" s="1">
        <v>0</v>
      </c>
      <c r="I1367" s="1">
        <v>0</v>
      </c>
      <c r="J1367" s="1">
        <v>0</v>
      </c>
      <c r="K1367" s="2">
        <v>6.05</v>
      </c>
    </row>
    <row r="1368" spans="1:12">
      <c r="A1368" s="3" t="s">
        <v>633</v>
      </c>
      <c r="B1368" s="3" t="s">
        <v>1435</v>
      </c>
      <c r="C1368" s="3" t="s">
        <v>1446</v>
      </c>
      <c r="D1368" s="3"/>
      <c r="E1368" s="2" t="str">
        <f>HYPERLINK("https://old.ukr-mobil.com/pozicionnaya_forma_displeya_samsung_a305_galaxy_a30_2019_alyuminievaya_12271", "Перейти")</f>
        <v>Перейти</v>
      </c>
      <c r="F1368" s="2">
        <v>12271</v>
      </c>
      <c r="G1368" s="4" t="s">
        <v>1453</v>
      </c>
      <c r="H1368" s="1">
        <v>0</v>
      </c>
      <c r="I1368" s="1">
        <v>0</v>
      </c>
      <c r="J1368" s="1">
        <v>0</v>
      </c>
      <c r="K1368" s="2">
        <v>6.05</v>
      </c>
    </row>
    <row r="1369" spans="1:12">
      <c r="A1369" s="3" t="s">
        <v>633</v>
      </c>
      <c r="B1369" s="3" t="s">
        <v>1435</v>
      </c>
      <c r="C1369" s="3" t="s">
        <v>1446</v>
      </c>
      <c r="D1369" s="3"/>
      <c r="E1369" s="2" t="str">
        <f>HYPERLINK("https://old.ukr-mobil.com/pozicionnaya_forma_displeya_samsung_a405_galaxy_a40_2019_alyuminievaya_12272", "Перейти")</f>
        <v>Перейти</v>
      </c>
      <c r="F1369" s="2">
        <v>12272</v>
      </c>
      <c r="G1369" s="4" t="s">
        <v>1454</v>
      </c>
      <c r="H1369" s="1">
        <v>0</v>
      </c>
      <c r="I1369" s="1">
        <v>0</v>
      </c>
      <c r="J1369" s="1">
        <v>0</v>
      </c>
      <c r="K1369" s="2">
        <v>6.05</v>
      </c>
    </row>
    <row r="1370" spans="1:12">
      <c r="A1370" s="3" t="s">
        <v>633</v>
      </c>
      <c r="B1370" s="3" t="s">
        <v>1435</v>
      </c>
      <c r="C1370" s="3" t="s">
        <v>1446</v>
      </c>
      <c r="D1370" s="3"/>
      <c r="E1370" s="2" t="str">
        <f>HYPERLINK("https://old.ukr-mobil.com/pozicionnaya_forma_displeya_samsung_a505_galaxy_a50_2019_alyuminievaya_12273", "Перейти")</f>
        <v>Перейти</v>
      </c>
      <c r="F1370" s="2">
        <v>12273</v>
      </c>
      <c r="G1370" s="4" t="s">
        <v>1455</v>
      </c>
      <c r="H1370" s="1">
        <v>0</v>
      </c>
      <c r="I1370" s="1">
        <v>0</v>
      </c>
      <c r="J1370" s="1">
        <v>0</v>
      </c>
      <c r="K1370" s="2">
        <v>6.05</v>
      </c>
    </row>
    <row r="1371" spans="1:12">
      <c r="A1371" s="3" t="s">
        <v>633</v>
      </c>
      <c r="B1371" s="3" t="s">
        <v>1435</v>
      </c>
      <c r="C1371" s="3" t="s">
        <v>1446</v>
      </c>
      <c r="D1371" s="3"/>
      <c r="E1371" s="2" t="str">
        <f>HYPERLINK("https://old.ukr-mobil.com/pozicionnaya_forma_displeya_samsung_galaxy_s6_edge_g925_alyuminievyj_7694", "Перейти")</f>
        <v>Перейти</v>
      </c>
      <c r="F1371" s="2">
        <v>7694</v>
      </c>
      <c r="G1371" s="4" t="s">
        <v>1456</v>
      </c>
      <c r="H1371" s="1">
        <v>7</v>
      </c>
      <c r="I1371" s="1">
        <v>0</v>
      </c>
      <c r="J1371" s="1">
        <v>0</v>
      </c>
      <c r="K1371" s="2">
        <v>19.15</v>
      </c>
    </row>
    <row r="1372" spans="1:12">
      <c r="A1372" s="3" t="s">
        <v>633</v>
      </c>
      <c r="B1372" s="3" t="s">
        <v>1435</v>
      </c>
      <c r="C1372" s="3" t="s">
        <v>1446</v>
      </c>
      <c r="D1372" s="3"/>
      <c r="E1372" s="2" t="str">
        <f>HYPERLINK("https://old.ukr-mobil.com/pozicionnaya_forma_displeya_samsung_galaxy_s7_edge_g935_alyuminievyj_7693", "Перейти")</f>
        <v>Перейти</v>
      </c>
      <c r="F1372" s="2">
        <v>7693</v>
      </c>
      <c r="G1372" s="4" t="s">
        <v>1457</v>
      </c>
      <c r="H1372" s="1">
        <v>8</v>
      </c>
      <c r="I1372" s="1">
        <v>0</v>
      </c>
      <c r="J1372" s="1">
        <v>0</v>
      </c>
      <c r="K1372" s="2">
        <v>19.15</v>
      </c>
    </row>
    <row r="1373" spans="1:12">
      <c r="A1373" s="3" t="s">
        <v>633</v>
      </c>
      <c r="B1373" s="3" t="s">
        <v>1435</v>
      </c>
      <c r="C1373" s="3" t="s">
        <v>1446</v>
      </c>
      <c r="D1373" s="3"/>
      <c r="E1373" s="2" t="str">
        <f>HYPERLINK("https://old.ukr-mobil.com/pozicionnaya_forma_displeya_pri_sklejke_c_steklom_ramkoj_iphone_5_5s_dlya_vakuumnyh_mashin_9542", "Перейти")</f>
        <v>Перейти</v>
      </c>
      <c r="F1373" s="2">
        <v>9542</v>
      </c>
      <c r="G1373" s="4" t="s">
        <v>1458</v>
      </c>
      <c r="H1373" s="1">
        <v>0</v>
      </c>
      <c r="I1373" s="1">
        <v>0</v>
      </c>
      <c r="J1373" s="1">
        <v>0</v>
      </c>
      <c r="K1373" s="2">
        <v>22.18</v>
      </c>
    </row>
    <row r="1374" spans="1:12">
      <c r="A1374" s="3" t="s">
        <v>633</v>
      </c>
      <c r="B1374" s="3" t="s">
        <v>1435</v>
      </c>
      <c r="C1374" s="3" t="s">
        <v>1446</v>
      </c>
      <c r="D1374" s="3"/>
      <c r="E1374" s="2" t="str">
        <f>HYPERLINK("https://old.ukr-mobil.com/pozicionnaya_forma_displeya_pri_sklejke_c_steklom_ramkoj_iphone_6_plus_6s_plus_dlya_vakuumnyh_mashin_10000397", "Перейти")</f>
        <v>Перейти</v>
      </c>
      <c r="F1374" s="2">
        <v>10000397</v>
      </c>
      <c r="G1374" s="4" t="s">
        <v>1459</v>
      </c>
      <c r="H1374" s="1">
        <v>1</v>
      </c>
      <c r="I1374" s="1">
        <v>0</v>
      </c>
      <c r="J1374" s="1">
        <v>0</v>
      </c>
      <c r="K1374" s="2">
        <v>22.18</v>
      </c>
    </row>
    <row r="1375" spans="1:12">
      <c r="A1375" s="3" t="s">
        <v>633</v>
      </c>
      <c r="B1375" s="3" t="s">
        <v>1435</v>
      </c>
      <c r="C1375" s="3" t="s">
        <v>1446</v>
      </c>
      <c r="D1375" s="3"/>
      <c r="E1375" s="2" t="str">
        <f>HYPERLINK("https://old.ukr-mobil.com/pozicionnaya_forma_displeya_pri_sklejke_c_steklom_ramkoj_iphone_6_6s_dlya_vakuumnyh_mashin_9544", "Перейти")</f>
        <v>Перейти</v>
      </c>
      <c r="F1375" s="2">
        <v>9544</v>
      </c>
      <c r="G1375" s="4" t="s">
        <v>1460</v>
      </c>
      <c r="H1375" s="1">
        <v>0</v>
      </c>
      <c r="I1375" s="1">
        <v>0</v>
      </c>
      <c r="J1375" s="1">
        <v>0</v>
      </c>
      <c r="K1375" s="2">
        <v>22.18</v>
      </c>
    </row>
    <row r="1376" spans="1:12">
      <c r="A1376" s="3" t="s">
        <v>633</v>
      </c>
      <c r="B1376" s="3" t="s">
        <v>1435</v>
      </c>
      <c r="C1376" s="3" t="s">
        <v>1446</v>
      </c>
      <c r="D1376" s="3"/>
      <c r="E1376" s="2" t="str">
        <f>HYPERLINK("https://old.ukr-mobil.com/pozicionnaya_forma_displeya_pri_sklejke_c_steklom_ramkoj_iphone_7_dlya_vakuumnyh_mashin_9548", "Перейти")</f>
        <v>Перейти</v>
      </c>
      <c r="F1376" s="2">
        <v>9548</v>
      </c>
      <c r="G1376" s="4" t="s">
        <v>1461</v>
      </c>
      <c r="H1376" s="1">
        <v>0</v>
      </c>
      <c r="I1376" s="1">
        <v>0</v>
      </c>
      <c r="J1376" s="1">
        <v>0</v>
      </c>
      <c r="K1376" s="2">
        <v>22.18</v>
      </c>
    </row>
    <row r="1377" spans="1:12">
      <c r="A1377" s="3" t="s">
        <v>633</v>
      </c>
      <c r="B1377" s="3" t="s">
        <v>1435</v>
      </c>
      <c r="C1377" s="3" t="s">
        <v>1446</v>
      </c>
      <c r="D1377" s="3"/>
      <c r="E1377" s="2" t="str">
        <f>HYPERLINK("https://old.ukr-mobil.com/pozicionnaya_forma_displeya_pri_sklejke_c_steklom_ramkoj_iphone_7_plus_dlya_vakuumnyh_mashin_9549", "Перейти")</f>
        <v>Перейти</v>
      </c>
      <c r="F1377" s="2">
        <v>9549</v>
      </c>
      <c r="G1377" s="4" t="s">
        <v>1462</v>
      </c>
      <c r="H1377" s="1">
        <v>0</v>
      </c>
      <c r="I1377" s="1">
        <v>0</v>
      </c>
      <c r="J1377" s="1">
        <v>0</v>
      </c>
      <c r="K1377" s="2">
        <v>22.18</v>
      </c>
    </row>
    <row r="1378" spans="1:12">
      <c r="A1378" s="3" t="s">
        <v>633</v>
      </c>
      <c r="B1378" s="3" t="s">
        <v>1435</v>
      </c>
      <c r="C1378" s="3" t="s">
        <v>1446</v>
      </c>
      <c r="D1378" s="3"/>
      <c r="E1378" s="2" t="str">
        <f>HYPERLINK("https://old.ukr-mobil.com/pozicionnaya_forma_displeya_pri_sklejke_c_steklom_ramkoj_iphone_8_dlya_vakuumnyh_mashin_9550", "Перейти")</f>
        <v>Перейти</v>
      </c>
      <c r="F1378" s="2">
        <v>9550</v>
      </c>
      <c r="G1378" s="4" t="s">
        <v>1463</v>
      </c>
      <c r="H1378" s="1">
        <v>0</v>
      </c>
      <c r="I1378" s="1">
        <v>0</v>
      </c>
      <c r="J1378" s="1">
        <v>0</v>
      </c>
      <c r="K1378" s="2">
        <v>11.09</v>
      </c>
    </row>
    <row r="1379" spans="1:12">
      <c r="A1379" s="3" t="s">
        <v>633</v>
      </c>
      <c r="B1379" s="3" t="s">
        <v>1435</v>
      </c>
      <c r="C1379" s="3" t="s">
        <v>1446</v>
      </c>
      <c r="D1379" s="3"/>
      <c r="E1379" s="2" t="str">
        <f>HYPERLINK("https://old.ukr-mobil.com/pozicionnaya_forma_displeya_pri_sklejke_c_steklom_ramkoj_iphone_8_plus_dlya_vakuumnyh_mashin_9551", "Перейти")</f>
        <v>Перейти</v>
      </c>
      <c r="F1379" s="2">
        <v>9551</v>
      </c>
      <c r="G1379" s="4" t="s">
        <v>1464</v>
      </c>
      <c r="H1379" s="1">
        <v>3</v>
      </c>
      <c r="I1379" s="1">
        <v>0</v>
      </c>
      <c r="J1379" s="1">
        <v>0</v>
      </c>
      <c r="K1379" s="2">
        <v>13.1</v>
      </c>
    </row>
    <row r="1380" spans="1:12">
      <c r="A1380" s="3" t="s">
        <v>633</v>
      </c>
      <c r="B1380" s="3" t="s">
        <v>1435</v>
      </c>
      <c r="C1380" s="3" t="s">
        <v>1446</v>
      </c>
      <c r="D1380" s="3"/>
      <c r="E1380" s="2" t="str">
        <f>HYPERLINK("https://old.ukr-mobil.com/pozicionnaya_forma_displeya_pri_sklejke_iphone_6_5745", "Перейти")</f>
        <v>Перейти</v>
      </c>
      <c r="F1380" s="2">
        <v>5745</v>
      </c>
      <c r="G1380" s="4" t="s">
        <v>1465</v>
      </c>
      <c r="H1380" s="1">
        <v>0</v>
      </c>
      <c r="I1380" s="1">
        <v>0</v>
      </c>
      <c r="J1380" s="1">
        <v>0</v>
      </c>
      <c r="K1380" s="2">
        <v>7.56</v>
      </c>
    </row>
    <row r="1381" spans="1:12">
      <c r="A1381" s="3" t="s">
        <v>633</v>
      </c>
      <c r="B1381" s="3" t="s">
        <v>1435</v>
      </c>
      <c r="C1381" s="3" t="s">
        <v>1446</v>
      </c>
      <c r="D1381" s="3"/>
      <c r="E1381" s="2" t="str">
        <f>HYPERLINK("https://old.ukr-mobil.com/pozicionnaya_forma_displeya_pri_sklejke_iphone_6_plus_5746", "Перейти")</f>
        <v>Перейти</v>
      </c>
      <c r="F1381" s="2">
        <v>5746</v>
      </c>
      <c r="G1381" s="4" t="s">
        <v>1466</v>
      </c>
      <c r="H1381" s="1">
        <v>1</v>
      </c>
      <c r="I1381" s="1">
        <v>0</v>
      </c>
      <c r="J1381" s="1">
        <v>0</v>
      </c>
      <c r="K1381" s="2">
        <v>5.04</v>
      </c>
    </row>
    <row r="1382" spans="1:12">
      <c r="A1382" s="3" t="s">
        <v>633</v>
      </c>
      <c r="B1382" s="3" t="s">
        <v>1435</v>
      </c>
      <c r="C1382" s="3" t="s">
        <v>1446</v>
      </c>
      <c r="D1382" s="3"/>
      <c r="E1382" s="2" t="str">
        <f>HYPERLINK("https://old.ukr-mobil.com/pozicionnaya_forma_displeya_pri_sklejke_iphone_6s_alyuminievyj_6822", "Перейти")</f>
        <v>Перейти</v>
      </c>
      <c r="F1382" s="2">
        <v>6822</v>
      </c>
      <c r="G1382" s="4" t="s">
        <v>1467</v>
      </c>
      <c r="H1382" s="1">
        <v>0</v>
      </c>
      <c r="I1382" s="1">
        <v>0</v>
      </c>
      <c r="J1382" s="1">
        <v>0</v>
      </c>
      <c r="K1382" s="2">
        <v>8.06</v>
      </c>
    </row>
    <row r="1383" spans="1:12">
      <c r="A1383" s="3" t="s">
        <v>633</v>
      </c>
      <c r="B1383" s="3" t="s">
        <v>1435</v>
      </c>
      <c r="C1383" s="3" t="s">
        <v>1446</v>
      </c>
      <c r="D1383" s="3"/>
      <c r="E1383" s="2" t="str">
        <f>HYPERLINK("https://old.ukr-mobil.com/pozicionnaya_forma_displeya_pri_sklejke_iphone_6s_plus_alyuminievyj_6823", "Перейти")</f>
        <v>Перейти</v>
      </c>
      <c r="F1383" s="2">
        <v>6823</v>
      </c>
      <c r="G1383" s="4" t="s">
        <v>1468</v>
      </c>
      <c r="H1383" s="1">
        <v>5</v>
      </c>
      <c r="I1383" s="1">
        <v>0</v>
      </c>
      <c r="J1383" s="1">
        <v>0</v>
      </c>
      <c r="K1383" s="2">
        <v>8.06</v>
      </c>
    </row>
    <row r="1384" spans="1:12">
      <c r="A1384" s="3" t="s">
        <v>633</v>
      </c>
      <c r="B1384" s="3" t="s">
        <v>1435</v>
      </c>
      <c r="C1384" s="3" t="s">
        <v>1446</v>
      </c>
      <c r="D1384" s="3"/>
      <c r="E1384" s="2" t="str">
        <f>HYPERLINK("https://old.ukr-mobil.com/pozicionnaya_forma_displeya_pri_sklejke_samsung_galaxy_a3_a300_alyuminievyj_7396", "Перейти")</f>
        <v>Перейти</v>
      </c>
      <c r="F1384" s="2">
        <v>7396</v>
      </c>
      <c r="G1384" s="4" t="s">
        <v>1469</v>
      </c>
      <c r="H1384" s="1">
        <v>0</v>
      </c>
      <c r="I1384" s="1">
        <v>0</v>
      </c>
      <c r="J1384" s="1">
        <v>0</v>
      </c>
      <c r="K1384" s="2">
        <v>10.08</v>
      </c>
    </row>
    <row r="1385" spans="1:12">
      <c r="A1385" s="3" t="s">
        <v>633</v>
      </c>
      <c r="B1385" s="3" t="s">
        <v>1435</v>
      </c>
      <c r="C1385" s="3" t="s">
        <v>1446</v>
      </c>
      <c r="D1385" s="3"/>
      <c r="E1385" s="2" t="str">
        <f>HYPERLINK("https://old.ukr-mobil.com/pozicionnaya_forma_displeya_pri_sklejke_samsung_galaxy_a5_a500_alyuminievyj_7397", "Перейти")</f>
        <v>Перейти</v>
      </c>
      <c r="F1385" s="2">
        <v>7397</v>
      </c>
      <c r="G1385" s="4" t="s">
        <v>1470</v>
      </c>
      <c r="H1385" s="1">
        <v>1</v>
      </c>
      <c r="I1385" s="1">
        <v>0</v>
      </c>
      <c r="J1385" s="1">
        <v>0</v>
      </c>
      <c r="K1385" s="2">
        <v>10.08</v>
      </c>
    </row>
    <row r="1386" spans="1:12">
      <c r="A1386" s="3" t="s">
        <v>633</v>
      </c>
      <c r="B1386" s="3" t="s">
        <v>1435</v>
      </c>
      <c r="C1386" s="3" t="s">
        <v>1446</v>
      </c>
      <c r="D1386" s="3"/>
      <c r="E1386" s="2" t="str">
        <f>HYPERLINK("https://old.ukr-mobil.com/pozicionnaya_forma_displeya_pri_sklejke_samsung_galaxy_a7_a700_alyuminievyj_7398", "Перейти")</f>
        <v>Перейти</v>
      </c>
      <c r="F1386" s="2">
        <v>7398</v>
      </c>
      <c r="G1386" s="4" t="s">
        <v>1471</v>
      </c>
      <c r="H1386" s="1">
        <v>1</v>
      </c>
      <c r="I1386" s="1">
        <v>0</v>
      </c>
      <c r="J1386" s="1">
        <v>0</v>
      </c>
      <c r="K1386" s="2">
        <v>11.09</v>
      </c>
    </row>
    <row r="1387" spans="1:12">
      <c r="A1387" s="3" t="s">
        <v>633</v>
      </c>
      <c r="B1387" s="3" t="s">
        <v>1435</v>
      </c>
      <c r="C1387" s="3" t="s">
        <v>1446</v>
      </c>
      <c r="D1387" s="3"/>
      <c r="E1387" s="2" t="str">
        <f>HYPERLINK("https://old.ukr-mobil.com/pozicionnaya_forma_displeya_pri_sklejke_samsung_galaxy_j2_j200_alyuminievyj_7399", "Перейти")</f>
        <v>Перейти</v>
      </c>
      <c r="F1387" s="2">
        <v>7399</v>
      </c>
      <c r="G1387" s="4" t="s">
        <v>1472</v>
      </c>
      <c r="H1387" s="1">
        <v>1</v>
      </c>
      <c r="I1387" s="1">
        <v>0</v>
      </c>
      <c r="J1387" s="1">
        <v>0</v>
      </c>
      <c r="K1387" s="2">
        <v>11.59</v>
      </c>
    </row>
    <row r="1388" spans="1:12">
      <c r="A1388" s="3" t="s">
        <v>633</v>
      </c>
      <c r="B1388" s="3" t="s">
        <v>1435</v>
      </c>
      <c r="C1388" s="3" t="s">
        <v>1446</v>
      </c>
      <c r="D1388" s="3"/>
      <c r="E1388" s="2" t="str">
        <f>HYPERLINK("https://old.ukr-mobil.com/pozicionnaya_forma_displeya_pri_sklejke_samsung_galaxy_s3_i9300_4311", "Перейти")</f>
        <v>Перейти</v>
      </c>
      <c r="F1388" s="2">
        <v>4311</v>
      </c>
      <c r="G1388" s="4" t="s">
        <v>1473</v>
      </c>
      <c r="H1388" s="1">
        <v>4</v>
      </c>
      <c r="I1388" s="1">
        <v>0</v>
      </c>
      <c r="J1388" s="1">
        <v>0</v>
      </c>
      <c r="K1388" s="2">
        <v>4.03</v>
      </c>
    </row>
    <row r="1389" spans="1:12">
      <c r="A1389" s="3" t="s">
        <v>633</v>
      </c>
      <c r="B1389" s="3" t="s">
        <v>1435</v>
      </c>
      <c r="C1389" s="3" t="s">
        <v>1446</v>
      </c>
      <c r="D1389" s="3"/>
      <c r="E1389" s="2" t="str">
        <f>HYPERLINK("https://old.ukr-mobil.com/pozicionnaya_forma_displeya_pri_sklejke_samsung_galaxy_s3_i9300_alyuminievyj_6826", "Перейти")</f>
        <v>Перейти</v>
      </c>
      <c r="F1389" s="2">
        <v>6826</v>
      </c>
      <c r="G1389" s="4" t="s">
        <v>1474</v>
      </c>
      <c r="H1389" s="1">
        <v>5</v>
      </c>
      <c r="I1389" s="1">
        <v>0</v>
      </c>
      <c r="J1389" s="1">
        <v>0</v>
      </c>
      <c r="K1389" s="2">
        <v>8.06</v>
      </c>
    </row>
    <row r="1390" spans="1:12">
      <c r="A1390" s="3" t="s">
        <v>633</v>
      </c>
      <c r="B1390" s="3" t="s">
        <v>1435</v>
      </c>
      <c r="C1390" s="3" t="s">
        <v>1446</v>
      </c>
      <c r="D1390" s="3"/>
      <c r="E1390" s="2" t="str">
        <f>HYPERLINK("https://old.ukr-mobil.com/pozicionnaya_forma_displeya_pri_sklejke_samsung_galaxy_s4_i9500_alyuminievyj_4312", "Перейти")</f>
        <v>Перейти</v>
      </c>
      <c r="F1390" s="2">
        <v>4312</v>
      </c>
      <c r="G1390" s="4" t="s">
        <v>1475</v>
      </c>
      <c r="H1390" s="1">
        <v>5</v>
      </c>
      <c r="I1390" s="1">
        <v>0</v>
      </c>
      <c r="J1390" s="1">
        <v>0</v>
      </c>
      <c r="K1390" s="2">
        <v>8.06</v>
      </c>
    </row>
    <row r="1391" spans="1:12">
      <c r="A1391" s="3" t="s">
        <v>633</v>
      </c>
      <c r="B1391" s="3" t="s">
        <v>1435</v>
      </c>
      <c r="C1391" s="3" t="s">
        <v>1446</v>
      </c>
      <c r="D1391" s="3"/>
      <c r="E1391" s="2" t="str">
        <f>HYPERLINK("https://old.ukr-mobil.com/pozicionnaya_forma_displeya_pri_sklejke_samsung_galaxy_s6_g920_alyuminievyj_7685", "Перейти")</f>
        <v>Перейти</v>
      </c>
      <c r="F1391" s="2">
        <v>7685</v>
      </c>
      <c r="G1391" s="4" t="s">
        <v>1476</v>
      </c>
      <c r="H1391" s="1">
        <v>1</v>
      </c>
      <c r="I1391" s="1">
        <v>0</v>
      </c>
      <c r="J1391" s="1">
        <v>0</v>
      </c>
      <c r="K1391" s="2">
        <v>11.09</v>
      </c>
    </row>
    <row r="1392" spans="1:12">
      <c r="A1392" s="3" t="s">
        <v>633</v>
      </c>
      <c r="B1392" s="3" t="s">
        <v>1435</v>
      </c>
      <c r="C1392" s="3" t="s">
        <v>1446</v>
      </c>
      <c r="D1392" s="3"/>
      <c r="E1392" s="2" t="str">
        <f>HYPERLINK("https://old.ukr-mobil.com/pozicionnaya_forma_displeya_pri_sklejke_samsung_galaxy_s7_g930_alyuminievyj_7687", "Перейти")</f>
        <v>Перейти</v>
      </c>
      <c r="F1392" s="2">
        <v>7687</v>
      </c>
      <c r="G1392" s="4" t="s">
        <v>1477</v>
      </c>
      <c r="H1392" s="1">
        <v>0</v>
      </c>
      <c r="I1392" s="1">
        <v>0</v>
      </c>
      <c r="J1392" s="1">
        <v>0</v>
      </c>
      <c r="K1392" s="2">
        <v>11.09</v>
      </c>
    </row>
    <row r="1393" spans="1:12">
      <c r="A1393" s="3" t="s">
        <v>633</v>
      </c>
      <c r="B1393" s="3" t="s">
        <v>1435</v>
      </c>
      <c r="C1393" s="3" t="s">
        <v>1446</v>
      </c>
      <c r="D1393" s="3"/>
      <c r="E1393" s="2" t="str">
        <f>HYPERLINK("https://old.ukr-mobil.com/pozicionnaya_forma_displeya_pri_sklejke_samsung_i8190_4443", "Перейти")</f>
        <v>Перейти</v>
      </c>
      <c r="F1393" s="2">
        <v>4443</v>
      </c>
      <c r="G1393" s="4" t="s">
        <v>1478</v>
      </c>
      <c r="H1393" s="1">
        <v>2</v>
      </c>
      <c r="I1393" s="1">
        <v>0</v>
      </c>
      <c r="J1393" s="1">
        <v>0</v>
      </c>
      <c r="K1393" s="2">
        <v>4.03</v>
      </c>
    </row>
    <row r="1394" spans="1:12">
      <c r="A1394" s="3" t="s">
        <v>633</v>
      </c>
      <c r="B1394" s="3" t="s">
        <v>1435</v>
      </c>
      <c r="C1394" s="3" t="s">
        <v>1446</v>
      </c>
      <c r="D1394" s="3"/>
      <c r="E1394" s="2" t="str">
        <f>HYPERLINK("https://old.ukr-mobil.com/pozicionnaya_forma_displeya_pri_sklejke_samsung_i9100_4310", "Перейти")</f>
        <v>Перейти</v>
      </c>
      <c r="F1394" s="2">
        <v>4310</v>
      </c>
      <c r="G1394" s="4" t="s">
        <v>1479</v>
      </c>
      <c r="H1394" s="1">
        <v>11</v>
      </c>
      <c r="I1394" s="1">
        <v>0</v>
      </c>
      <c r="J1394" s="1">
        <v>0</v>
      </c>
      <c r="K1394" s="2">
        <v>4.03</v>
      </c>
    </row>
    <row r="1395" spans="1:12">
      <c r="A1395" s="3" t="s">
        <v>633</v>
      </c>
      <c r="B1395" s="3" t="s">
        <v>1435</v>
      </c>
      <c r="C1395" s="3" t="s">
        <v>1446</v>
      </c>
      <c r="D1395" s="3"/>
      <c r="E1395" s="2" t="str">
        <f>HYPERLINK("https://old.ukr-mobil.com/pozicionnaya_forma_displeya_pri_sklejke_samsung_n7000_4441", "Перейти")</f>
        <v>Перейти</v>
      </c>
      <c r="F1395" s="2">
        <v>4441</v>
      </c>
      <c r="G1395" s="4" t="s">
        <v>1480</v>
      </c>
      <c r="H1395" s="1">
        <v>2</v>
      </c>
      <c r="I1395" s="1">
        <v>0</v>
      </c>
      <c r="J1395" s="1">
        <v>0</v>
      </c>
      <c r="K1395" s="2">
        <v>4.03</v>
      </c>
    </row>
    <row r="1396" spans="1:12">
      <c r="A1396" s="3" t="s">
        <v>633</v>
      </c>
      <c r="B1396" s="3" t="s">
        <v>1435</v>
      </c>
      <c r="C1396" s="3" t="s">
        <v>1446</v>
      </c>
      <c r="D1396" s="3"/>
      <c r="E1396" s="2" t="str">
        <f>HYPERLINK("https://old.ukr-mobil.com/pozicionnaya_forma_displeya_pri_sklejke_sony_xperia_z1_c6902_alyuminievyj_7689", "Перейти")</f>
        <v>Перейти</v>
      </c>
      <c r="F1396" s="2">
        <v>7689</v>
      </c>
      <c r="G1396" s="4" t="s">
        <v>1481</v>
      </c>
      <c r="H1396" s="1">
        <v>3</v>
      </c>
      <c r="I1396" s="1">
        <v>0</v>
      </c>
      <c r="J1396" s="1">
        <v>0</v>
      </c>
      <c r="K1396" s="2">
        <v>8.57</v>
      </c>
    </row>
    <row r="1397" spans="1:12">
      <c r="A1397" s="3" t="s">
        <v>633</v>
      </c>
      <c r="B1397" s="3" t="s">
        <v>1435</v>
      </c>
      <c r="C1397" s="3" t="s">
        <v>1446</v>
      </c>
      <c r="D1397" s="3"/>
      <c r="E1397" s="2" t="str">
        <f>HYPERLINK("https://old.ukr-mobil.com/pozicionnaya_forma_displeya_pri_sklejke_sony_xperia_z2_d6502_alyuminievyj_7690", "Перейти")</f>
        <v>Перейти</v>
      </c>
      <c r="F1397" s="2">
        <v>7690</v>
      </c>
      <c r="G1397" s="4" t="s">
        <v>1482</v>
      </c>
      <c r="H1397" s="1">
        <v>4</v>
      </c>
      <c r="I1397" s="1">
        <v>0</v>
      </c>
      <c r="J1397" s="1">
        <v>0</v>
      </c>
      <c r="K1397" s="2">
        <v>9.07</v>
      </c>
    </row>
    <row r="1398" spans="1:12">
      <c r="A1398" s="3" t="s">
        <v>633</v>
      </c>
      <c r="B1398" s="3" t="s">
        <v>1435</v>
      </c>
      <c r="C1398" s="3" t="s">
        <v>1446</v>
      </c>
      <c r="D1398" s="3"/>
      <c r="E1398" s="2" t="str">
        <f>HYPERLINK("https://old.ukr-mobil.com/pozicionnaya_forma_displeya_pri_sklejke_sony_xperia_z3_d6602_alyuminievyj_7691", "Перейти")</f>
        <v>Перейти</v>
      </c>
      <c r="F1398" s="2">
        <v>7691</v>
      </c>
      <c r="G1398" s="4" t="s">
        <v>1483</v>
      </c>
      <c r="H1398" s="1">
        <v>4</v>
      </c>
      <c r="I1398" s="1">
        <v>0</v>
      </c>
      <c r="J1398" s="1">
        <v>0</v>
      </c>
      <c r="K1398" s="2">
        <v>9.07</v>
      </c>
    </row>
    <row r="1399" spans="1:12">
      <c r="A1399" s="3" t="s">
        <v>633</v>
      </c>
      <c r="B1399" s="3" t="s">
        <v>1435</v>
      </c>
      <c r="C1399" s="3" t="s">
        <v>1446</v>
      </c>
      <c r="D1399" s="3"/>
      <c r="E1399" s="2" t="str">
        <f>HYPERLINK("https://old.ukr-mobil.com/pozicionnaya_forma_displeya_pri_sklejke_sony_xperia_z5_e6603_alyuminievyj_7692", "Перейти")</f>
        <v>Перейти</v>
      </c>
      <c r="F1399" s="2">
        <v>7692</v>
      </c>
      <c r="G1399" s="4" t="s">
        <v>1484</v>
      </c>
      <c r="H1399" s="1">
        <v>4</v>
      </c>
      <c r="I1399" s="1">
        <v>0</v>
      </c>
      <c r="J1399" s="1">
        <v>0</v>
      </c>
      <c r="K1399" s="2">
        <v>11.09</v>
      </c>
    </row>
    <row r="1400" spans="1:12">
      <c r="A1400" s="3" t="s">
        <v>633</v>
      </c>
      <c r="B1400" s="3" t="s">
        <v>1435</v>
      </c>
      <c r="C1400" s="3" t="s">
        <v>1446</v>
      </c>
      <c r="D1400" s="3"/>
      <c r="E1400" s="2" t="str">
        <f>HYPERLINK("https://old.ukr-mobil.com/pres_forma_dlya_laminacii_oca_dlya_laminacii_v_vakuumnyh_mashinah_samsung_galaxy_s6_edge_g925_alyuminievo-silikonovyj_8464", "Перейти")</f>
        <v>Перейти</v>
      </c>
      <c r="F1400" s="2">
        <v>8464</v>
      </c>
      <c r="G1400" s="4" t="s">
        <v>1485</v>
      </c>
      <c r="H1400" s="1">
        <v>4</v>
      </c>
      <c r="I1400" s="1">
        <v>0</v>
      </c>
      <c r="J1400" s="1">
        <v>0</v>
      </c>
      <c r="K1400" s="2">
        <v>13.1</v>
      </c>
    </row>
    <row r="1401" spans="1:12">
      <c r="A1401" s="3" t="s">
        <v>633</v>
      </c>
      <c r="B1401" s="3" t="s">
        <v>1435</v>
      </c>
      <c r="C1401" s="3" t="s">
        <v>1446</v>
      </c>
      <c r="D1401" s="3"/>
      <c r="E1401" s="2" t="str">
        <f>HYPERLINK("https://old.ukr-mobil.com/pres_forma_dlya_laminacii_oca_dlya_laminacii_v_vakuumnyh_mashinah_samsung_galaxy_s7_edge_g935_alyuminievo-silikonovyj_8465", "Перейти")</f>
        <v>Перейти</v>
      </c>
      <c r="F1401" s="2">
        <v>8465</v>
      </c>
      <c r="G1401" s="4" t="s">
        <v>1486</v>
      </c>
      <c r="H1401" s="1">
        <v>6</v>
      </c>
      <c r="I1401" s="1">
        <v>0</v>
      </c>
      <c r="J1401" s="1">
        <v>0</v>
      </c>
      <c r="K1401" s="2">
        <v>26.21</v>
      </c>
    </row>
    <row r="1402" spans="1:12">
      <c r="A1402" s="3" t="s">
        <v>633</v>
      </c>
      <c r="B1402" s="3" t="s">
        <v>1435</v>
      </c>
      <c r="C1402" s="3" t="s">
        <v>1487</v>
      </c>
      <c r="D1402" s="3"/>
      <c r="E1402" s="2" t="str">
        <f>HYPERLINK("https://old.ukr-mobil.com/forma_dlya_displeya_s_ramkoj_samsung_g935_galaxy_s7_edge_12269", "Перейти")</f>
        <v>Перейти</v>
      </c>
      <c r="F1402" s="2">
        <v>12269</v>
      </c>
      <c r="G1402" s="4" t="s">
        <v>1488</v>
      </c>
      <c r="H1402" s="1">
        <v>3</v>
      </c>
      <c r="I1402" s="1">
        <v>0</v>
      </c>
      <c r="J1402" s="1">
        <v>0</v>
      </c>
      <c r="K1402" s="2">
        <v>13.1</v>
      </c>
    </row>
    <row r="1403" spans="1:12">
      <c r="A1403" s="3" t="s">
        <v>633</v>
      </c>
      <c r="B1403" s="3" t="s">
        <v>1435</v>
      </c>
      <c r="C1403" s="3" t="s">
        <v>1487</v>
      </c>
      <c r="D1403" s="3"/>
      <c r="E1403" s="2" t="str">
        <f>HYPERLINK("https://old.ukr-mobil.com/forma_dlya_displeya_s_ramkoj_samsung_g950_galaxy_s8_12264", "Перейти")</f>
        <v>Перейти</v>
      </c>
      <c r="F1403" s="2">
        <v>12264</v>
      </c>
      <c r="G1403" s="4" t="s">
        <v>1489</v>
      </c>
      <c r="H1403" s="1">
        <v>2</v>
      </c>
      <c r="I1403" s="1">
        <v>0</v>
      </c>
      <c r="J1403" s="1">
        <v>0</v>
      </c>
      <c r="K1403" s="2">
        <v>14.11</v>
      </c>
    </row>
    <row r="1404" spans="1:12">
      <c r="A1404" s="3" t="s">
        <v>633</v>
      </c>
      <c r="B1404" s="3" t="s">
        <v>1435</v>
      </c>
      <c r="C1404" s="3" t="s">
        <v>1487</v>
      </c>
      <c r="D1404" s="3"/>
      <c r="E1404" s="2" t="str">
        <f>HYPERLINK("https://old.ukr-mobil.com/forma_dlya_displeya_s_ramkoj_samsung_g955_galaxy_s8_plus_12265", "Перейти")</f>
        <v>Перейти</v>
      </c>
      <c r="F1404" s="2">
        <v>12265</v>
      </c>
      <c r="G1404" s="4" t="s">
        <v>1490</v>
      </c>
      <c r="H1404" s="1">
        <v>2</v>
      </c>
      <c r="I1404" s="1">
        <v>0</v>
      </c>
      <c r="J1404" s="1">
        <v>0</v>
      </c>
      <c r="K1404" s="2">
        <v>14.11</v>
      </c>
    </row>
    <row r="1405" spans="1:12">
      <c r="A1405" s="3" t="s">
        <v>633</v>
      </c>
      <c r="B1405" s="3" t="s">
        <v>1435</v>
      </c>
      <c r="C1405" s="3" t="s">
        <v>1487</v>
      </c>
      <c r="D1405" s="3"/>
      <c r="E1405" s="2" t="str">
        <f>HYPERLINK("https://old.ukr-mobil.com/forma_dlya_displeya_s_ramkoj_samsung_g960_galaxy_s9_12267", "Перейти")</f>
        <v>Перейти</v>
      </c>
      <c r="F1405" s="2">
        <v>12267</v>
      </c>
      <c r="G1405" s="4" t="s">
        <v>1491</v>
      </c>
      <c r="H1405" s="1">
        <v>3</v>
      </c>
      <c r="I1405" s="1">
        <v>0</v>
      </c>
      <c r="J1405" s="1">
        <v>0</v>
      </c>
      <c r="K1405" s="2">
        <v>14.11</v>
      </c>
    </row>
    <row r="1406" spans="1:12">
      <c r="A1406" s="3" t="s">
        <v>633</v>
      </c>
      <c r="B1406" s="3" t="s">
        <v>1435</v>
      </c>
      <c r="C1406" s="3" t="s">
        <v>1487</v>
      </c>
      <c r="D1406" s="3"/>
      <c r="E1406" s="2" t="str">
        <f>HYPERLINK("https://old.ukr-mobil.com/forma_dlya_displeya_s_ramkoj_samsung_g965_galaxy_s9_plus_12268", "Перейти")</f>
        <v>Перейти</v>
      </c>
      <c r="F1406" s="2">
        <v>12268</v>
      </c>
      <c r="G1406" s="4" t="s">
        <v>1492</v>
      </c>
      <c r="H1406" s="1">
        <v>1</v>
      </c>
      <c r="I1406" s="1">
        <v>0</v>
      </c>
      <c r="J1406" s="1">
        <v>0</v>
      </c>
      <c r="K1406" s="2">
        <v>14.11</v>
      </c>
    </row>
    <row r="1407" spans="1:12">
      <c r="A1407" s="3" t="s">
        <v>633</v>
      </c>
      <c r="B1407" s="3" t="s">
        <v>1435</v>
      </c>
      <c r="C1407" s="3" t="s">
        <v>1487</v>
      </c>
      <c r="D1407" s="3"/>
      <c r="E1407" s="2" t="str">
        <f>HYPERLINK("https://old.ukr-mobil.com/forma_dlya_displeya_s_ramkoj_samsung_n950_galaxy_note_8_12263", "Перейти")</f>
        <v>Перейти</v>
      </c>
      <c r="F1407" s="2">
        <v>12263</v>
      </c>
      <c r="G1407" s="4" t="s">
        <v>1493</v>
      </c>
      <c r="H1407" s="1">
        <v>4</v>
      </c>
      <c r="I1407" s="1">
        <v>0</v>
      </c>
      <c r="J1407" s="1">
        <v>0</v>
      </c>
      <c r="K1407" s="2">
        <v>14.11</v>
      </c>
    </row>
    <row r="1408" spans="1:12">
      <c r="A1408" s="3" t="s">
        <v>633</v>
      </c>
      <c r="B1408" s="3" t="s">
        <v>1435</v>
      </c>
      <c r="C1408" s="3" t="s">
        <v>1487</v>
      </c>
      <c r="D1408" s="3"/>
      <c r="E1408" s="2" t="str">
        <f>HYPERLINK("https://old.ukr-mobil.com/forma_dlya_displeya_s_ramkoj_samsung_n960_galaxy_note_9_12266", "Перейти")</f>
        <v>Перейти</v>
      </c>
      <c r="F1408" s="2">
        <v>12266</v>
      </c>
      <c r="G1408" s="4" t="s">
        <v>1494</v>
      </c>
      <c r="H1408" s="1">
        <v>3</v>
      </c>
      <c r="I1408" s="1">
        <v>0</v>
      </c>
      <c r="J1408" s="1">
        <v>0</v>
      </c>
      <c r="K1408" s="2">
        <v>14.11</v>
      </c>
    </row>
    <row r="1409" spans="1:12">
      <c r="A1409" s="3" t="s">
        <v>633</v>
      </c>
      <c r="B1409" s="3" t="s">
        <v>1435</v>
      </c>
      <c r="C1409" s="3" t="s">
        <v>1487</v>
      </c>
      <c r="D1409" s="3"/>
      <c r="E1409" s="2" t="str">
        <f>HYPERLINK("https://old.ukr-mobil.com/forma_dlya_displejnogo_modulya_i_ramki_iphone_7_dlya_ustanovki_ramki_v_mashinah_5in1_8467", "Перейти")</f>
        <v>Перейти</v>
      </c>
      <c r="F1409" s="2">
        <v>8467</v>
      </c>
      <c r="G1409" s="4" t="s">
        <v>1495</v>
      </c>
      <c r="H1409" s="1">
        <v>3</v>
      </c>
      <c r="I1409" s="1">
        <v>0</v>
      </c>
      <c r="J1409" s="1">
        <v>0</v>
      </c>
      <c r="K1409" s="2">
        <v>46.37</v>
      </c>
    </row>
    <row r="1410" spans="1:12">
      <c r="A1410" s="3" t="s">
        <v>633</v>
      </c>
      <c r="B1410" s="3" t="s">
        <v>1435</v>
      </c>
      <c r="C1410" s="3" t="s">
        <v>1487</v>
      </c>
      <c r="D1410" s="3"/>
      <c r="E1410" s="2" t="str">
        <f>HYPERLINK("https://old.ukr-mobil.com/forma_dlya_displejnogo_modulya_i_ramki_iphone_7_plus_dlya_ustanovki_ramki_v_mashinah_5in1_8468", "Перейти")</f>
        <v>Перейти</v>
      </c>
      <c r="F1410" s="2">
        <v>8468</v>
      </c>
      <c r="G1410" s="4" t="s">
        <v>1496</v>
      </c>
      <c r="H1410" s="1">
        <v>3</v>
      </c>
      <c r="I1410" s="1">
        <v>0</v>
      </c>
      <c r="J1410" s="1">
        <v>0</v>
      </c>
      <c r="K1410" s="2">
        <v>32.0</v>
      </c>
    </row>
    <row r="1411" spans="1:12">
      <c r="A1411" s="3" t="s">
        <v>1497</v>
      </c>
      <c r="B1411" s="3" t="s">
        <v>1498</v>
      </c>
      <c r="C1411" s="3"/>
      <c r="D1411" s="3"/>
      <c r="E1411" s="2" t="str">
        <f>HYPERLINK("https://old.ukr-mobil.com/akkumulyator_dlya_fpv_drona_6s2p_8000mah_lishen_lr2170la_21700_10005520", "Перейти")</f>
        <v>Перейти</v>
      </c>
      <c r="F1411" s="2">
        <v>10005520</v>
      </c>
      <c r="G1411" s="4" t="s">
        <v>1499</v>
      </c>
      <c r="H1411" s="1">
        <v>41</v>
      </c>
      <c r="I1411" s="1">
        <v>0</v>
      </c>
      <c r="J1411" s="1">
        <v>0</v>
      </c>
      <c r="K1411" s="2">
        <v>50.0</v>
      </c>
    </row>
    <row r="1412" spans="1:12">
      <c r="A1412" s="3" t="s">
        <v>1497</v>
      </c>
      <c r="B1412" s="3" t="s">
        <v>1498</v>
      </c>
      <c r="C1412" s="3"/>
      <c r="D1412" s="3"/>
      <c r="E1412" s="2" t="str">
        <f>HYPERLINK("https://old.ukr-mobil.com/index.php?route=product&amp;product_id=10005926", "Перейти")</f>
        <v>Перейти</v>
      </c>
      <c r="F1412" s="2">
        <v>10005926</v>
      </c>
      <c r="G1412" s="4" t="s">
        <v>1500</v>
      </c>
      <c r="H1412" s="1">
        <v>0</v>
      </c>
      <c r="I1412" s="1">
        <v>12</v>
      </c>
      <c r="J1412" s="1">
        <v>2</v>
      </c>
      <c r="K1412" s="2">
        <v>63.0</v>
      </c>
    </row>
    <row r="1413" spans="1:12">
      <c r="A1413" s="3" t="s">
        <v>1497</v>
      </c>
      <c r="B1413" s="3" t="s">
        <v>1498</v>
      </c>
      <c r="C1413" s="3"/>
      <c r="D1413" s="3"/>
      <c r="E1413" s="2" t="str">
        <f>HYPERLINK("https://old.ukr-mobil.com/index.php?route=product&amp;product_id=10005716", "Перейти")</f>
        <v>Перейти</v>
      </c>
      <c r="F1413" s="2">
        <v>10005716</v>
      </c>
      <c r="G1413" s="4" t="s">
        <v>1501</v>
      </c>
      <c r="H1413" s="1">
        <v>0</v>
      </c>
      <c r="I1413" s="1">
        <v>0</v>
      </c>
      <c r="J1413" s="1">
        <v>0</v>
      </c>
      <c r="K1413" s="2">
        <v>69.0</v>
      </c>
    </row>
    <row r="1414" spans="1:12">
      <c r="A1414" s="3" t="s">
        <v>1497</v>
      </c>
      <c r="B1414" s="3" t="s">
        <v>1498</v>
      </c>
      <c r="C1414" s="3"/>
      <c r="D1414" s="3"/>
      <c r="E1414" s="2" t="str">
        <f>HYPERLINK("https://old.ukr-mobil.com/index.php?route=product&amp;product_id=10006058", "Перейти")</f>
        <v>Перейти</v>
      </c>
      <c r="F1414" s="2">
        <v>10006058</v>
      </c>
      <c r="G1414" s="4" t="s">
        <v>1502</v>
      </c>
      <c r="H1414" s="1">
        <v>0</v>
      </c>
      <c r="I1414" s="1">
        <v>24</v>
      </c>
      <c r="J1414" s="1">
        <v>0</v>
      </c>
      <c r="K1414" s="2">
        <v>95.0</v>
      </c>
    </row>
    <row r="1415" spans="1:12">
      <c r="A1415" s="3" t="s">
        <v>1497</v>
      </c>
      <c r="B1415" s="3" t="s">
        <v>1503</v>
      </c>
      <c r="C1415" s="3"/>
      <c r="D1415" s="3"/>
      <c r="E1415" s="2" t="str">
        <f>HYPERLINK("https://old.ukr-mobil.com/akkumulyator_dlya_dji_mavic_2_mavic_2_pro_3850_mah_59_29_wh_10004352", "Перейти")</f>
        <v>Перейти</v>
      </c>
      <c r="F1415" s="2">
        <v>10004352</v>
      </c>
      <c r="G1415" s="4" t="s">
        <v>1504</v>
      </c>
      <c r="H1415" s="1">
        <v>0</v>
      </c>
      <c r="I1415" s="1">
        <v>0</v>
      </c>
      <c r="J1415" s="1">
        <v>0</v>
      </c>
      <c r="K1415" s="2">
        <v>145.0</v>
      </c>
    </row>
    <row r="1416" spans="1:12">
      <c r="A1416" s="3" t="s">
        <v>1497</v>
      </c>
      <c r="B1416" s="3" t="s">
        <v>1503</v>
      </c>
      <c r="C1416" s="3"/>
      <c r="D1416" s="3"/>
      <c r="E1416" s="2" t="str">
        <f>HYPERLINK("https://old.ukr-mobil.com/akkumulyator_dlya_dji_mavic_3_mavic_3_pro_5000_mah_77_wh_10004350", "Перейти")</f>
        <v>Перейти</v>
      </c>
      <c r="F1416" s="2">
        <v>10004350</v>
      </c>
      <c r="G1416" s="4" t="s">
        <v>1505</v>
      </c>
      <c r="H1416" s="1">
        <v>0</v>
      </c>
      <c r="I1416" s="1">
        <v>0</v>
      </c>
      <c r="J1416" s="1">
        <v>0</v>
      </c>
      <c r="K1416" s="2">
        <v>135.0</v>
      </c>
    </row>
    <row r="1417" spans="1:12">
      <c r="A1417" s="3" t="s">
        <v>1497</v>
      </c>
      <c r="B1417" s="3" t="s">
        <v>1503</v>
      </c>
      <c r="C1417" s="3"/>
      <c r="D1417" s="3"/>
      <c r="E1417" s="2" t="str">
        <f>HYPERLINK("https://old.ukr-mobil.com/index.php?route=product&amp;product_id=10004584", "Перейти")</f>
        <v>Перейти</v>
      </c>
      <c r="F1417" s="2">
        <v>10004584</v>
      </c>
      <c r="G1417" s="4" t="s">
        <v>1506</v>
      </c>
      <c r="H1417" s="1">
        <v>0</v>
      </c>
      <c r="I1417" s="1">
        <v>0</v>
      </c>
      <c r="J1417" s="1">
        <v>0</v>
      </c>
      <c r="K1417" s="2">
        <v>90.0</v>
      </c>
    </row>
    <row r="1418" spans="1:12">
      <c r="A1418" s="3" t="s">
        <v>1497</v>
      </c>
      <c r="B1418" s="3" t="s">
        <v>1503</v>
      </c>
      <c r="C1418" s="3"/>
      <c r="D1418" s="3"/>
      <c r="E1418" s="2" t="str">
        <f>HYPERLINK("https://old.ukr-mobil.com/akkumulyator_dlya_dji_mavic_mini_2500_mah_18_wh_10004354", "Перейти")</f>
        <v>Перейти</v>
      </c>
      <c r="F1418" s="2">
        <v>10004354</v>
      </c>
      <c r="G1418" s="4" t="s">
        <v>1507</v>
      </c>
      <c r="H1418" s="1">
        <v>0</v>
      </c>
      <c r="I1418" s="1">
        <v>0</v>
      </c>
      <c r="J1418" s="1">
        <v>0</v>
      </c>
      <c r="K1418" s="2">
        <v>42.0</v>
      </c>
    </row>
    <row r="1419" spans="1:12">
      <c r="A1419" s="3" t="s">
        <v>1497</v>
      </c>
      <c r="B1419" s="3" t="s">
        <v>1503</v>
      </c>
      <c r="C1419" s="3"/>
      <c r="D1419" s="3"/>
      <c r="E1419" s="2" t="str">
        <f>HYPERLINK("https://old.ukr-mobil.com/akkumulyator_dlya_dji_mini_2_2400_mah_18_48_wh_10003312", "Перейти")</f>
        <v>Перейти</v>
      </c>
      <c r="F1419" s="2">
        <v>10003312</v>
      </c>
      <c r="G1419" s="4" t="s">
        <v>1508</v>
      </c>
      <c r="H1419" s="1">
        <v>0</v>
      </c>
      <c r="I1419" s="1">
        <v>0</v>
      </c>
      <c r="J1419" s="1">
        <v>0</v>
      </c>
      <c r="K1419" s="2">
        <v>63.0</v>
      </c>
    </row>
    <row r="1420" spans="1:12">
      <c r="A1420" s="3" t="s">
        <v>1497</v>
      </c>
      <c r="B1420" s="3" t="s">
        <v>1503</v>
      </c>
      <c r="C1420" s="3"/>
      <c r="D1420" s="3"/>
      <c r="E1420" s="2" t="str">
        <f>HYPERLINK("https://old.ukr-mobil.com/akkumulyator_dlya_dji_mini_3_3850_mah_28_41_wh_10004353", "Перейти")</f>
        <v>Перейти</v>
      </c>
      <c r="F1420" s="2">
        <v>10004353</v>
      </c>
      <c r="G1420" s="4" t="s">
        <v>1509</v>
      </c>
      <c r="H1420" s="1">
        <v>0</v>
      </c>
      <c r="I1420" s="1">
        <v>0</v>
      </c>
      <c r="J1420" s="1">
        <v>0</v>
      </c>
      <c r="K1420" s="2">
        <v>71.0</v>
      </c>
    </row>
    <row r="1421" spans="1:12">
      <c r="A1421" s="3" t="s">
        <v>1497</v>
      </c>
      <c r="B1421" s="3" t="s">
        <v>1503</v>
      </c>
      <c r="C1421" s="3"/>
      <c r="D1421" s="3"/>
      <c r="E1421" s="2" t="str">
        <f>HYPERLINK("https://old.ukr-mobil.com/akkumulyator_dlya_dji_phantom_4_5870_mah_89_2_wh_10004351", "Перейти")</f>
        <v>Перейти</v>
      </c>
      <c r="F1421" s="2">
        <v>10004351</v>
      </c>
      <c r="G1421" s="4" t="s">
        <v>1510</v>
      </c>
      <c r="H1421" s="1">
        <v>0</v>
      </c>
      <c r="I1421" s="1">
        <v>0</v>
      </c>
      <c r="J1421" s="1">
        <v>0</v>
      </c>
      <c r="K1421" s="2">
        <v>142.0</v>
      </c>
    </row>
    <row r="1422" spans="1:12">
      <c r="A1422" s="3" t="s">
        <v>1497</v>
      </c>
      <c r="B1422" s="3" t="s">
        <v>1503</v>
      </c>
      <c r="C1422" s="3"/>
      <c r="D1422" s="3"/>
      <c r="E1422" s="2" t="str">
        <f>HYPERLINK("https://old.ukr-mobil.com/index.php?route=product&amp;product_id=10004962", "Перейти")</f>
        <v>Перейти</v>
      </c>
      <c r="F1422" s="2">
        <v>10004962</v>
      </c>
      <c r="G1422" s="4" t="s">
        <v>1511</v>
      </c>
      <c r="H1422" s="1">
        <v>1</v>
      </c>
      <c r="I1422" s="1">
        <v>2</v>
      </c>
      <c r="J1422" s="1">
        <v>1</v>
      </c>
      <c r="K1422" s="2">
        <v>74.0</v>
      </c>
    </row>
    <row r="1423" spans="1:12">
      <c r="A1423" s="3" t="s">
        <v>1497</v>
      </c>
      <c r="B1423" s="3" t="s">
        <v>1512</v>
      </c>
      <c r="C1423" s="3"/>
      <c r="D1423" s="3"/>
      <c r="E1423" s="2" t="str">
        <f>HYPERLINK("https://old.ukr-mobil.com/antenna_dlya_video_peredatchika_fpv_5_mini_rhcp_5_8g_2_8_dbi_150_mm_sma_10004776", "Перейти")</f>
        <v>Перейти</v>
      </c>
      <c r="F1423" s="2">
        <v>10004776</v>
      </c>
      <c r="G1423" s="4" t="s">
        <v>1513</v>
      </c>
      <c r="H1423" s="1">
        <v>0</v>
      </c>
      <c r="I1423" s="1">
        <v>12</v>
      </c>
      <c r="J1423" s="1">
        <v>0</v>
      </c>
      <c r="K1423" s="2">
        <v>7.5</v>
      </c>
    </row>
    <row r="1424" spans="1:12">
      <c r="A1424" s="3" t="s">
        <v>1497</v>
      </c>
      <c r="B1424" s="3" t="s">
        <v>1512</v>
      </c>
      <c r="C1424" s="3"/>
      <c r="D1424" s="3"/>
      <c r="E1424" s="2" t="str">
        <f>HYPERLINK("https://old.ukr-mobil.com/index.php?route=product&amp;product_id=10006043", "Перейти")</f>
        <v>Перейти</v>
      </c>
      <c r="F1424" s="2">
        <v>10006043</v>
      </c>
      <c r="G1424" s="4" t="s">
        <v>1514</v>
      </c>
      <c r="H1424" s="1">
        <v>264</v>
      </c>
      <c r="I1424" s="1">
        <v>41</v>
      </c>
      <c r="J1424" s="1">
        <v>46</v>
      </c>
      <c r="K1424" s="2">
        <v>10.0</v>
      </c>
    </row>
    <row r="1425" spans="1:12">
      <c r="A1425" s="3" t="s">
        <v>1497</v>
      </c>
      <c r="B1425" s="3" t="s">
        <v>1512</v>
      </c>
      <c r="C1425" s="3"/>
      <c r="D1425" s="3"/>
      <c r="E1425" s="2" t="str">
        <f>HYPERLINK("https://old.ukr-mobil.com/index.php?route=product&amp;product_id=10006044", "Перейти")</f>
        <v>Перейти</v>
      </c>
      <c r="F1425" s="2">
        <v>10006044</v>
      </c>
      <c r="G1425" s="4" t="s">
        <v>1515</v>
      </c>
      <c r="H1425" s="1">
        <v>133</v>
      </c>
      <c r="I1425" s="1">
        <v>47</v>
      </c>
      <c r="J1425" s="1">
        <v>15</v>
      </c>
      <c r="K1425" s="2">
        <v>10.0</v>
      </c>
    </row>
    <row r="1426" spans="1:12">
      <c r="A1426" s="3" t="s">
        <v>1497</v>
      </c>
      <c r="B1426" s="3" t="s">
        <v>1512</v>
      </c>
      <c r="C1426" s="3"/>
      <c r="D1426" s="3"/>
      <c r="E1426" s="2" t="str">
        <f>HYPERLINK("https://old.ukr-mobil.com/index.php?route=product&amp;product_id=10006042", "Перейти")</f>
        <v>Перейти</v>
      </c>
      <c r="F1426" s="2">
        <v>10006042</v>
      </c>
      <c r="G1426" s="4" t="s">
        <v>1516</v>
      </c>
      <c r="H1426" s="1">
        <v>28</v>
      </c>
      <c r="I1426" s="1">
        <v>38</v>
      </c>
      <c r="J1426" s="1">
        <v>30</v>
      </c>
      <c r="K1426" s="2">
        <v>7.95</v>
      </c>
    </row>
    <row r="1427" spans="1:12">
      <c r="A1427" s="3" t="s">
        <v>1497</v>
      </c>
      <c r="B1427" s="3" t="s">
        <v>1512</v>
      </c>
      <c r="C1427" s="3"/>
      <c r="D1427" s="3"/>
      <c r="E1427" s="2" t="str">
        <f>HYPERLINK("https://old.ukr-mobil.com/antenna_dlya_video_peredatchika_fpv_akk_5_8g_4_5_dbi_160_mm_sma_10005082", "Перейти")</f>
        <v>Перейти</v>
      </c>
      <c r="F1427" s="2">
        <v>10005082</v>
      </c>
      <c r="G1427" s="4" t="s">
        <v>1517</v>
      </c>
      <c r="H1427" s="1">
        <v>334</v>
      </c>
      <c r="I1427" s="1">
        <v>50</v>
      </c>
      <c r="J1427" s="1">
        <v>45</v>
      </c>
      <c r="K1427" s="2">
        <v>7.95</v>
      </c>
    </row>
    <row r="1428" spans="1:12">
      <c r="A1428" s="3" t="s">
        <v>1497</v>
      </c>
      <c r="B1428" s="3" t="s">
        <v>1512</v>
      </c>
      <c r="C1428" s="3"/>
      <c r="D1428" s="3"/>
      <c r="E1428" s="2" t="str">
        <f>HYPERLINK("https://old.ukr-mobil.com/antenna_dlya_video_peredatchika_fpv_akk_5_8g_3_dbi_160_mm_sma_10005047", "Перейти")</f>
        <v>Перейти</v>
      </c>
      <c r="F1428" s="2">
        <v>10005047</v>
      </c>
      <c r="G1428" s="4" t="s">
        <v>1518</v>
      </c>
      <c r="H1428" s="1">
        <v>0</v>
      </c>
      <c r="I1428" s="1">
        <v>0</v>
      </c>
      <c r="J1428" s="1">
        <v>0</v>
      </c>
      <c r="K1428" s="2">
        <v>8.75</v>
      </c>
    </row>
    <row r="1429" spans="1:12">
      <c r="A1429" s="3" t="s">
        <v>1497</v>
      </c>
      <c r="B1429" s="3" t="s">
        <v>1512</v>
      </c>
      <c r="C1429" s="3"/>
      <c r="D1429" s="3"/>
      <c r="E1429" s="2" t="str">
        <f>HYPERLINK("https://old.ukr-mobil.com/antenna_dlya_video_peredatchika_fpv_bullet_rhcp_5_8g_3_5_dbi_150_mm_sma_10005551", "Перейти")</f>
        <v>Перейти</v>
      </c>
      <c r="F1429" s="2">
        <v>10005551</v>
      </c>
      <c r="G1429" s="4" t="s">
        <v>1519</v>
      </c>
      <c r="H1429" s="1">
        <v>0</v>
      </c>
      <c r="I1429" s="1">
        <v>0</v>
      </c>
      <c r="J1429" s="1">
        <v>0</v>
      </c>
      <c r="K1429" s="2">
        <v>9.5</v>
      </c>
    </row>
    <row r="1430" spans="1:12">
      <c r="A1430" s="3" t="s">
        <v>1497</v>
      </c>
      <c r="B1430" s="3" t="s">
        <v>1512</v>
      </c>
      <c r="C1430" s="3"/>
      <c r="D1430" s="3"/>
      <c r="E1430" s="2" t="str">
        <f>HYPERLINK("https://old.ukr-mobil.com/index.php?route=product&amp;product_id=10005847", "Перейти")</f>
        <v>Перейти</v>
      </c>
      <c r="F1430" s="2">
        <v>10005847</v>
      </c>
      <c r="G1430" s="4" t="s">
        <v>1520</v>
      </c>
      <c r="H1430" s="1">
        <v>0</v>
      </c>
      <c r="I1430" s="1">
        <v>0</v>
      </c>
      <c r="J1430" s="1">
        <v>0</v>
      </c>
      <c r="K1430" s="2">
        <v>10.5</v>
      </c>
    </row>
    <row r="1431" spans="1:12">
      <c r="A1431" s="3" t="s">
        <v>1497</v>
      </c>
      <c r="B1431" s="3" t="s">
        <v>1512</v>
      </c>
      <c r="C1431" s="3"/>
      <c r="D1431" s="3"/>
      <c r="E1431" s="2" t="str">
        <f>HYPERLINK("https://old.ukr-mobil.com/index.php?route=product&amp;product_id=10005848", "Перейти")</f>
        <v>Перейти</v>
      </c>
      <c r="F1431" s="2">
        <v>10005848</v>
      </c>
      <c r="G1431" s="4" t="s">
        <v>1521</v>
      </c>
      <c r="H1431" s="1">
        <v>131</v>
      </c>
      <c r="I1431" s="1">
        <v>50</v>
      </c>
      <c r="J1431" s="1">
        <v>13</v>
      </c>
      <c r="K1431" s="2">
        <v>13.5</v>
      </c>
    </row>
    <row r="1432" spans="1:12">
      <c r="A1432" s="3" t="s">
        <v>1497</v>
      </c>
      <c r="B1432" s="3" t="s">
        <v>1512</v>
      </c>
      <c r="C1432" s="3"/>
      <c r="D1432" s="3"/>
      <c r="E1432" s="2" t="str">
        <f>HYPERLINK("https://old.ukr-mobil.com/antenna_dlya_video_peredatchika_fpv_foxeer_pagoda_pro_rhcp_5_8g_3_dbi_150_mm_sma_10005550", "Перейти")</f>
        <v>Перейти</v>
      </c>
      <c r="F1432" s="2">
        <v>10005550</v>
      </c>
      <c r="G1432" s="4" t="s">
        <v>1522</v>
      </c>
      <c r="H1432" s="1">
        <v>0</v>
      </c>
      <c r="I1432" s="1">
        <v>0</v>
      </c>
      <c r="J1432" s="1">
        <v>0</v>
      </c>
      <c r="K1432" s="2">
        <v>7.15</v>
      </c>
    </row>
    <row r="1433" spans="1:12">
      <c r="A1433" s="3" t="s">
        <v>1497</v>
      </c>
      <c r="B1433" s="3" t="s">
        <v>1512</v>
      </c>
      <c r="C1433" s="3"/>
      <c r="D1433" s="3"/>
      <c r="E1433" s="2" t="str">
        <f>HYPERLINK("https://old.ukr-mobil.com/index.php?route=product&amp;product_id=10006193", "Перейти")</f>
        <v>Перейти</v>
      </c>
      <c r="F1433" s="2">
        <v>10006193</v>
      </c>
      <c r="G1433" s="4" t="s">
        <v>1523</v>
      </c>
      <c r="H1433" s="1">
        <v>0</v>
      </c>
      <c r="I1433" s="1">
        <v>0</v>
      </c>
      <c r="J1433" s="1">
        <v>0</v>
      </c>
      <c r="K1433" s="2">
        <v>13.0</v>
      </c>
    </row>
    <row r="1434" spans="1:12">
      <c r="A1434" s="3" t="s">
        <v>1497</v>
      </c>
      <c r="B1434" s="3" t="s">
        <v>1512</v>
      </c>
      <c r="C1434" s="3"/>
      <c r="D1434" s="3"/>
      <c r="E1434" s="2" t="str">
        <f>HYPERLINK("https://old.ukr-mobil.com/antenna_dlya_video_peredatchika_fpv_iflight_albatross_v2_rhcp_4_9g_2_68_dbi_150_mm_sma_10005578", "Перейти")</f>
        <v>Перейти</v>
      </c>
      <c r="F1434" s="2">
        <v>10005578</v>
      </c>
      <c r="G1434" s="4" t="s">
        <v>1524</v>
      </c>
      <c r="H1434" s="1">
        <v>0</v>
      </c>
      <c r="I1434" s="1">
        <v>0</v>
      </c>
      <c r="J1434" s="1">
        <v>0</v>
      </c>
      <c r="K1434" s="2">
        <v>9.0</v>
      </c>
    </row>
    <row r="1435" spans="1:12">
      <c r="A1435" s="3" t="s">
        <v>1497</v>
      </c>
      <c r="B1435" s="3" t="s">
        <v>1512</v>
      </c>
      <c r="C1435" s="3"/>
      <c r="D1435" s="3"/>
      <c r="E1435" s="2" t="str">
        <f>HYPERLINK("https://old.ukr-mobil.com/index.php?route=product&amp;product_id=10006217", "Перейти")</f>
        <v>Перейти</v>
      </c>
      <c r="F1435" s="2">
        <v>10006217</v>
      </c>
      <c r="G1435" s="4" t="s">
        <v>1525</v>
      </c>
      <c r="H1435" s="1">
        <v>0</v>
      </c>
      <c r="I1435" s="1">
        <v>0</v>
      </c>
      <c r="J1435" s="1">
        <v>0</v>
      </c>
      <c r="K1435" s="2">
        <v>8.5</v>
      </c>
    </row>
    <row r="1436" spans="1:12">
      <c r="A1436" s="3" t="s">
        <v>1497</v>
      </c>
      <c r="B1436" s="3" t="s">
        <v>1512</v>
      </c>
      <c r="C1436" s="3"/>
      <c r="D1436" s="3"/>
      <c r="E1436" s="2" t="str">
        <f>HYPERLINK("https://old.ukr-mobil.com/index.php?route=product&amp;product_id=10006233", "Перейти")</f>
        <v>Перейти</v>
      </c>
      <c r="F1436" s="2">
        <v>10006233</v>
      </c>
      <c r="G1436" s="4" t="s">
        <v>1526</v>
      </c>
      <c r="H1436" s="1">
        <v>250</v>
      </c>
      <c r="I1436" s="1">
        <v>150</v>
      </c>
      <c r="J1436" s="1">
        <v>150</v>
      </c>
      <c r="K1436" s="2">
        <v>10.0</v>
      </c>
    </row>
    <row r="1437" spans="1:12">
      <c r="A1437" s="3" t="s">
        <v>1497</v>
      </c>
      <c r="B1437" s="3" t="s">
        <v>1512</v>
      </c>
      <c r="C1437" s="3"/>
      <c r="D1437" s="3"/>
      <c r="E1437" s="2" t="str">
        <f>HYPERLINK("https://old.ukr-mobil.com/index.php?route=product&amp;product_id=10004654", "Перейти")</f>
        <v>Перейти</v>
      </c>
      <c r="F1437" s="2">
        <v>10004654</v>
      </c>
      <c r="G1437" s="4" t="s">
        <v>1527</v>
      </c>
      <c r="H1437" s="1">
        <v>0</v>
      </c>
      <c r="I1437" s="1">
        <v>0</v>
      </c>
      <c r="J1437" s="1">
        <v>0</v>
      </c>
      <c r="K1437" s="2">
        <v>4.85</v>
      </c>
    </row>
    <row r="1438" spans="1:12">
      <c r="A1438" s="3" t="s">
        <v>1497</v>
      </c>
      <c r="B1438" s="3" t="s">
        <v>1512</v>
      </c>
      <c r="C1438" s="3"/>
      <c r="D1438" s="3"/>
      <c r="E1438" s="2" t="str">
        <f>HYPERLINK("https://old.ukr-mobil.com/index.php?route=product&amp;product_id=10004655", "Перейти")</f>
        <v>Перейти</v>
      </c>
      <c r="F1438" s="2">
        <v>10004655</v>
      </c>
      <c r="G1438" s="4" t="s">
        <v>1528</v>
      </c>
      <c r="H1438" s="1">
        <v>0</v>
      </c>
      <c r="I1438" s="1">
        <v>0</v>
      </c>
      <c r="J1438" s="1">
        <v>0</v>
      </c>
      <c r="K1438" s="2">
        <v>4.85</v>
      </c>
    </row>
    <row r="1439" spans="1:12">
      <c r="A1439" s="3" t="s">
        <v>1497</v>
      </c>
      <c r="B1439" s="3" t="s">
        <v>1512</v>
      </c>
      <c r="C1439" s="3"/>
      <c r="D1439" s="3"/>
      <c r="E1439" s="2" t="str">
        <f>HYPERLINK("https://old.ukr-mobil.com/antenna_dlya_video_peredatchika_fpv_rush_cherry_ii_rhcp_5_8g_150_mm_sma_10005605", "Перейти")</f>
        <v>Перейти</v>
      </c>
      <c r="F1439" s="2">
        <v>10005605</v>
      </c>
      <c r="G1439" s="4" t="s">
        <v>1529</v>
      </c>
      <c r="H1439" s="1">
        <v>0</v>
      </c>
      <c r="I1439" s="1">
        <v>0</v>
      </c>
      <c r="J1439" s="1">
        <v>0</v>
      </c>
      <c r="K1439" s="2">
        <v>12.5</v>
      </c>
    </row>
    <row r="1440" spans="1:12">
      <c r="A1440" s="3" t="s">
        <v>1497</v>
      </c>
      <c r="B1440" s="3" t="s">
        <v>1512</v>
      </c>
      <c r="C1440" s="3"/>
      <c r="D1440" s="3"/>
      <c r="E1440" s="2" t="str">
        <f>HYPERLINK("https://old.ukr-mobil.com/antenna_dlya_video_peredatchika_fpv_rush_cherry_rhcp_5_8g_160_mm_sma_10005604", "Перейти")</f>
        <v>Перейти</v>
      </c>
      <c r="F1440" s="2">
        <v>10005604</v>
      </c>
      <c r="G1440" s="4" t="s">
        <v>1530</v>
      </c>
      <c r="H1440" s="1">
        <v>0</v>
      </c>
      <c r="I1440" s="1">
        <v>0</v>
      </c>
      <c r="J1440" s="1">
        <v>0</v>
      </c>
      <c r="K1440" s="2">
        <v>7.5</v>
      </c>
    </row>
    <row r="1441" spans="1:12">
      <c r="A1441" s="3" t="s">
        <v>1497</v>
      </c>
      <c r="B1441" s="3" t="s">
        <v>1512</v>
      </c>
      <c r="C1441" s="3"/>
      <c r="D1441" s="3"/>
      <c r="E1441" s="2" t="str">
        <f>HYPERLINK("https://old.ukr-mobil.com/antenna_dlya_video_peredatchika_fpv_rhcp_1_3g_1_9_dbi_150_mm_sma_10005545", "Перейти")</f>
        <v>Перейти</v>
      </c>
      <c r="F1441" s="2">
        <v>10005545</v>
      </c>
      <c r="G1441" s="4" t="s">
        <v>1531</v>
      </c>
      <c r="H1441" s="1">
        <v>0</v>
      </c>
      <c r="I1441" s="1">
        <v>0</v>
      </c>
      <c r="J1441" s="1">
        <v>0</v>
      </c>
      <c r="K1441" s="2">
        <v>16.0</v>
      </c>
    </row>
    <row r="1442" spans="1:12">
      <c r="A1442" s="3" t="s">
        <v>1497</v>
      </c>
      <c r="B1442" s="3" t="s">
        <v>1512</v>
      </c>
      <c r="C1442" s="3"/>
      <c r="D1442" s="3"/>
      <c r="E1442" s="2" t="str">
        <f>HYPERLINK("https://old.ukr-mobil.com/index.php?route=product&amp;product_id=10005787", "Перейти")</f>
        <v>Перейти</v>
      </c>
      <c r="F1442" s="2">
        <v>10005787</v>
      </c>
      <c r="G1442" s="4" t="s">
        <v>1532</v>
      </c>
      <c r="H1442" s="1">
        <v>282</v>
      </c>
      <c r="I1442" s="1">
        <v>100</v>
      </c>
      <c r="J1442" s="1">
        <v>45</v>
      </c>
      <c r="K1442" s="2">
        <v>11.5</v>
      </c>
    </row>
    <row r="1443" spans="1:12">
      <c r="A1443" s="3" t="s">
        <v>1497</v>
      </c>
      <c r="B1443" s="3" t="s">
        <v>1533</v>
      </c>
      <c r="C1443" s="3"/>
      <c r="D1443" s="3"/>
      <c r="E1443" s="2" t="str">
        <f>HYPERLINK("https://old.ukr-mobil.com/video_peredatchik_solar_5_8_ghz_40_kanalov_25_400_800_1500_2500mw_10004966", "Перейти")</f>
        <v>Перейти</v>
      </c>
      <c r="F1443" s="2">
        <v>10004966</v>
      </c>
      <c r="G1443" s="4" t="s">
        <v>1534</v>
      </c>
      <c r="H1443" s="1">
        <v>0</v>
      </c>
      <c r="I1443" s="1">
        <v>0</v>
      </c>
      <c r="J1443" s="1">
        <v>0</v>
      </c>
      <c r="K1443" s="2">
        <v>71.0</v>
      </c>
    </row>
    <row r="1444" spans="1:12">
      <c r="A1444" s="3" t="s">
        <v>1497</v>
      </c>
      <c r="B1444" s="3" t="s">
        <v>1533</v>
      </c>
      <c r="C1444" s="3"/>
      <c r="D1444" s="3"/>
      <c r="E1444" s="2" t="str">
        <f>HYPERLINK("https://old.ukr-mobil.com/index.php?route=product&amp;product_id=10005691", "Перейти")</f>
        <v>Перейти</v>
      </c>
      <c r="F1444" s="2">
        <v>10005691</v>
      </c>
      <c r="G1444" s="4" t="s">
        <v>1535</v>
      </c>
      <c r="H1444" s="1">
        <v>0</v>
      </c>
      <c r="I1444" s="1">
        <v>0</v>
      </c>
      <c r="J1444" s="1">
        <v>0</v>
      </c>
      <c r="K1444" s="2">
        <v>115.0</v>
      </c>
    </row>
    <row r="1445" spans="1:12">
      <c r="A1445" s="3" t="s">
        <v>1497</v>
      </c>
      <c r="B1445" s="3" t="s">
        <v>1533</v>
      </c>
      <c r="C1445" s="3"/>
      <c r="D1445" s="3"/>
      <c r="E1445" s="2" t="str">
        <f>HYPERLINK("https://old.ukr-mobil.com/videoperedatchik_akk_fx2_dominator_new_version_vtx_25_250_500_1000_2000_mw_5_8_ghz_10005591", "Перейти")</f>
        <v>Перейти</v>
      </c>
      <c r="F1445" s="2">
        <v>10005591</v>
      </c>
      <c r="G1445" s="4" t="s">
        <v>1536</v>
      </c>
      <c r="H1445" s="1">
        <v>0</v>
      </c>
      <c r="I1445" s="1">
        <v>0</v>
      </c>
      <c r="J1445" s="1">
        <v>0</v>
      </c>
      <c r="K1445" s="2">
        <v>34.0</v>
      </c>
    </row>
    <row r="1446" spans="1:12">
      <c r="A1446" s="3" t="s">
        <v>1497</v>
      </c>
      <c r="B1446" s="3" t="s">
        <v>1533</v>
      </c>
      <c r="C1446" s="3"/>
      <c r="D1446" s="3"/>
      <c r="E1446" s="2" t="str">
        <f>HYPERLINK("https://old.ukr-mobil.com/video_peredatchik_akk_fx2_dominator_vtx_250_500_1000_2000_mw_5_8_ghz_10004596", "Перейти")</f>
        <v>Перейти</v>
      </c>
      <c r="F1446" s="2">
        <v>10004596</v>
      </c>
      <c r="G1446" s="4" t="s">
        <v>1537</v>
      </c>
      <c r="H1446" s="1">
        <v>0</v>
      </c>
      <c r="I1446" s="1">
        <v>0</v>
      </c>
      <c r="J1446" s="1">
        <v>0</v>
      </c>
      <c r="K1446" s="2">
        <v>28.0</v>
      </c>
    </row>
    <row r="1447" spans="1:12">
      <c r="A1447" s="3" t="s">
        <v>1497</v>
      </c>
      <c r="B1447" s="3" t="s">
        <v>1533</v>
      </c>
      <c r="C1447" s="3"/>
      <c r="D1447" s="3"/>
      <c r="E1447" s="2" t="str">
        <f>HYPERLINK("https://old.ukr-mobil.com/video_peredatchik_akk_race_ranger_200_400_800_1600_mw_5_8_ghz_na_40_kanalov_10004770", "Перейти")</f>
        <v>Перейти</v>
      </c>
      <c r="F1447" s="2">
        <v>10004770</v>
      </c>
      <c r="G1447" s="4" t="s">
        <v>1538</v>
      </c>
      <c r="H1447" s="1">
        <v>0</v>
      </c>
      <c r="I1447" s="1">
        <v>0</v>
      </c>
      <c r="J1447" s="1">
        <v>0</v>
      </c>
      <c r="K1447" s="2">
        <v>22.35</v>
      </c>
    </row>
    <row r="1448" spans="1:12">
      <c r="A1448" s="3" t="s">
        <v>1497</v>
      </c>
      <c r="B1448" s="3" t="s">
        <v>1533</v>
      </c>
      <c r="C1448" s="3"/>
      <c r="D1448" s="3"/>
      <c r="E1448" s="2" t="str">
        <f>HYPERLINK("https://old.ukr-mobil.com/videoperedatchik_akk_ultra_long_range_new_version_vtx_25_250_500_1000_2000_3000_mw_5_8_ghz_na_80_kanalov_10005641", "Перейти")</f>
        <v>Перейти</v>
      </c>
      <c r="F1448" s="2">
        <v>10005641</v>
      </c>
      <c r="G1448" s="4" t="s">
        <v>1539</v>
      </c>
      <c r="H1448" s="1">
        <v>566</v>
      </c>
      <c r="I1448" s="1">
        <v>0</v>
      </c>
      <c r="J1448" s="1">
        <v>72</v>
      </c>
      <c r="K1448" s="2">
        <v>57.0</v>
      </c>
    </row>
    <row r="1449" spans="1:12">
      <c r="A1449" s="3" t="s">
        <v>1497</v>
      </c>
      <c r="B1449" s="3" t="s">
        <v>1533</v>
      </c>
      <c r="C1449" s="3"/>
      <c r="D1449" s="3"/>
      <c r="E1449" s="2" t="str">
        <f>HYPERLINK("https://old.ukr-mobil.com/video_peredatchik_akk_ultra_long_range_250_500_1000_2000_3000mw_5_8g_37_kanalov_10004791", "Перейти")</f>
        <v>Перейти</v>
      </c>
      <c r="F1449" s="2">
        <v>10004791</v>
      </c>
      <c r="G1449" s="4" t="s">
        <v>1540</v>
      </c>
      <c r="H1449" s="1">
        <v>0</v>
      </c>
      <c r="I1449" s="1">
        <v>0</v>
      </c>
      <c r="J1449" s="1">
        <v>0</v>
      </c>
      <c r="K1449" s="2">
        <v>54.0</v>
      </c>
    </row>
    <row r="1450" spans="1:12">
      <c r="A1450" s="3" t="s">
        <v>1497</v>
      </c>
      <c r="B1450" s="3" t="s">
        <v>1533</v>
      </c>
      <c r="C1450" s="3"/>
      <c r="D1450" s="3"/>
      <c r="E1450" s="2" t="str">
        <f>HYPERLINK("https://old.ukr-mobil.com/index.php?route=product&amp;product_id=10005919", "Перейти")</f>
        <v>Перейти</v>
      </c>
      <c r="F1450" s="2">
        <v>10005919</v>
      </c>
      <c r="G1450" s="4" t="s">
        <v>1541</v>
      </c>
      <c r="H1450" s="1">
        <v>177</v>
      </c>
      <c r="I1450" s="1">
        <v>0</v>
      </c>
      <c r="J1450" s="1">
        <v>0</v>
      </c>
      <c r="K1450" s="2">
        <v>86.9</v>
      </c>
    </row>
    <row r="1451" spans="1:12">
      <c r="A1451" s="3" t="s">
        <v>1497</v>
      </c>
      <c r="B1451" s="3" t="s">
        <v>1533</v>
      </c>
      <c r="C1451" s="3"/>
      <c r="D1451" s="3"/>
      <c r="E1451" s="2" t="str">
        <f>HYPERLINK("https://old.ukr-mobil.com/index.php?route=product&amp;product_id=10006109", "Перейти")</f>
        <v>Перейти</v>
      </c>
      <c r="F1451" s="2">
        <v>10006109</v>
      </c>
      <c r="G1451" s="4" t="s">
        <v>1542</v>
      </c>
      <c r="H1451" s="1">
        <v>53</v>
      </c>
      <c r="I1451" s="1">
        <v>0</v>
      </c>
      <c r="J1451" s="1">
        <v>0</v>
      </c>
      <c r="K1451" s="2">
        <v>66.0</v>
      </c>
    </row>
    <row r="1452" spans="1:12">
      <c r="A1452" s="3" t="s">
        <v>1497</v>
      </c>
      <c r="B1452" s="3" t="s">
        <v>1533</v>
      </c>
      <c r="C1452" s="3"/>
      <c r="D1452" s="3"/>
      <c r="E1452" s="2" t="str">
        <f>HYPERLINK("https://old.ukr-mobil.com/video_peredatchik_foxeer_reaper_extreme_v2_50mw_200mw_500mw_1500mw_2500mw_5_8_ghz_na_72_kanala_10005523", "Перейти")</f>
        <v>Перейти</v>
      </c>
      <c r="F1452" s="2">
        <v>10005523</v>
      </c>
      <c r="G1452" s="4" t="s">
        <v>1543</v>
      </c>
      <c r="H1452" s="1">
        <v>177</v>
      </c>
      <c r="I1452" s="1">
        <v>50</v>
      </c>
      <c r="J1452" s="1">
        <v>50</v>
      </c>
      <c r="K1452" s="2">
        <v>60.0</v>
      </c>
    </row>
    <row r="1453" spans="1:12">
      <c r="A1453" s="3" t="s">
        <v>1497</v>
      </c>
      <c r="B1453" s="3" t="s">
        <v>1533</v>
      </c>
      <c r="C1453" s="3"/>
      <c r="D1453" s="3"/>
      <c r="E1453" s="2" t="str">
        <f>HYPERLINK("https://old.ukr-mobil.com/index.php?route=product&amp;product_id=10006189", "Перейти")</f>
        <v>Перейти</v>
      </c>
      <c r="F1453" s="2">
        <v>10006189</v>
      </c>
      <c r="G1453" s="4" t="s">
        <v>1544</v>
      </c>
      <c r="H1453" s="1">
        <v>0</v>
      </c>
      <c r="I1453" s="1">
        <v>0</v>
      </c>
      <c r="J1453" s="1">
        <v>0</v>
      </c>
      <c r="K1453" s="2">
        <v>85.0</v>
      </c>
    </row>
    <row r="1454" spans="1:12">
      <c r="A1454" s="3" t="s">
        <v>1497</v>
      </c>
      <c r="B1454" s="3" t="s">
        <v>1533</v>
      </c>
      <c r="C1454" s="3"/>
      <c r="D1454" s="3"/>
      <c r="E1454" s="2" t="str">
        <f>HYPERLINK("https://old.ukr-mobil.com/index.php?route=product&amp;product_id=10006188", "Перейти")</f>
        <v>Перейти</v>
      </c>
      <c r="F1454" s="2">
        <v>10006188</v>
      </c>
      <c r="G1454" s="4" t="s">
        <v>1545</v>
      </c>
      <c r="H1454" s="1">
        <v>0</v>
      </c>
      <c r="I1454" s="1">
        <v>0</v>
      </c>
      <c r="J1454" s="1">
        <v>0</v>
      </c>
      <c r="K1454" s="2">
        <v>66.0</v>
      </c>
    </row>
    <row r="1455" spans="1:12">
      <c r="A1455" s="3" t="s">
        <v>1497</v>
      </c>
      <c r="B1455" s="3" t="s">
        <v>1533</v>
      </c>
      <c r="C1455" s="3"/>
      <c r="D1455" s="3"/>
      <c r="E1455" s="2" t="str">
        <f>HYPERLINK("https://old.ukr-mobil.com/index.php?route=product&amp;product_id=10006187", "Перейти")</f>
        <v>Перейти</v>
      </c>
      <c r="F1455" s="2">
        <v>10006187</v>
      </c>
      <c r="G1455" s="4" t="s">
        <v>1546</v>
      </c>
      <c r="H1455" s="1">
        <v>399</v>
      </c>
      <c r="I1455" s="1">
        <v>0</v>
      </c>
      <c r="J1455" s="1">
        <v>0</v>
      </c>
      <c r="K1455" s="2">
        <v>76.0</v>
      </c>
    </row>
    <row r="1456" spans="1:12">
      <c r="A1456" s="3" t="s">
        <v>1497</v>
      </c>
      <c r="B1456" s="3" t="s">
        <v>1533</v>
      </c>
      <c r="C1456" s="3"/>
      <c r="D1456" s="3"/>
      <c r="E1456" s="2" t="str">
        <f>HYPERLINK("https://old.ukr-mobil.com/index.php?route=product&amp;product_id=10006186", "Перейти")</f>
        <v>Перейти</v>
      </c>
      <c r="F1456" s="2">
        <v>10006186</v>
      </c>
      <c r="G1456" s="4" t="s">
        <v>1547</v>
      </c>
      <c r="H1456" s="1">
        <v>0</v>
      </c>
      <c r="I1456" s="1">
        <v>0</v>
      </c>
      <c r="J1456" s="1">
        <v>0</v>
      </c>
      <c r="K1456" s="2">
        <v>105.0</v>
      </c>
    </row>
    <row r="1457" spans="1:12">
      <c r="A1457" s="3" t="s">
        <v>1497</v>
      </c>
      <c r="B1457" s="3" t="s">
        <v>1533</v>
      </c>
      <c r="C1457" s="3"/>
      <c r="D1457" s="3"/>
      <c r="E1457" s="2" t="str">
        <f>HYPERLINK("https://old.ukr-mobil.com/index.php?route=product&amp;product_id=10006216", "Перейти")</f>
        <v>Перейти</v>
      </c>
      <c r="F1457" s="2">
        <v>10006216</v>
      </c>
      <c r="G1457" s="4" t="s">
        <v>1548</v>
      </c>
      <c r="H1457" s="1">
        <v>350</v>
      </c>
      <c r="I1457" s="1">
        <v>50</v>
      </c>
      <c r="J1457" s="1">
        <v>100</v>
      </c>
      <c r="K1457" s="2">
        <v>86.0</v>
      </c>
    </row>
    <row r="1458" spans="1:12">
      <c r="A1458" s="3" t="s">
        <v>1497</v>
      </c>
      <c r="B1458" s="3" t="s">
        <v>1533</v>
      </c>
      <c r="C1458" s="3"/>
      <c r="D1458" s="3"/>
      <c r="E1458" s="2" t="str">
        <f>HYPERLINK("https://old.ukr-mobil.com/video_peredatchik_iflight_blitz_whoop_4_9g_2_5w_pit_250_400_1000_2500_mw_na_8_kanalov_10005463", "Перейти")</f>
        <v>Перейти</v>
      </c>
      <c r="F1458" s="2">
        <v>10005463</v>
      </c>
      <c r="G1458" s="4" t="s">
        <v>1549</v>
      </c>
      <c r="H1458" s="1">
        <v>0</v>
      </c>
      <c r="I1458" s="1">
        <v>0</v>
      </c>
      <c r="J1458" s="1">
        <v>0</v>
      </c>
      <c r="K1458" s="2">
        <v>53.85</v>
      </c>
    </row>
    <row r="1459" spans="1:12">
      <c r="A1459" s="3" t="s">
        <v>1497</v>
      </c>
      <c r="B1459" s="3" t="s">
        <v>1533</v>
      </c>
      <c r="C1459" s="3"/>
      <c r="D1459" s="3"/>
      <c r="E1459" s="2" t="str">
        <f>HYPERLINK("https://old.ukr-mobil.com/index.php?route=product&amp;product_id=10006194", "Перейти")</f>
        <v>Перейти</v>
      </c>
      <c r="F1459" s="2">
        <v>10006194</v>
      </c>
      <c r="G1459" s="4" t="s">
        <v>1550</v>
      </c>
      <c r="H1459" s="1">
        <v>2</v>
      </c>
      <c r="I1459" s="1">
        <v>0</v>
      </c>
      <c r="J1459" s="1">
        <v>0</v>
      </c>
      <c r="K1459" s="2">
        <v>0.0</v>
      </c>
    </row>
    <row r="1460" spans="1:12">
      <c r="A1460" s="3" t="s">
        <v>1497</v>
      </c>
      <c r="B1460" s="3" t="s">
        <v>1533</v>
      </c>
      <c r="C1460" s="3"/>
      <c r="D1460" s="3"/>
      <c r="E1460" s="2" t="str">
        <f>HYPERLINK("https://old.ukr-mobil.com/index.php?route=product&amp;product_id=10006195", "Перейти")</f>
        <v>Перейти</v>
      </c>
      <c r="F1460" s="2">
        <v>10006195</v>
      </c>
      <c r="G1460" s="4" t="s">
        <v>1551</v>
      </c>
      <c r="H1460" s="1">
        <v>189</v>
      </c>
      <c r="I1460" s="1">
        <v>0</v>
      </c>
      <c r="J1460" s="1">
        <v>49</v>
      </c>
      <c r="K1460" s="2">
        <v>55.0</v>
      </c>
    </row>
    <row r="1461" spans="1:12">
      <c r="A1461" s="3" t="s">
        <v>1497</v>
      </c>
      <c r="B1461" s="3" t="s">
        <v>1533</v>
      </c>
      <c r="C1461" s="3"/>
      <c r="D1461" s="3"/>
      <c r="E1461" s="2" t="str">
        <f>HYPERLINK("https://old.ukr-mobil.com/video_peredatchik_rush_tank_solo_5_8g_vtx_25_400_800_1600_mw_10004586", "Перейти")</f>
        <v>Перейти</v>
      </c>
      <c r="F1461" s="2">
        <v>10004586</v>
      </c>
      <c r="G1461" s="4" t="s">
        <v>1552</v>
      </c>
      <c r="H1461" s="1">
        <v>0</v>
      </c>
      <c r="I1461" s="1">
        <v>0</v>
      </c>
      <c r="J1461" s="1">
        <v>0</v>
      </c>
      <c r="K1461" s="2">
        <v>43.0</v>
      </c>
    </row>
    <row r="1462" spans="1:12">
      <c r="A1462" s="3" t="s">
        <v>1497</v>
      </c>
      <c r="B1462" s="3" t="s">
        <v>1533</v>
      </c>
      <c r="C1462" s="3"/>
      <c r="D1462" s="3"/>
      <c r="E1462" s="2" t="str">
        <f>HYPERLINK("https://old.ukr-mobil.com/index.php?route=product&amp;product_id=10005928", "Перейти")</f>
        <v>Перейти</v>
      </c>
      <c r="F1462" s="2">
        <v>10005928</v>
      </c>
      <c r="G1462" s="4" t="s">
        <v>1553</v>
      </c>
      <c r="H1462" s="1">
        <v>0</v>
      </c>
      <c r="I1462" s="1">
        <v>0</v>
      </c>
      <c r="J1462" s="1">
        <v>0</v>
      </c>
      <c r="K1462" s="2">
        <v>56.0</v>
      </c>
    </row>
    <row r="1463" spans="1:12">
      <c r="A1463" s="3" t="s">
        <v>1497</v>
      </c>
      <c r="B1463" s="3" t="s">
        <v>1533</v>
      </c>
      <c r="C1463" s="3"/>
      <c r="D1463" s="3"/>
      <c r="E1463" s="2" t="str">
        <f>HYPERLINK("https://old.ukr-mobil.com/video_peredatchik_sologood_25_400_800_1500_2500mw_5_8g_na_40_kanalov_10005120", "Перейти")</f>
        <v>Перейти</v>
      </c>
      <c r="F1463" s="2">
        <v>10005120</v>
      </c>
      <c r="G1463" s="4" t="s">
        <v>1554</v>
      </c>
      <c r="H1463" s="1">
        <v>0</v>
      </c>
      <c r="I1463" s="1">
        <v>4</v>
      </c>
      <c r="J1463" s="1">
        <v>18</v>
      </c>
      <c r="K1463" s="2">
        <v>58.0</v>
      </c>
    </row>
    <row r="1464" spans="1:12">
      <c r="A1464" s="3" t="s">
        <v>1497</v>
      </c>
      <c r="B1464" s="3" t="s">
        <v>1533</v>
      </c>
      <c r="C1464" s="3"/>
      <c r="D1464" s="3"/>
      <c r="E1464" s="2" t="str">
        <f>HYPERLINK("https://old.ukr-mobil.com/index.php?route=product&amp;product_id=10005766", "Перейти")</f>
        <v>Перейти</v>
      </c>
      <c r="F1464" s="2">
        <v>10005766</v>
      </c>
      <c r="G1464" s="4" t="s">
        <v>1555</v>
      </c>
      <c r="H1464" s="1">
        <v>0</v>
      </c>
      <c r="I1464" s="1">
        <v>0</v>
      </c>
      <c r="J1464" s="1">
        <v>0</v>
      </c>
      <c r="K1464" s="2">
        <v>93.0</v>
      </c>
    </row>
    <row r="1465" spans="1:12">
      <c r="A1465" s="3" t="s">
        <v>1497</v>
      </c>
      <c r="B1465" s="3" t="s">
        <v>1533</v>
      </c>
      <c r="C1465" s="3"/>
      <c r="D1465" s="3"/>
      <c r="E1465" s="2" t="str">
        <f>HYPERLINK("https://old.ukr-mobil.com/index.php?route=product&amp;product_id=10005647", "Перейти")</f>
        <v>Перейти</v>
      </c>
      <c r="F1465" s="2">
        <v>10005647</v>
      </c>
      <c r="G1465" s="4" t="s">
        <v>1556</v>
      </c>
      <c r="H1465" s="1">
        <v>0</v>
      </c>
      <c r="I1465" s="1">
        <v>0</v>
      </c>
      <c r="J1465" s="1">
        <v>0</v>
      </c>
      <c r="K1465" s="2">
        <v>2.75</v>
      </c>
    </row>
    <row r="1466" spans="1:12">
      <c r="A1466" s="3" t="s">
        <v>1497</v>
      </c>
      <c r="B1466" s="3" t="s">
        <v>1557</v>
      </c>
      <c r="C1466" s="3"/>
      <c r="D1466" s="3"/>
      <c r="E1466" s="2" t="str">
        <f>HYPERLINK("https://old.ukr-mobil.com/index.php?route=product&amp;product_id=10006045", "Перейти")</f>
        <v>Перейти</v>
      </c>
      <c r="F1466" s="2">
        <v>10006045</v>
      </c>
      <c r="G1466" s="4" t="s">
        <v>1558</v>
      </c>
      <c r="H1466" s="1">
        <v>0</v>
      </c>
      <c r="I1466" s="1">
        <v>0</v>
      </c>
      <c r="J1466" s="1">
        <v>0</v>
      </c>
      <c r="K1466" s="2">
        <v>82.0</v>
      </c>
    </row>
    <row r="1467" spans="1:12">
      <c r="A1467" s="3" t="s">
        <v>1497</v>
      </c>
      <c r="B1467" s="3" t="s">
        <v>1557</v>
      </c>
      <c r="C1467" s="3"/>
      <c r="D1467" s="3"/>
      <c r="E1467" s="2" t="str">
        <f>HYPERLINK("https://old.ukr-mobil.com/index.php?route=product&amp;product_id=10006190", "Перейти")</f>
        <v>Перейти</v>
      </c>
      <c r="F1467" s="2">
        <v>10006190</v>
      </c>
      <c r="G1467" s="4" t="s">
        <v>1559</v>
      </c>
      <c r="H1467" s="1">
        <v>0</v>
      </c>
      <c r="I1467" s="1">
        <v>0</v>
      </c>
      <c r="J1467" s="1">
        <v>0</v>
      </c>
      <c r="K1467" s="2">
        <v>117.0</v>
      </c>
    </row>
    <row r="1468" spans="1:12">
      <c r="A1468" s="3" t="s">
        <v>1497</v>
      </c>
      <c r="B1468" s="3" t="s">
        <v>1557</v>
      </c>
      <c r="C1468" s="3"/>
      <c r="D1468" s="3"/>
      <c r="E1468" s="2" t="str">
        <f>HYPERLINK("https://old.ukr-mobil.com/index.php?route=product&amp;product_id=10005725", "Перейти")</f>
        <v>Перейти</v>
      </c>
      <c r="F1468" s="2">
        <v>10005725</v>
      </c>
      <c r="G1468" s="4" t="s">
        <v>1560</v>
      </c>
      <c r="H1468" s="1">
        <v>0</v>
      </c>
      <c r="I1468" s="1">
        <v>0</v>
      </c>
      <c r="J1468" s="1">
        <v>0</v>
      </c>
      <c r="K1468" s="2">
        <v>58.0</v>
      </c>
    </row>
    <row r="1469" spans="1:12">
      <c r="A1469" s="3" t="s">
        <v>1497</v>
      </c>
      <c r="B1469" s="3" t="s">
        <v>1557</v>
      </c>
      <c r="C1469" s="3"/>
      <c r="D1469" s="3"/>
      <c r="E1469" s="2" t="str">
        <f>HYPERLINK("https://old.ukr-mobil.com/index.php?route=product&amp;product_id=10005929", "Перейти")</f>
        <v>Перейти</v>
      </c>
      <c r="F1469" s="2">
        <v>10005929</v>
      </c>
      <c r="G1469" s="4" t="s">
        <v>1561</v>
      </c>
      <c r="H1469" s="1">
        <v>0</v>
      </c>
      <c r="I1469" s="1">
        <v>0</v>
      </c>
      <c r="J1469" s="1">
        <v>0</v>
      </c>
      <c r="K1469" s="2">
        <v>138.0</v>
      </c>
    </row>
    <row r="1470" spans="1:12">
      <c r="A1470" s="3" t="s">
        <v>1497</v>
      </c>
      <c r="B1470" s="3" t="s">
        <v>1557</v>
      </c>
      <c r="C1470" s="3"/>
      <c r="D1470" s="3"/>
      <c r="E1470" s="2" t="str">
        <f>HYPERLINK("https://old.ukr-mobil.com/index.php?route=product&amp;product_id=10005930", "Перейти")</f>
        <v>Перейти</v>
      </c>
      <c r="F1470" s="2">
        <v>10005930</v>
      </c>
      <c r="G1470" s="4" t="s">
        <v>1562</v>
      </c>
      <c r="H1470" s="1">
        <v>0</v>
      </c>
      <c r="I1470" s="1">
        <v>0</v>
      </c>
      <c r="J1470" s="1">
        <v>0</v>
      </c>
      <c r="K1470" s="2">
        <v>108.0</v>
      </c>
    </row>
    <row r="1471" spans="1:12">
      <c r="A1471" s="3" t="s">
        <v>1497</v>
      </c>
      <c r="B1471" s="3" t="s">
        <v>1557</v>
      </c>
      <c r="C1471" s="3"/>
      <c r="D1471" s="3"/>
      <c r="E1471" s="2" t="str">
        <f>HYPERLINK("https://old.ukr-mobil.com/videopriemnik_vrx_skyzone_steadyview_x_5_8_ghz_10005643", "Перейти")</f>
        <v>Перейти</v>
      </c>
      <c r="F1471" s="2">
        <v>10005643</v>
      </c>
      <c r="G1471" s="4" t="s">
        <v>1563</v>
      </c>
      <c r="H1471" s="1">
        <v>0</v>
      </c>
      <c r="I1471" s="1">
        <v>0</v>
      </c>
      <c r="J1471" s="1">
        <v>0</v>
      </c>
      <c r="K1471" s="2">
        <v>124.0</v>
      </c>
    </row>
    <row r="1472" spans="1:12">
      <c r="A1472" s="3" t="s">
        <v>1497</v>
      </c>
      <c r="B1472" s="3" t="s">
        <v>1557</v>
      </c>
      <c r="C1472" s="3"/>
      <c r="D1472" s="3"/>
      <c r="E1472" s="2" t="str">
        <f>HYPERLINK("https://old.ukr-mobil.com/index.php?route=product&amp;product_id=10005767", "Перейти")</f>
        <v>Перейти</v>
      </c>
      <c r="F1472" s="2">
        <v>10005767</v>
      </c>
      <c r="G1472" s="4" t="s">
        <v>1564</v>
      </c>
      <c r="H1472" s="1">
        <v>0</v>
      </c>
      <c r="I1472" s="1">
        <v>0</v>
      </c>
      <c r="J1472" s="1">
        <v>0</v>
      </c>
      <c r="K1472" s="2">
        <v>72.0</v>
      </c>
    </row>
    <row r="1473" spans="1:12">
      <c r="A1473" s="3" t="s">
        <v>1497</v>
      </c>
      <c r="B1473" s="3" t="s">
        <v>1565</v>
      </c>
      <c r="C1473" s="3"/>
      <c r="D1473" s="3"/>
      <c r="E1473" s="2" t="str">
        <f>HYPERLINK("https://old.ukr-mobil.com/index.php?route=product&amp;product_id=10006236", "Перейти")</f>
        <v>Перейти</v>
      </c>
      <c r="F1473" s="2">
        <v>10006236</v>
      </c>
      <c r="G1473" s="4" t="s">
        <v>1566</v>
      </c>
      <c r="H1473" s="1">
        <v>0</v>
      </c>
      <c r="I1473" s="1">
        <v>0</v>
      </c>
      <c r="J1473" s="1">
        <v>0</v>
      </c>
      <c r="K1473" s="2">
        <v>250.0</v>
      </c>
    </row>
    <row r="1474" spans="1:12">
      <c r="A1474" s="3" t="s">
        <v>1497</v>
      </c>
      <c r="B1474" s="3" t="s">
        <v>1565</v>
      </c>
      <c r="C1474" s="3"/>
      <c r="D1474" s="3"/>
      <c r="E1474" s="2" t="str">
        <f>HYPERLINK("https://old.ukr-mobil.com/index.php?route=product&amp;product_id=10006177", "Перейти")</f>
        <v>Перейти</v>
      </c>
      <c r="F1474" s="2">
        <v>10006177</v>
      </c>
      <c r="G1474" s="4" t="s">
        <v>1567</v>
      </c>
      <c r="H1474" s="1">
        <v>350</v>
      </c>
      <c r="I1474" s="1">
        <v>0</v>
      </c>
      <c r="J1474" s="1">
        <v>0</v>
      </c>
      <c r="K1474" s="2">
        <v>188.0</v>
      </c>
    </row>
    <row r="1475" spans="1:12">
      <c r="A1475" s="3" t="s">
        <v>1497</v>
      </c>
      <c r="B1475" s="3" t="s">
        <v>1565</v>
      </c>
      <c r="C1475" s="3"/>
      <c r="D1475" s="3"/>
      <c r="E1475" s="2" t="str">
        <f>HYPERLINK("https://old.ukr-mobil.com/index.php?route=product&amp;product_id=10006235", "Перейти")</f>
        <v>Перейти</v>
      </c>
      <c r="F1475" s="2">
        <v>10006235</v>
      </c>
      <c r="G1475" s="4" t="s">
        <v>1568</v>
      </c>
      <c r="H1475" s="1">
        <v>10</v>
      </c>
      <c r="I1475" s="1">
        <v>0</v>
      </c>
      <c r="J1475" s="1">
        <v>0</v>
      </c>
      <c r="K1475" s="2">
        <v>520.0</v>
      </c>
    </row>
    <row r="1476" spans="1:12">
      <c r="A1476" s="3" t="s">
        <v>1497</v>
      </c>
      <c r="B1476" s="3" t="s">
        <v>1569</v>
      </c>
      <c r="C1476" s="3"/>
      <c r="D1476" s="3"/>
      <c r="E1476" s="2" t="str">
        <f>HYPERLINK("https://old.ukr-mobil.com/index.php?route=product&amp;product_id=10006124", "Перейти")</f>
        <v>Перейти</v>
      </c>
      <c r="F1476" s="2">
        <v>10006124</v>
      </c>
      <c r="G1476" s="4" t="s">
        <v>1570</v>
      </c>
      <c r="H1476" s="1">
        <v>18</v>
      </c>
      <c r="I1476" s="1">
        <v>0</v>
      </c>
      <c r="J1476" s="1">
        <v>0</v>
      </c>
      <c r="K1476" s="2">
        <v>215.0</v>
      </c>
    </row>
    <row r="1477" spans="1:12">
      <c r="A1477" s="3" t="s">
        <v>1497</v>
      </c>
      <c r="B1477" s="3" t="s">
        <v>1569</v>
      </c>
      <c r="C1477" s="3"/>
      <c r="D1477" s="3"/>
      <c r="E1477" s="2" t="str">
        <f>HYPERLINK("https://old.ukr-mobil.com/index.php?route=product&amp;product_id=10006119", "Перейти")</f>
        <v>Перейти</v>
      </c>
      <c r="F1477" s="2">
        <v>10006119</v>
      </c>
      <c r="G1477" s="4" t="s">
        <v>1571</v>
      </c>
      <c r="H1477" s="1">
        <v>0</v>
      </c>
      <c r="I1477" s="1">
        <v>0</v>
      </c>
      <c r="J1477" s="1">
        <v>0</v>
      </c>
      <c r="K1477" s="2">
        <v>88.0</v>
      </c>
    </row>
    <row r="1478" spans="1:12">
      <c r="A1478" s="3" t="s">
        <v>1497</v>
      </c>
      <c r="B1478" s="3" t="s">
        <v>1572</v>
      </c>
      <c r="C1478" s="3"/>
      <c r="D1478" s="3"/>
      <c r="E1478" s="2" t="str">
        <f>HYPERLINK("https://old.ukr-mobil.com/index.php?route=product&amp;product_id=10005718", "Перейти")</f>
        <v>Перейти</v>
      </c>
      <c r="F1478" s="2">
        <v>10005718</v>
      </c>
      <c r="G1478" s="4" t="s">
        <v>1573</v>
      </c>
      <c r="H1478" s="1">
        <v>0</v>
      </c>
      <c r="I1478" s="1">
        <v>0</v>
      </c>
      <c r="J1478" s="1">
        <v>0</v>
      </c>
      <c r="K1478" s="2">
        <v>590.0</v>
      </c>
    </row>
    <row r="1479" spans="1:12">
      <c r="A1479" s="3" t="s">
        <v>1497</v>
      </c>
      <c r="B1479" s="3" t="s">
        <v>1572</v>
      </c>
      <c r="C1479" s="3"/>
      <c r="D1479" s="3"/>
      <c r="E1479" s="2" t="str">
        <f>HYPERLINK("https://old.ukr-mobil.com/dron_fpv_7_dyujmov_f405_50a_emax_2807_1300kv_elrs_915_mhz_vtx_5_8g_2w_10005559", "Перейти")</f>
        <v>Перейти</v>
      </c>
      <c r="F1479" s="2">
        <v>10005559</v>
      </c>
      <c r="G1479" s="4" t="s">
        <v>1574</v>
      </c>
      <c r="H1479" s="1">
        <v>0</v>
      </c>
      <c r="I1479" s="1">
        <v>0</v>
      </c>
      <c r="J1479" s="1">
        <v>99</v>
      </c>
      <c r="K1479" s="2">
        <v>355.0</v>
      </c>
    </row>
    <row r="1480" spans="1:12">
      <c r="A1480" s="3" t="s">
        <v>1497</v>
      </c>
      <c r="B1480" s="3" t="s">
        <v>1572</v>
      </c>
      <c r="C1480" s="3"/>
      <c r="D1480" s="3"/>
      <c r="E1480" s="2" t="str">
        <f>HYPERLINK("https://old.ukr-mobil.com/dron_fpv_7_dyujmov_f405_50a_flashhobby_2807_1300kv_elrs_915_mhz_vtx_5_8g_2_5w_10005560", "Перейти")</f>
        <v>Перейти</v>
      </c>
      <c r="F1480" s="2">
        <v>10005560</v>
      </c>
      <c r="G1480" s="4" t="s">
        <v>1575</v>
      </c>
      <c r="H1480" s="1">
        <v>0</v>
      </c>
      <c r="I1480" s="1">
        <v>0</v>
      </c>
      <c r="J1480" s="1">
        <v>100</v>
      </c>
      <c r="K1480" s="2">
        <v>335.0</v>
      </c>
    </row>
    <row r="1481" spans="1:12">
      <c r="A1481" s="3" t="s">
        <v>1497</v>
      </c>
      <c r="B1481" s="3" t="s">
        <v>1572</v>
      </c>
      <c r="C1481" s="3"/>
      <c r="D1481" s="3"/>
      <c r="E1481" s="2" t="str">
        <f>HYPERLINK("https://old.ukr-mobil.com/dron_fpv_7_dyujmov_sologood_f405_55a_emax_2807_1300kv_elrs_915_mhz_foxeer_reaper_extreme_v2_5_8g_25w_10005608", "Перейти")</f>
        <v>Перейти</v>
      </c>
      <c r="F1481" s="2">
        <v>10005608</v>
      </c>
      <c r="G1481" s="4" t="s">
        <v>1576</v>
      </c>
      <c r="H1481" s="1">
        <v>0</v>
      </c>
      <c r="I1481" s="1">
        <v>0</v>
      </c>
      <c r="J1481" s="1">
        <v>0</v>
      </c>
      <c r="K1481" s="2">
        <v>490.0</v>
      </c>
    </row>
    <row r="1482" spans="1:12">
      <c r="A1482" s="3" t="s">
        <v>1497</v>
      </c>
      <c r="B1482" s="3" t="s">
        <v>1577</v>
      </c>
      <c r="C1482" s="3"/>
      <c r="D1482" s="3"/>
      <c r="E1482" s="2" t="str">
        <f>HYPERLINK("https://old.ukr-mobil.com/index.php?route=product&amp;product_id=10004753", "Перейти")</f>
        <v>Перейти</v>
      </c>
      <c r="F1482" s="2">
        <v>10004753</v>
      </c>
      <c r="G1482" s="4" t="s">
        <v>1578</v>
      </c>
      <c r="H1482" s="1">
        <v>0</v>
      </c>
      <c r="I1482" s="1">
        <v>0</v>
      </c>
      <c r="J1482" s="1">
        <v>0</v>
      </c>
      <c r="K1482" s="2">
        <v>21.0</v>
      </c>
    </row>
    <row r="1483" spans="1:12">
      <c r="A1483" s="3" t="s">
        <v>1497</v>
      </c>
      <c r="B1483" s="3" t="s">
        <v>1577</v>
      </c>
      <c r="C1483" s="3"/>
      <c r="D1483" s="3"/>
      <c r="E1483" s="2" t="str">
        <f>HYPERLINK("https://old.ukr-mobil.com/index.php?route=product&amp;product_id=10004578", "Перейти")</f>
        <v>Перейти</v>
      </c>
      <c r="F1483" s="2">
        <v>10004578</v>
      </c>
      <c r="G1483" s="4" t="s">
        <v>1579</v>
      </c>
      <c r="H1483" s="1">
        <v>0</v>
      </c>
      <c r="I1483" s="1">
        <v>0</v>
      </c>
      <c r="J1483" s="1">
        <v>0</v>
      </c>
      <c r="K1483" s="2">
        <v>72.0</v>
      </c>
    </row>
    <row r="1484" spans="1:12">
      <c r="A1484" s="3" t="s">
        <v>1497</v>
      </c>
      <c r="B1484" s="3" t="s">
        <v>1577</v>
      </c>
      <c r="C1484" s="3"/>
      <c r="D1484" s="3"/>
      <c r="E1484" s="2" t="str">
        <f>HYPERLINK("https://old.ukr-mobil.com/index.php?route=product&amp;product_id=10004822", "Перейти")</f>
        <v>Перейти</v>
      </c>
      <c r="F1484" s="2">
        <v>10004822</v>
      </c>
      <c r="G1484" s="4" t="s">
        <v>1580</v>
      </c>
      <c r="H1484" s="1">
        <v>0</v>
      </c>
      <c r="I1484" s="1">
        <v>0</v>
      </c>
      <c r="J1484" s="1">
        <v>0</v>
      </c>
      <c r="K1484" s="2">
        <v>77.0</v>
      </c>
    </row>
    <row r="1485" spans="1:12">
      <c r="A1485" s="3" t="s">
        <v>1497</v>
      </c>
      <c r="B1485" s="3" t="s">
        <v>1577</v>
      </c>
      <c r="C1485" s="3"/>
      <c r="D1485" s="3"/>
      <c r="E1485" s="2" t="str">
        <f>HYPERLINK("https://old.ukr-mobil.com/index.php?route=product&amp;product_id=10006167", "Перейти")</f>
        <v>Перейти</v>
      </c>
      <c r="F1485" s="2">
        <v>10006167</v>
      </c>
      <c r="G1485" s="4" t="s">
        <v>1581</v>
      </c>
      <c r="H1485" s="1">
        <v>60</v>
      </c>
      <c r="I1485" s="1">
        <v>9</v>
      </c>
      <c r="J1485" s="1">
        <v>0</v>
      </c>
      <c r="K1485" s="2">
        <v>105.0</v>
      </c>
    </row>
    <row r="1486" spans="1:12">
      <c r="A1486" s="3" t="s">
        <v>1497</v>
      </c>
      <c r="B1486" s="3" t="s">
        <v>1577</v>
      </c>
      <c r="C1486" s="3"/>
      <c r="D1486" s="3"/>
      <c r="E1486" s="2" t="str">
        <f>HYPERLINK("https://old.ukr-mobil.com/index.php?route=product&amp;product_id=10004821", "Перейти")</f>
        <v>Перейти</v>
      </c>
      <c r="F1486" s="2">
        <v>10004821</v>
      </c>
      <c r="G1486" s="4" t="s">
        <v>1582</v>
      </c>
      <c r="H1486" s="1">
        <v>0</v>
      </c>
      <c r="I1486" s="1">
        <v>0</v>
      </c>
      <c r="J1486" s="1">
        <v>0</v>
      </c>
      <c r="K1486" s="2">
        <v>173.0</v>
      </c>
    </row>
    <row r="1487" spans="1:12">
      <c r="A1487" s="3" t="s">
        <v>1497</v>
      </c>
      <c r="B1487" s="3" t="s">
        <v>1577</v>
      </c>
      <c r="C1487" s="3"/>
      <c r="D1487" s="3"/>
      <c r="E1487" s="2" t="str">
        <f>HYPERLINK("https://old.ukr-mobil.com/index.php?route=product&amp;product_id=10004830", "Перейти")</f>
        <v>Перейти</v>
      </c>
      <c r="F1487" s="2">
        <v>10004830</v>
      </c>
      <c r="G1487" s="4" t="s">
        <v>1583</v>
      </c>
      <c r="H1487" s="1">
        <v>88</v>
      </c>
      <c r="I1487" s="1">
        <v>0</v>
      </c>
      <c r="J1487" s="1">
        <v>10</v>
      </c>
      <c r="K1487" s="2">
        <v>9.15</v>
      </c>
    </row>
    <row r="1488" spans="1:12">
      <c r="A1488" s="3" t="s">
        <v>1497</v>
      </c>
      <c r="B1488" s="3" t="s">
        <v>1584</v>
      </c>
      <c r="C1488" s="3"/>
      <c r="D1488" s="3"/>
      <c r="E1488" s="2" t="str">
        <f>HYPERLINK("https://old.ukr-mobil.com/kamera_dlya_drona_fpv_akk_teplovizionnaya_analogovaya_256_h_192_10_mm_10005046", "Перейти")</f>
        <v>Перейти</v>
      </c>
      <c r="F1488" s="2">
        <v>10005046</v>
      </c>
      <c r="G1488" s="4" t="s">
        <v>1585</v>
      </c>
      <c r="H1488" s="1">
        <v>0</v>
      </c>
      <c r="I1488" s="1">
        <v>0</v>
      </c>
      <c r="J1488" s="1">
        <v>0</v>
      </c>
      <c r="K1488" s="2">
        <v>360.0</v>
      </c>
    </row>
    <row r="1489" spans="1:12">
      <c r="A1489" s="3" t="s">
        <v>1497</v>
      </c>
      <c r="B1489" s="3" t="s">
        <v>1584</v>
      </c>
      <c r="C1489" s="3"/>
      <c r="D1489" s="3"/>
      <c r="E1489" s="2" t="str">
        <f>HYPERLINK("https://old.ukr-mobil.com/index.php?route=product&amp;product_id=10005934", "Перейти")</f>
        <v>Перейти</v>
      </c>
      <c r="F1489" s="2">
        <v>10005934</v>
      </c>
      <c r="G1489" s="4" t="s">
        <v>1586</v>
      </c>
      <c r="H1489" s="1">
        <v>0</v>
      </c>
      <c r="I1489" s="1">
        <v>0</v>
      </c>
      <c r="J1489" s="1">
        <v>0</v>
      </c>
      <c r="K1489" s="2">
        <v>15.0</v>
      </c>
    </row>
    <row r="1490" spans="1:12">
      <c r="A1490" s="3" t="s">
        <v>1497</v>
      </c>
      <c r="B1490" s="3" t="s">
        <v>1584</v>
      </c>
      <c r="C1490" s="3"/>
      <c r="D1490" s="3"/>
      <c r="E1490" s="2" t="str">
        <f>HYPERLINK("https://old.ukr-mobil.com/index.php?route=product&amp;product_id=10006019", "Перейти")</f>
        <v>Перейти</v>
      </c>
      <c r="F1490" s="2">
        <v>10006019</v>
      </c>
      <c r="G1490" s="4" t="s">
        <v>1587</v>
      </c>
      <c r="H1490" s="1">
        <v>0</v>
      </c>
      <c r="I1490" s="1">
        <v>0</v>
      </c>
      <c r="J1490" s="1">
        <v>0</v>
      </c>
      <c r="K1490" s="2">
        <v>24.0</v>
      </c>
    </row>
    <row r="1491" spans="1:12">
      <c r="A1491" s="3" t="s">
        <v>1497</v>
      </c>
      <c r="B1491" s="3" t="s">
        <v>1584</v>
      </c>
      <c r="C1491" s="3"/>
      <c r="D1491" s="3"/>
      <c r="E1491" s="2" t="str">
        <f>HYPERLINK("https://old.ukr-mobil.com/index.php?route=product&amp;product_id=10005935", "Перейти")</f>
        <v>Перейти</v>
      </c>
      <c r="F1491" s="2">
        <v>10005935</v>
      </c>
      <c r="G1491" s="4" t="s">
        <v>1588</v>
      </c>
      <c r="H1491" s="1">
        <v>180</v>
      </c>
      <c r="I1491" s="1">
        <v>48</v>
      </c>
      <c r="J1491" s="1">
        <v>41</v>
      </c>
      <c r="K1491" s="2">
        <v>32.0</v>
      </c>
    </row>
    <row r="1492" spans="1:12">
      <c r="A1492" s="3" t="s">
        <v>1497</v>
      </c>
      <c r="B1492" s="3" t="s">
        <v>1584</v>
      </c>
      <c r="C1492" s="3"/>
      <c r="D1492" s="3"/>
      <c r="E1492" s="2" t="str">
        <f>HYPERLINK("https://old.ukr-mobil.com/index.php?route=product&amp;product_id=10005944", "Перейти")</f>
        <v>Перейти</v>
      </c>
      <c r="F1492" s="2">
        <v>10005944</v>
      </c>
      <c r="G1492" s="4" t="s">
        <v>1589</v>
      </c>
      <c r="H1492" s="1">
        <v>0</v>
      </c>
      <c r="I1492" s="1">
        <v>0</v>
      </c>
      <c r="J1492" s="1">
        <v>0</v>
      </c>
      <c r="K1492" s="2">
        <v>270.0</v>
      </c>
    </row>
    <row r="1493" spans="1:12">
      <c r="A1493" s="3" t="s">
        <v>1497</v>
      </c>
      <c r="B1493" s="3" t="s">
        <v>1584</v>
      </c>
      <c r="C1493" s="3"/>
      <c r="D1493" s="3"/>
      <c r="E1493" s="2" t="str">
        <f>HYPERLINK("https://old.ukr-mobil.com/index.php?route=product&amp;product_id=10005945", "Перейти")</f>
        <v>Перейти</v>
      </c>
      <c r="F1493" s="2">
        <v>10005945</v>
      </c>
      <c r="G1493" s="4" t="s">
        <v>1590</v>
      </c>
      <c r="H1493" s="1">
        <v>3</v>
      </c>
      <c r="I1493" s="1">
        <v>1</v>
      </c>
      <c r="J1493" s="1">
        <v>1</v>
      </c>
      <c r="K1493" s="2">
        <v>680.0</v>
      </c>
    </row>
    <row r="1494" spans="1:12">
      <c r="A1494" s="3" t="s">
        <v>1497</v>
      </c>
      <c r="B1494" s="3" t="s">
        <v>1584</v>
      </c>
      <c r="C1494" s="3"/>
      <c r="D1494" s="3"/>
      <c r="E1494" s="2" t="str">
        <f>HYPERLINK("https://old.ukr-mobil.com/index.php?route=product&amp;product_id=10005946", "Перейти")</f>
        <v>Перейти</v>
      </c>
      <c r="F1494" s="2">
        <v>10005946</v>
      </c>
      <c r="G1494" s="4" t="s">
        <v>1591</v>
      </c>
      <c r="H1494" s="1">
        <v>0</v>
      </c>
      <c r="I1494" s="1">
        <v>0</v>
      </c>
      <c r="J1494" s="1">
        <v>0</v>
      </c>
      <c r="K1494" s="2">
        <v>880.0</v>
      </c>
    </row>
    <row r="1495" spans="1:12">
      <c r="A1495" s="3" t="s">
        <v>1497</v>
      </c>
      <c r="B1495" s="3" t="s">
        <v>1584</v>
      </c>
      <c r="C1495" s="3"/>
      <c r="D1495" s="3"/>
      <c r="E1495" s="2" t="str">
        <f>HYPERLINK("https://old.ukr-mobil.com/index.php?route=product&amp;product_id=10006237", "Перейти")</f>
        <v>Перейти</v>
      </c>
      <c r="F1495" s="2">
        <v>10006237</v>
      </c>
      <c r="G1495" s="4" t="s">
        <v>1592</v>
      </c>
      <c r="H1495" s="1">
        <v>500</v>
      </c>
      <c r="I1495" s="1">
        <v>0</v>
      </c>
      <c r="J1495" s="1">
        <v>0</v>
      </c>
      <c r="K1495" s="2">
        <v>179.0</v>
      </c>
    </row>
    <row r="1496" spans="1:12">
      <c r="A1496" s="3" t="s">
        <v>1497</v>
      </c>
      <c r="B1496" s="3" t="s">
        <v>1584</v>
      </c>
      <c r="C1496" s="3"/>
      <c r="D1496" s="3"/>
      <c r="E1496" s="2" t="str">
        <f>HYPERLINK("https://old.ukr-mobil.com/index.php?route=product&amp;product_id=10006244", "Перейти")</f>
        <v>Перейти</v>
      </c>
      <c r="F1496" s="2">
        <v>10006244</v>
      </c>
      <c r="G1496" s="4" t="s">
        <v>1593</v>
      </c>
      <c r="H1496" s="1">
        <v>499</v>
      </c>
      <c r="I1496" s="1">
        <v>0</v>
      </c>
      <c r="J1496" s="1">
        <v>1</v>
      </c>
      <c r="K1496" s="2">
        <v>107.0</v>
      </c>
    </row>
    <row r="1497" spans="1:12">
      <c r="A1497" s="3" t="s">
        <v>1497</v>
      </c>
      <c r="B1497" s="3" t="s">
        <v>1584</v>
      </c>
      <c r="C1497" s="3"/>
      <c r="D1497" s="3"/>
      <c r="E1497" s="2" t="str">
        <f>HYPERLINK("https://old.ukr-mobil.com/index.php?route=product&amp;product_id=10006114", "Перейти")</f>
        <v>Перейти</v>
      </c>
      <c r="F1497" s="2">
        <v>10006114</v>
      </c>
      <c r="G1497" s="4" t="s">
        <v>1594</v>
      </c>
      <c r="H1497" s="1">
        <v>496</v>
      </c>
      <c r="I1497" s="1">
        <v>54</v>
      </c>
      <c r="J1497" s="1">
        <v>77</v>
      </c>
      <c r="K1497" s="2">
        <v>152.8</v>
      </c>
    </row>
    <row r="1498" spans="1:12">
      <c r="A1498" s="3" t="s">
        <v>1497</v>
      </c>
      <c r="B1498" s="3" t="s">
        <v>1584</v>
      </c>
      <c r="C1498" s="3"/>
      <c r="D1498" s="3"/>
      <c r="E1498" s="2" t="str">
        <f>HYPERLINK("https://old.ukr-mobil.com/kamera_dlya_drona_fpv_caddx_ratel_2_micro_1200tvl_1_1_8_starlight_hdr_2_1mm_165_10004680", "Перейти")</f>
        <v>Перейти</v>
      </c>
      <c r="F1498" s="2">
        <v>10004680</v>
      </c>
      <c r="G1498" s="4" t="s">
        <v>1595</v>
      </c>
      <c r="H1498" s="1">
        <v>1987</v>
      </c>
      <c r="I1498" s="1">
        <v>0</v>
      </c>
      <c r="J1498" s="1">
        <v>0</v>
      </c>
      <c r="K1498" s="2">
        <v>31.0</v>
      </c>
    </row>
    <row r="1499" spans="1:12">
      <c r="A1499" s="3" t="s">
        <v>1497</v>
      </c>
      <c r="B1499" s="3" t="s">
        <v>1584</v>
      </c>
      <c r="C1499" s="3"/>
      <c r="D1499" s="3"/>
      <c r="E1499" s="2" t="str">
        <f>HYPERLINK("https://old.ukr-mobil.com/index.php?route=product&amp;product_id=10005713", "Перейти")</f>
        <v>Перейти</v>
      </c>
      <c r="F1499" s="2">
        <v>10005713</v>
      </c>
      <c r="G1499" s="4" t="s">
        <v>1596</v>
      </c>
      <c r="H1499" s="1">
        <v>2695</v>
      </c>
      <c r="I1499" s="1">
        <v>0</v>
      </c>
      <c r="J1499" s="1">
        <v>0</v>
      </c>
      <c r="K1499" s="2">
        <v>36.0</v>
      </c>
    </row>
    <row r="1500" spans="1:12">
      <c r="A1500" s="3" t="s">
        <v>1497</v>
      </c>
      <c r="B1500" s="3" t="s">
        <v>1584</v>
      </c>
      <c r="C1500" s="3"/>
      <c r="D1500" s="3"/>
      <c r="E1500" s="2" t="str">
        <f>HYPERLINK("https://old.ukr-mobil.com/kamera_dlya_drona_fpv_caddx_ratel_pro_micro_19mmx19mm_1500tvl_1_1_8_super_wdr_125_dlya_poletov_v_sumerkah_10005592", "Перейти")</f>
        <v>Перейти</v>
      </c>
      <c r="F1500" s="2">
        <v>10005592</v>
      </c>
      <c r="G1500" s="4" t="s">
        <v>1597</v>
      </c>
      <c r="H1500" s="1">
        <v>175</v>
      </c>
      <c r="I1500" s="1">
        <v>0</v>
      </c>
      <c r="J1500" s="1">
        <v>0</v>
      </c>
      <c r="K1500" s="2">
        <v>40.0</v>
      </c>
    </row>
    <row r="1501" spans="1:12">
      <c r="A1501" s="3" t="s">
        <v>1497</v>
      </c>
      <c r="B1501" s="3" t="s">
        <v>1584</v>
      </c>
      <c r="C1501" s="3"/>
      <c r="D1501" s="3"/>
      <c r="E1501" s="2" t="str">
        <f>HYPERLINK("https://old.ukr-mobil.com/kamera_dlya_drona_fpv_foxeer_cat_3_micro_1_3_1200_tvl_0_00001_10004588", "Перейти")</f>
        <v>Перейти</v>
      </c>
      <c r="F1501" s="2">
        <v>10004588</v>
      </c>
      <c r="G1501" s="4" t="s">
        <v>1598</v>
      </c>
      <c r="H1501" s="1">
        <v>0</v>
      </c>
      <c r="I1501" s="1">
        <v>0</v>
      </c>
      <c r="J1501" s="1">
        <v>0</v>
      </c>
      <c r="K1501" s="2">
        <v>45.0</v>
      </c>
    </row>
    <row r="1502" spans="1:12">
      <c r="A1502" s="3" t="s">
        <v>1497</v>
      </c>
      <c r="B1502" s="3" t="s">
        <v>1584</v>
      </c>
      <c r="C1502" s="3"/>
      <c r="D1502" s="3"/>
      <c r="E1502" s="2" t="str">
        <f>HYPERLINK("https://old.ukr-mobil.com/index.php?route=product&amp;product_id=10005554", "Перейти")</f>
        <v>Перейти</v>
      </c>
      <c r="F1502" s="2">
        <v>10005554</v>
      </c>
      <c r="G1502" s="4" t="s">
        <v>1599</v>
      </c>
      <c r="H1502" s="1">
        <v>0</v>
      </c>
      <c r="I1502" s="1">
        <v>0</v>
      </c>
      <c r="J1502" s="1">
        <v>0</v>
      </c>
      <c r="K1502" s="2">
        <v>57.0</v>
      </c>
    </row>
    <row r="1503" spans="1:12">
      <c r="A1503" s="3" t="s">
        <v>1497</v>
      </c>
      <c r="B1503" s="3" t="s">
        <v>1584</v>
      </c>
      <c r="C1503" s="3"/>
      <c r="D1503" s="3"/>
      <c r="E1503" s="2" t="str">
        <f>HYPERLINK("https://old.ukr-mobil.com/kamera_dlya_drona_fpv_runcam_phoenix_2_sp_1500tvl_1_2_8_cmos_4_3_16_9_ntsc_pal_10004777", "Перейти")</f>
        <v>Перейти</v>
      </c>
      <c r="F1503" s="2">
        <v>10004777</v>
      </c>
      <c r="G1503" s="4" t="s">
        <v>1600</v>
      </c>
      <c r="H1503" s="1">
        <v>0</v>
      </c>
      <c r="I1503" s="1">
        <v>0</v>
      </c>
      <c r="J1503" s="1">
        <v>0</v>
      </c>
      <c r="K1503" s="2">
        <v>28.0</v>
      </c>
    </row>
    <row r="1504" spans="1:12">
      <c r="A1504" s="3" t="s">
        <v>1497</v>
      </c>
      <c r="B1504" s="3" t="s">
        <v>1584</v>
      </c>
      <c r="C1504" s="3"/>
      <c r="D1504" s="3"/>
      <c r="E1504" s="2" t="str">
        <f>HYPERLINK("https://old.ukr-mobil.com/index.php?route=product&amp;product_id=10006197", "Перейти")</f>
        <v>Перейти</v>
      </c>
      <c r="F1504" s="2">
        <v>10006197</v>
      </c>
      <c r="G1504" s="4" t="s">
        <v>1601</v>
      </c>
      <c r="H1504" s="1">
        <v>45</v>
      </c>
      <c r="I1504" s="1">
        <v>0</v>
      </c>
      <c r="J1504" s="1">
        <v>0</v>
      </c>
      <c r="K1504" s="2">
        <v>310.0</v>
      </c>
    </row>
    <row r="1505" spans="1:12">
      <c r="A1505" s="3" t="s">
        <v>1497</v>
      </c>
      <c r="B1505" s="3" t="s">
        <v>1602</v>
      </c>
      <c r="C1505" s="3"/>
      <c r="D1505" s="3"/>
      <c r="E1505" s="2" t="str">
        <f>HYPERLINK("https://old.ukr-mobil.com/index.php?route=product&amp;product_id=10006117", "Перейти")</f>
        <v>Перейти</v>
      </c>
      <c r="F1505" s="2">
        <v>10006117</v>
      </c>
      <c r="G1505" s="4" t="s">
        <v>1603</v>
      </c>
      <c r="H1505" s="1">
        <v>0</v>
      </c>
      <c r="I1505" s="1">
        <v>0</v>
      </c>
      <c r="J1505" s="1">
        <v>0</v>
      </c>
      <c r="K1505" s="2">
        <v>103.0</v>
      </c>
    </row>
    <row r="1506" spans="1:12">
      <c r="A1506" s="3" t="s">
        <v>1497</v>
      </c>
      <c r="B1506" s="3" t="s">
        <v>1602</v>
      </c>
      <c r="C1506" s="3"/>
      <c r="D1506" s="3"/>
      <c r="E1506" s="2" t="str">
        <f>HYPERLINK("https://old.ukr-mobil.com/modul_gps_beitian_be-182_10005674", "Перейти")</f>
        <v>Перейти</v>
      </c>
      <c r="F1506" s="2">
        <v>10005674</v>
      </c>
      <c r="G1506" s="4" t="s">
        <v>1604</v>
      </c>
      <c r="H1506" s="1">
        <v>0</v>
      </c>
      <c r="I1506" s="1">
        <v>0</v>
      </c>
      <c r="J1506" s="1">
        <v>0</v>
      </c>
      <c r="K1506" s="2">
        <v>12.5</v>
      </c>
    </row>
    <row r="1507" spans="1:12">
      <c r="A1507" s="3" t="s">
        <v>1497</v>
      </c>
      <c r="B1507" s="3" t="s">
        <v>1602</v>
      </c>
      <c r="C1507" s="3"/>
      <c r="D1507" s="3"/>
      <c r="E1507" s="2" t="str">
        <f>HYPERLINK("https://old.ukr-mobil.com/index.php?route=product&amp;product_id=10005673", "Перейти")</f>
        <v>Перейти</v>
      </c>
      <c r="F1507" s="2">
        <v>10005673</v>
      </c>
      <c r="G1507" s="4" t="s">
        <v>1605</v>
      </c>
      <c r="H1507" s="1">
        <v>0</v>
      </c>
      <c r="I1507" s="1">
        <v>0</v>
      </c>
      <c r="J1507" s="1">
        <v>0</v>
      </c>
      <c r="K1507" s="2">
        <v>15.35</v>
      </c>
    </row>
    <row r="1508" spans="1:12">
      <c r="A1508" s="3" t="s">
        <v>1497</v>
      </c>
      <c r="B1508" s="3" t="s">
        <v>1602</v>
      </c>
      <c r="C1508" s="3"/>
      <c r="D1508" s="3"/>
      <c r="E1508" s="2" t="str">
        <f>HYPERLINK("https://old.ukr-mobil.com/index.php?route=product&amp;product_id=10005675", "Перейти")</f>
        <v>Перейти</v>
      </c>
      <c r="F1508" s="2">
        <v>10005675</v>
      </c>
      <c r="G1508" s="4" t="s">
        <v>1606</v>
      </c>
      <c r="H1508" s="1">
        <v>69</v>
      </c>
      <c r="I1508" s="1">
        <v>0</v>
      </c>
      <c r="J1508" s="1">
        <v>5</v>
      </c>
      <c r="K1508" s="2">
        <v>18.5</v>
      </c>
    </row>
    <row r="1509" spans="1:12">
      <c r="A1509" s="3" t="s">
        <v>1497</v>
      </c>
      <c r="B1509" s="3" t="s">
        <v>1602</v>
      </c>
      <c r="C1509" s="3"/>
      <c r="D1509" s="3"/>
      <c r="E1509" s="2" t="str">
        <f>HYPERLINK("https://old.ukr-mobil.com/index.php?route=product&amp;product_id=10006141", "Перейти")</f>
        <v>Перейти</v>
      </c>
      <c r="F1509" s="2">
        <v>10006141</v>
      </c>
      <c r="G1509" s="4" t="s">
        <v>1607</v>
      </c>
      <c r="H1509" s="1">
        <v>20</v>
      </c>
      <c r="I1509" s="1">
        <v>0</v>
      </c>
      <c r="J1509" s="1">
        <v>0</v>
      </c>
      <c r="K1509" s="2">
        <v>215.0</v>
      </c>
    </row>
    <row r="1510" spans="1:12">
      <c r="A1510" s="3" t="s">
        <v>1497</v>
      </c>
      <c r="B1510" s="3" t="s">
        <v>1602</v>
      </c>
      <c r="C1510" s="3"/>
      <c r="D1510" s="3"/>
      <c r="E1510" s="2" t="str">
        <f>HYPERLINK("https://old.ukr-mobil.com/index.php?route=product&amp;product_id=10006116", "Перейти")</f>
        <v>Перейти</v>
      </c>
      <c r="F1510" s="2">
        <v>10006116</v>
      </c>
      <c r="G1510" s="4" t="s">
        <v>1608</v>
      </c>
      <c r="H1510" s="1">
        <v>0</v>
      </c>
      <c r="I1510" s="1">
        <v>0</v>
      </c>
      <c r="J1510" s="1">
        <v>9</v>
      </c>
      <c r="K1510" s="2">
        <v>98.0</v>
      </c>
    </row>
    <row r="1511" spans="1:12">
      <c r="A1511" s="3" t="s">
        <v>1497</v>
      </c>
      <c r="B1511" s="3" t="s">
        <v>1602</v>
      </c>
      <c r="C1511" s="3"/>
      <c r="D1511" s="3"/>
      <c r="E1511" s="2" t="str">
        <f>HYPERLINK("https://old.ukr-mobil.com/index.php?route=product&amp;product_id=10004595", "Перейти")</f>
        <v>Перейти</v>
      </c>
      <c r="F1511" s="2">
        <v>10004595</v>
      </c>
      <c r="G1511" s="4" t="s">
        <v>1609</v>
      </c>
      <c r="H1511" s="1">
        <v>0</v>
      </c>
      <c r="I1511" s="1">
        <v>0</v>
      </c>
      <c r="J1511" s="1">
        <v>0</v>
      </c>
      <c r="K1511" s="2">
        <v>46.0</v>
      </c>
    </row>
    <row r="1512" spans="1:12">
      <c r="A1512" s="3" t="s">
        <v>1497</v>
      </c>
      <c r="B1512" s="3" t="s">
        <v>1610</v>
      </c>
      <c r="C1512" s="3"/>
      <c r="D1512" s="3"/>
      <c r="E1512" s="2" t="str">
        <f>HYPERLINK("https://old.ukr-mobil.com/index.php?route=product&amp;product_id=10006152", "Перейти")</f>
        <v>Перейти</v>
      </c>
      <c r="F1512" s="2">
        <v>10006152</v>
      </c>
      <c r="G1512" s="4" t="s">
        <v>1611</v>
      </c>
      <c r="H1512" s="1">
        <v>13</v>
      </c>
      <c r="I1512" s="1">
        <v>0</v>
      </c>
      <c r="J1512" s="1">
        <v>0</v>
      </c>
      <c r="K1512" s="2">
        <v>265.0</v>
      </c>
    </row>
    <row r="1513" spans="1:12">
      <c r="A1513" s="3" t="s">
        <v>1497</v>
      </c>
      <c r="B1513" s="3" t="s">
        <v>1610</v>
      </c>
      <c r="C1513" s="3"/>
      <c r="D1513" s="3"/>
      <c r="E1513" s="2" t="str">
        <f>HYPERLINK("https://old.ukr-mobil.com/index.php?route=product&amp;product_id=10006153", "Перейти")</f>
        <v>Перейти</v>
      </c>
      <c r="F1513" s="2">
        <v>10006153</v>
      </c>
      <c r="G1513" s="4" t="s">
        <v>1612</v>
      </c>
      <c r="H1513" s="1">
        <v>9</v>
      </c>
      <c r="I1513" s="1">
        <v>0</v>
      </c>
      <c r="J1513" s="1">
        <v>0</v>
      </c>
      <c r="K1513" s="2">
        <v>265.0</v>
      </c>
    </row>
    <row r="1514" spans="1:12">
      <c r="A1514" s="3" t="s">
        <v>1497</v>
      </c>
      <c r="B1514" s="3" t="s">
        <v>1610</v>
      </c>
      <c r="C1514" s="3"/>
      <c r="D1514" s="3"/>
      <c r="E1514" s="2" t="str">
        <f>HYPERLINK("https://old.ukr-mobil.com/kombo_motor_hobbywing_xrotor_x9_plus_s_regulyatorom_bez_propellera_ccw_10005653", "Перейти")</f>
        <v>Перейти</v>
      </c>
      <c r="F1514" s="2">
        <v>10005653</v>
      </c>
      <c r="G1514" s="4" t="s">
        <v>1613</v>
      </c>
      <c r="H1514" s="1">
        <v>0</v>
      </c>
      <c r="I1514" s="1">
        <v>0</v>
      </c>
      <c r="J1514" s="1">
        <v>4</v>
      </c>
      <c r="K1514" s="2">
        <v>297.0</v>
      </c>
    </row>
    <row r="1515" spans="1:12">
      <c r="A1515" s="3" t="s">
        <v>1497</v>
      </c>
      <c r="B1515" s="3" t="s">
        <v>1610</v>
      </c>
      <c r="C1515" s="3"/>
      <c r="D1515" s="3"/>
      <c r="E1515" s="2" t="str">
        <f>HYPERLINK("https://old.ukr-mobil.com/kombo_motor_hobbywing_xrotor_x9_plus_s_regulyatorom_bez_propellera_cw_10005652", "Перейти")</f>
        <v>Перейти</v>
      </c>
      <c r="F1515" s="2">
        <v>10005652</v>
      </c>
      <c r="G1515" s="4" t="s">
        <v>1614</v>
      </c>
      <c r="H1515" s="1">
        <v>2</v>
      </c>
      <c r="I1515" s="1">
        <v>0</v>
      </c>
      <c r="J1515" s="1">
        <v>4</v>
      </c>
      <c r="K1515" s="2">
        <v>297.0</v>
      </c>
    </row>
    <row r="1516" spans="1:12">
      <c r="A1516" s="3" t="s">
        <v>1497</v>
      </c>
      <c r="B1516" s="3" t="s">
        <v>1610</v>
      </c>
      <c r="C1516" s="3"/>
      <c r="D1516" s="3"/>
      <c r="E1516" s="2" t="str">
        <f>HYPERLINK("https://old.ukr-mobil.com/index.php?route=product&amp;product_id=10006143", "Перейти")</f>
        <v>Перейти</v>
      </c>
      <c r="F1516" s="2">
        <v>10006143</v>
      </c>
      <c r="G1516" s="4" t="s">
        <v>1615</v>
      </c>
      <c r="H1516" s="1">
        <v>71</v>
      </c>
      <c r="I1516" s="1">
        <v>5</v>
      </c>
      <c r="J1516" s="1">
        <v>24</v>
      </c>
      <c r="K1516" s="2">
        <v>108.0</v>
      </c>
    </row>
    <row r="1517" spans="1:12">
      <c r="A1517" s="3" t="s">
        <v>1497</v>
      </c>
      <c r="B1517" s="3" t="s">
        <v>1610</v>
      </c>
      <c r="C1517" s="3"/>
      <c r="D1517" s="3"/>
      <c r="E1517" s="2" t="str">
        <f>HYPERLINK("https://old.ukr-mobil.com/index.php?route=product&amp;product_id=10006142", "Перейти")</f>
        <v>Перейти</v>
      </c>
      <c r="F1517" s="2">
        <v>10006142</v>
      </c>
      <c r="G1517" s="4" t="s">
        <v>1616</v>
      </c>
      <c r="H1517" s="1">
        <v>14</v>
      </c>
      <c r="I1517" s="1">
        <v>5</v>
      </c>
      <c r="J1517" s="1">
        <v>10</v>
      </c>
      <c r="K1517" s="2">
        <v>179.0</v>
      </c>
    </row>
    <row r="1518" spans="1:12">
      <c r="A1518" s="3" t="s">
        <v>1497</v>
      </c>
      <c r="B1518" s="3" t="s">
        <v>1610</v>
      </c>
      <c r="C1518" s="3"/>
      <c r="D1518" s="3"/>
      <c r="E1518" s="2" t="str">
        <f>HYPERLINK("https://old.ukr-mobil.com/index.php?route=product&amp;product_id=10005607", "Перейти")</f>
        <v>Перейти</v>
      </c>
      <c r="F1518" s="2">
        <v>10005607</v>
      </c>
      <c r="G1518" s="4" t="s">
        <v>1617</v>
      </c>
      <c r="H1518" s="1">
        <v>0</v>
      </c>
      <c r="I1518" s="1">
        <v>2</v>
      </c>
      <c r="J1518" s="1">
        <v>1</v>
      </c>
      <c r="K1518" s="2">
        <v>18.0</v>
      </c>
    </row>
    <row r="1519" spans="1:12">
      <c r="A1519" s="3" t="s">
        <v>1497</v>
      </c>
      <c r="B1519" s="3" t="s">
        <v>1610</v>
      </c>
      <c r="C1519" s="3"/>
      <c r="D1519" s="3"/>
      <c r="E1519" s="2" t="str">
        <f>HYPERLINK("https://old.ukr-mobil.com/index.php?route=product&amp;product_id=10005606", "Перейти")</f>
        <v>Перейти</v>
      </c>
      <c r="F1519" s="2">
        <v>10005606</v>
      </c>
      <c r="G1519" s="4" t="s">
        <v>1618</v>
      </c>
      <c r="H1519" s="1">
        <v>0</v>
      </c>
      <c r="I1519" s="1">
        <v>0</v>
      </c>
      <c r="J1519" s="1">
        <v>0</v>
      </c>
      <c r="K1519" s="2">
        <v>14.0</v>
      </c>
    </row>
    <row r="1520" spans="1:12">
      <c r="A1520" s="3" t="s">
        <v>1497</v>
      </c>
      <c r="B1520" s="3" t="s">
        <v>1610</v>
      </c>
      <c r="C1520" s="3"/>
      <c r="D1520" s="3"/>
      <c r="E1520" s="2" t="str">
        <f>HYPERLINK("https://old.ukr-mobil.com/motor_beskollektornyj_arthur_flash_hobby_2807_1300kv_10004725", "Перейти")</f>
        <v>Перейти</v>
      </c>
      <c r="F1520" s="2">
        <v>10004725</v>
      </c>
      <c r="G1520" s="4" t="s">
        <v>1619</v>
      </c>
      <c r="H1520" s="1">
        <v>0</v>
      </c>
      <c r="I1520" s="1">
        <v>0</v>
      </c>
      <c r="J1520" s="1">
        <v>0</v>
      </c>
      <c r="K1520" s="2">
        <v>14.0</v>
      </c>
    </row>
    <row r="1521" spans="1:12">
      <c r="A1521" s="3" t="s">
        <v>1497</v>
      </c>
      <c r="B1521" s="3" t="s">
        <v>1610</v>
      </c>
      <c r="C1521" s="3"/>
      <c r="D1521" s="3"/>
      <c r="E1521" s="2" t="str">
        <f>HYPERLINK("https://old.ukr-mobil.com/motor_beskollektornyj_arthur_flash_hobby_a2812_900kv_10005083", "Перейти")</f>
        <v>Перейти</v>
      </c>
      <c r="F1521" s="2">
        <v>10005083</v>
      </c>
      <c r="G1521" s="4" t="s">
        <v>1620</v>
      </c>
      <c r="H1521" s="1">
        <v>0</v>
      </c>
      <c r="I1521" s="1">
        <v>0</v>
      </c>
      <c r="J1521" s="1">
        <v>0</v>
      </c>
      <c r="K1521" s="2">
        <v>19.35</v>
      </c>
    </row>
    <row r="1522" spans="1:12">
      <c r="A1522" s="3" t="s">
        <v>1497</v>
      </c>
      <c r="B1522" s="3" t="s">
        <v>1610</v>
      </c>
      <c r="C1522" s="3"/>
      <c r="D1522" s="3"/>
      <c r="E1522" s="2" t="str">
        <f>HYPERLINK("https://old.ukr-mobil.com/motor_beskollektornyj_motor_flashhobby_3112_a3112_900kv_10004986", "Перейти")</f>
        <v>Перейти</v>
      </c>
      <c r="F1522" s="2">
        <v>10004986</v>
      </c>
      <c r="G1522" s="4" t="s">
        <v>1621</v>
      </c>
      <c r="H1522" s="1">
        <v>3</v>
      </c>
      <c r="I1522" s="1">
        <v>0</v>
      </c>
      <c r="J1522" s="1">
        <v>0</v>
      </c>
      <c r="K1522" s="2">
        <v>25.0</v>
      </c>
    </row>
    <row r="1523" spans="1:12">
      <c r="A1523" s="3" t="s">
        <v>1497</v>
      </c>
      <c r="B1523" s="3" t="s">
        <v>1610</v>
      </c>
      <c r="C1523" s="3"/>
      <c r="D1523" s="3"/>
      <c r="E1523" s="2" t="str">
        <f>HYPERLINK("https://old.ukr-mobil.com/index.php?route=product&amp;product_id=10005748", "Перейти")</f>
        <v>Перейти</v>
      </c>
      <c r="F1523" s="2">
        <v>10005748</v>
      </c>
      <c r="G1523" s="4" t="s">
        <v>1622</v>
      </c>
      <c r="H1523" s="1">
        <v>0</v>
      </c>
      <c r="I1523" s="1">
        <v>0</v>
      </c>
      <c r="J1523" s="1">
        <v>0</v>
      </c>
      <c r="K1523" s="2">
        <v>53.0</v>
      </c>
    </row>
    <row r="1524" spans="1:12">
      <c r="A1524" s="3" t="s">
        <v>1497</v>
      </c>
      <c r="B1524" s="3" t="s">
        <v>1610</v>
      </c>
      <c r="C1524" s="3"/>
      <c r="D1524" s="3"/>
      <c r="E1524" s="2" t="str">
        <f>HYPERLINK("https://old.ukr-mobil.com/index.php?route=product&amp;product_id=10006046", "Перейти")</f>
        <v>Перейти</v>
      </c>
      <c r="F1524" s="2">
        <v>10006046</v>
      </c>
      <c r="G1524" s="4" t="s">
        <v>1623</v>
      </c>
      <c r="H1524" s="1">
        <v>0</v>
      </c>
      <c r="I1524" s="1">
        <v>0</v>
      </c>
      <c r="J1524" s="1">
        <v>0</v>
      </c>
      <c r="K1524" s="2">
        <v>52.0</v>
      </c>
    </row>
    <row r="1525" spans="1:12">
      <c r="A1525" s="3" t="s">
        <v>1497</v>
      </c>
      <c r="B1525" s="3" t="s">
        <v>1610</v>
      </c>
      <c r="C1525" s="3"/>
      <c r="D1525" s="3"/>
      <c r="E1525" s="2" t="str">
        <f>HYPERLINK("https://old.ukr-mobil.com/index.php?route=product&amp;product_id=10006201", "Перейти")</f>
        <v>Перейти</v>
      </c>
      <c r="F1525" s="2">
        <v>10006201</v>
      </c>
      <c r="G1525" s="4" t="s">
        <v>1624</v>
      </c>
      <c r="H1525" s="1">
        <v>149</v>
      </c>
      <c r="I1525" s="1">
        <v>0</v>
      </c>
      <c r="J1525" s="1">
        <v>49</v>
      </c>
      <c r="K1525" s="2">
        <v>39.0</v>
      </c>
    </row>
    <row r="1526" spans="1:12">
      <c r="A1526" s="3" t="s">
        <v>1497</v>
      </c>
      <c r="B1526" s="3" t="s">
        <v>1610</v>
      </c>
      <c r="C1526" s="3"/>
      <c r="D1526" s="3"/>
      <c r="E1526" s="2" t="str">
        <f>HYPERLINK("https://old.ukr-mobil.com/index.php?route=product&amp;product_id=10005721", "Перейти")</f>
        <v>Перейти</v>
      </c>
      <c r="F1526" s="2">
        <v>10005721</v>
      </c>
      <c r="G1526" s="4" t="s">
        <v>1625</v>
      </c>
      <c r="H1526" s="1">
        <v>0</v>
      </c>
      <c r="I1526" s="1">
        <v>0</v>
      </c>
      <c r="J1526" s="1">
        <v>0</v>
      </c>
      <c r="K1526" s="2">
        <v>14.0</v>
      </c>
    </row>
    <row r="1527" spans="1:12">
      <c r="A1527" s="3" t="s">
        <v>1497</v>
      </c>
      <c r="B1527" s="3" t="s">
        <v>1610</v>
      </c>
      <c r="C1527" s="3"/>
      <c r="D1527" s="3"/>
      <c r="E1527" s="2" t="str">
        <f>HYPERLINK("https://old.ukr-mobil.com/index.php?route=product&amp;product_id=10006180", "Перейти")</f>
        <v>Перейти</v>
      </c>
      <c r="F1527" s="2">
        <v>10006180</v>
      </c>
      <c r="G1527" s="4" t="s">
        <v>1626</v>
      </c>
      <c r="H1527" s="1">
        <v>0</v>
      </c>
      <c r="I1527" s="1">
        <v>0</v>
      </c>
      <c r="J1527" s="1">
        <v>0</v>
      </c>
      <c r="K1527" s="2">
        <v>18.75</v>
      </c>
    </row>
    <row r="1528" spans="1:12">
      <c r="A1528" s="3" t="s">
        <v>1497</v>
      </c>
      <c r="B1528" s="3" t="s">
        <v>1610</v>
      </c>
      <c r="C1528" s="3"/>
      <c r="D1528" s="3"/>
      <c r="E1528" s="2" t="str">
        <f>HYPERLINK("https://old.ukr-mobil.com/index.php?route=product&amp;product_id=10005715", "Перейти")</f>
        <v>Перейти</v>
      </c>
      <c r="F1528" s="2">
        <v>10005715</v>
      </c>
      <c r="G1528" s="4" t="s">
        <v>1627</v>
      </c>
      <c r="H1528" s="1">
        <v>0</v>
      </c>
      <c r="I1528" s="1">
        <v>0</v>
      </c>
      <c r="J1528" s="1">
        <v>0</v>
      </c>
      <c r="K1528" s="2">
        <v>15.0</v>
      </c>
    </row>
    <row r="1529" spans="1:12">
      <c r="A1529" s="3" t="s">
        <v>1497</v>
      </c>
      <c r="B1529" s="3" t="s">
        <v>1610</v>
      </c>
      <c r="C1529" s="3"/>
      <c r="D1529" s="3"/>
      <c r="E1529" s="2" t="str">
        <f>HYPERLINK("https://old.ukr-mobil.com/index.php?route=product&amp;product_id=10006121", "Перейти")</f>
        <v>Перейти</v>
      </c>
      <c r="F1529" s="2">
        <v>10006121</v>
      </c>
      <c r="G1529" s="4" t="s">
        <v>1628</v>
      </c>
      <c r="H1529" s="1">
        <v>0</v>
      </c>
      <c r="I1529" s="1">
        <v>0</v>
      </c>
      <c r="J1529" s="1">
        <v>5</v>
      </c>
      <c r="K1529" s="2">
        <v>20.0</v>
      </c>
    </row>
    <row r="1530" spans="1:12">
      <c r="A1530" s="3" t="s">
        <v>1497</v>
      </c>
      <c r="B1530" s="3" t="s">
        <v>1610</v>
      </c>
      <c r="C1530" s="3"/>
      <c r="D1530" s="3"/>
      <c r="E1530" s="2" t="str">
        <f>HYPERLINK("https://old.ukr-mobil.com/index.php?route=product&amp;product_id=10005918", "Перейти")</f>
        <v>Перейти</v>
      </c>
      <c r="F1530" s="2">
        <v>10005918</v>
      </c>
      <c r="G1530" s="4" t="s">
        <v>1629</v>
      </c>
      <c r="H1530" s="1">
        <v>0</v>
      </c>
      <c r="I1530" s="1">
        <v>0</v>
      </c>
      <c r="J1530" s="1">
        <v>0</v>
      </c>
      <c r="K1530" s="2">
        <v>19.0</v>
      </c>
    </row>
    <row r="1531" spans="1:12">
      <c r="A1531" s="3" t="s">
        <v>1497</v>
      </c>
      <c r="B1531" s="3" t="s">
        <v>1610</v>
      </c>
      <c r="C1531" s="3"/>
      <c r="D1531" s="3"/>
      <c r="E1531" s="2" t="str">
        <f>HYPERLINK("https://old.ukr-mobil.com/index.php?route=product&amp;product_id=10006218", "Перейти")</f>
        <v>Перейти</v>
      </c>
      <c r="F1531" s="2">
        <v>10006218</v>
      </c>
      <c r="G1531" s="4" t="s">
        <v>1630</v>
      </c>
      <c r="H1531" s="1">
        <v>392</v>
      </c>
      <c r="I1531" s="1">
        <v>0</v>
      </c>
      <c r="J1531" s="1">
        <v>0</v>
      </c>
      <c r="K1531" s="2">
        <v>107.0</v>
      </c>
    </row>
    <row r="1532" spans="1:12">
      <c r="A1532" s="3" t="s">
        <v>1497</v>
      </c>
      <c r="B1532" s="3" t="s">
        <v>1610</v>
      </c>
      <c r="C1532" s="3"/>
      <c r="D1532" s="3"/>
      <c r="E1532" s="2" t="str">
        <f>HYPERLINK("https://old.ukr-mobil.com/motor_beskollektornyj_diatone_kn3214_730kv_10005650", "Перейти")</f>
        <v>Перейти</v>
      </c>
      <c r="F1532" s="2">
        <v>10005650</v>
      </c>
      <c r="G1532" s="4" t="s">
        <v>1631</v>
      </c>
      <c r="H1532" s="1">
        <v>922</v>
      </c>
      <c r="I1532" s="1">
        <v>50</v>
      </c>
      <c r="J1532" s="1">
        <v>152</v>
      </c>
      <c r="K1532" s="2">
        <v>30.0</v>
      </c>
    </row>
    <row r="1533" spans="1:12">
      <c r="A1533" s="3" t="s">
        <v>1497</v>
      </c>
      <c r="B1533" s="3" t="s">
        <v>1610</v>
      </c>
      <c r="C1533" s="3"/>
      <c r="D1533" s="3"/>
      <c r="E1533" s="2" t="str">
        <f>HYPERLINK("https://old.ukr-mobil.com/motor_beskollektornyj_emax_eco_ii_2807_1300kv_10004544", "Перейти")</f>
        <v>Перейти</v>
      </c>
      <c r="F1533" s="2">
        <v>10004544</v>
      </c>
      <c r="G1533" s="4" t="s">
        <v>1632</v>
      </c>
      <c r="H1533" s="1">
        <v>0</v>
      </c>
      <c r="I1533" s="1">
        <v>0</v>
      </c>
      <c r="J1533" s="1">
        <v>0</v>
      </c>
      <c r="K1533" s="2">
        <v>14.0</v>
      </c>
    </row>
    <row r="1534" spans="1:12">
      <c r="A1534" s="3" t="s">
        <v>1497</v>
      </c>
      <c r="B1534" s="3" t="s">
        <v>1610</v>
      </c>
      <c r="C1534" s="3"/>
      <c r="D1534" s="3"/>
      <c r="E1534" s="2" t="str">
        <f>HYPERLINK("https://old.ukr-mobil.com/index.php?route=product&amp;product_id=10006170", "Перейти")</f>
        <v>Перейти</v>
      </c>
      <c r="F1534" s="2">
        <v>10006170</v>
      </c>
      <c r="G1534" s="4" t="s">
        <v>1633</v>
      </c>
      <c r="H1534" s="1">
        <v>2003</v>
      </c>
      <c r="I1534" s="1">
        <v>0</v>
      </c>
      <c r="J1534" s="1">
        <v>0</v>
      </c>
      <c r="K1534" s="2">
        <v>14.5</v>
      </c>
    </row>
    <row r="1535" spans="1:12">
      <c r="A1535" s="3" t="s">
        <v>1497</v>
      </c>
      <c r="B1535" s="3" t="s">
        <v>1610</v>
      </c>
      <c r="C1535" s="3"/>
      <c r="D1535" s="3"/>
      <c r="E1535" s="2" t="str">
        <f>HYPERLINK("https://old.ukr-mobil.com/index.php?route=product&amp;product_id=10006120", "Перейти")</f>
        <v>Перейти</v>
      </c>
      <c r="F1535" s="2">
        <v>10006120</v>
      </c>
      <c r="G1535" s="4" t="s">
        <v>1634</v>
      </c>
      <c r="H1535" s="1">
        <v>0</v>
      </c>
      <c r="I1535" s="1">
        <v>0</v>
      </c>
      <c r="J1535" s="1">
        <v>0</v>
      </c>
      <c r="K1535" s="2">
        <v>17.8</v>
      </c>
    </row>
    <row r="1536" spans="1:12">
      <c r="A1536" s="3" t="s">
        <v>1497</v>
      </c>
      <c r="B1536" s="3" t="s">
        <v>1610</v>
      </c>
      <c r="C1536" s="3"/>
      <c r="D1536" s="3"/>
      <c r="E1536" s="2" t="str">
        <f>HYPERLINK("https://old.ukr-mobil.com/index.php?route=product&amp;product_id=10006178", "Перейти")</f>
        <v>Перейти</v>
      </c>
      <c r="F1536" s="2">
        <v>10006178</v>
      </c>
      <c r="G1536" s="4" t="s">
        <v>1635</v>
      </c>
      <c r="H1536" s="1">
        <v>656</v>
      </c>
      <c r="I1536" s="1">
        <v>60</v>
      </c>
      <c r="J1536" s="1">
        <v>180</v>
      </c>
      <c r="K1536" s="2">
        <v>48.0</v>
      </c>
    </row>
    <row r="1537" spans="1:12">
      <c r="A1537" s="3" t="s">
        <v>1497</v>
      </c>
      <c r="B1537" s="3" t="s">
        <v>1610</v>
      </c>
      <c r="C1537" s="3"/>
      <c r="D1537" s="3"/>
      <c r="E1537" s="2" t="str">
        <f>HYPERLINK("https://old.ukr-mobil.com/index.php?route=product&amp;product_id=10006179", "Перейти")</f>
        <v>Перейти</v>
      </c>
      <c r="F1537" s="2">
        <v>10006179</v>
      </c>
      <c r="G1537" s="4" t="s">
        <v>1636</v>
      </c>
      <c r="H1537" s="1">
        <v>0</v>
      </c>
      <c r="I1537" s="1">
        <v>0</v>
      </c>
      <c r="J1537" s="1">
        <v>0</v>
      </c>
      <c r="K1537" s="2">
        <v>50.0</v>
      </c>
    </row>
    <row r="1538" spans="1:12">
      <c r="A1538" s="3" t="s">
        <v>1497</v>
      </c>
      <c r="B1538" s="3" t="s">
        <v>1610</v>
      </c>
      <c r="C1538" s="3"/>
      <c r="D1538" s="3"/>
      <c r="E1538" s="2" t="str">
        <f>HYPERLINK("https://old.ukr-mobil.com/index.php?route=product&amp;product_id=10006211", "Перейти")</f>
        <v>Перейти</v>
      </c>
      <c r="F1538" s="2">
        <v>10006211</v>
      </c>
      <c r="G1538" s="4" t="s">
        <v>1637</v>
      </c>
      <c r="H1538" s="1">
        <v>2883</v>
      </c>
      <c r="I1538" s="1">
        <v>0</v>
      </c>
      <c r="J1538" s="1">
        <v>0</v>
      </c>
      <c r="K1538" s="2">
        <v>12.5</v>
      </c>
    </row>
    <row r="1539" spans="1:12">
      <c r="A1539" s="3" t="s">
        <v>1497</v>
      </c>
      <c r="B1539" s="3" t="s">
        <v>1610</v>
      </c>
      <c r="C1539" s="3"/>
      <c r="D1539" s="3"/>
      <c r="E1539" s="2" t="str">
        <f>HYPERLINK("https://old.ukr-mobil.com/index.php?route=product&amp;product_id=10006212", "Перейти")</f>
        <v>Перейти</v>
      </c>
      <c r="F1539" s="2">
        <v>10006212</v>
      </c>
      <c r="G1539" s="4" t="s">
        <v>1638</v>
      </c>
      <c r="H1539" s="1">
        <v>1441</v>
      </c>
      <c r="I1539" s="1">
        <v>50</v>
      </c>
      <c r="J1539" s="1">
        <v>255</v>
      </c>
      <c r="K1539" s="2">
        <v>17.0</v>
      </c>
    </row>
    <row r="1540" spans="1:12">
      <c r="A1540" s="3" t="s">
        <v>1497</v>
      </c>
      <c r="B1540" s="3" t="s">
        <v>1639</v>
      </c>
      <c r="C1540" s="3"/>
      <c r="D1540" s="3"/>
      <c r="E1540" s="2" t="str">
        <f>HYPERLINK("https://old.ukr-mobil.com/ochki_dlya_fpv_skyzone_sky04o_pro_oled_1024_x_768_5_8_ghz_48_ch_l_x_band_s_priyomnikom_steadyview_black_10005668", "Перейти")</f>
        <v>Перейти</v>
      </c>
      <c r="F1540" s="2">
        <v>10005668</v>
      </c>
      <c r="G1540" s="4" t="s">
        <v>1640</v>
      </c>
      <c r="H1540" s="1">
        <v>0</v>
      </c>
      <c r="I1540" s="1">
        <v>0</v>
      </c>
      <c r="J1540" s="1">
        <v>0</v>
      </c>
      <c r="K1540" s="2">
        <v>392.0</v>
      </c>
    </row>
    <row r="1541" spans="1:12">
      <c r="A1541" s="3" t="s">
        <v>1497</v>
      </c>
      <c r="B1541" s="3" t="s">
        <v>1639</v>
      </c>
      <c r="C1541" s="3"/>
      <c r="D1541" s="3"/>
      <c r="E1541" s="2" t="str">
        <f>HYPERLINK("https://old.ukr-mobil.com/ochki_dlya_fpv_skyzone_sky04x_pro_oled_1920_x_1080_5_8g_s_priyomnikom_steadyview_black_10004574", "Перейти")</f>
        <v>Перейти</v>
      </c>
      <c r="F1541" s="2">
        <v>10004574</v>
      </c>
      <c r="G1541" s="4" t="s">
        <v>1641</v>
      </c>
      <c r="H1541" s="1">
        <v>0</v>
      </c>
      <c r="I1541" s="1">
        <v>0</v>
      </c>
      <c r="J1541" s="1">
        <v>0</v>
      </c>
      <c r="K1541" s="2">
        <v>605.0</v>
      </c>
    </row>
    <row r="1542" spans="1:12">
      <c r="A1542" s="3" t="s">
        <v>1497</v>
      </c>
      <c r="B1542" s="3" t="s">
        <v>1642</v>
      </c>
      <c r="C1542" s="3"/>
      <c r="D1542" s="3"/>
      <c r="E1542" s="2" t="str">
        <f>HYPERLINK("https://old.ukr-mobil.com/index.php?route=product&amp;product_id=10005878", "Перейти")</f>
        <v>Перейти</v>
      </c>
      <c r="F1542" s="2">
        <v>10005878</v>
      </c>
      <c r="G1542" s="4" t="s">
        <v>1642</v>
      </c>
      <c r="H1542" s="1">
        <v>42</v>
      </c>
      <c r="I1542" s="1">
        <v>22</v>
      </c>
      <c r="J1542" s="1">
        <v>20</v>
      </c>
      <c r="K1542" s="2">
        <v>180.0</v>
      </c>
    </row>
    <row r="1543" spans="1:12">
      <c r="A1543" s="3" t="s">
        <v>1497</v>
      </c>
      <c r="B1543" s="3" t="s">
        <v>1643</v>
      </c>
      <c r="C1543" s="3"/>
      <c r="D1543" s="3"/>
      <c r="E1543" s="2" t="str">
        <f>HYPERLINK("https://old.ukr-mobil.com/index.php?route=product&amp;product_id=10006107", "Перейти")</f>
        <v>Перейти</v>
      </c>
      <c r="F1543" s="2">
        <v>10006107</v>
      </c>
      <c r="G1543" s="4" t="s">
        <v>1644</v>
      </c>
      <c r="H1543" s="1">
        <v>35</v>
      </c>
      <c r="I1543" s="1">
        <v>0</v>
      </c>
      <c r="J1543" s="1">
        <v>14</v>
      </c>
      <c r="K1543" s="2">
        <v>485.0</v>
      </c>
    </row>
    <row r="1544" spans="1:12">
      <c r="A1544" s="3" t="s">
        <v>1497</v>
      </c>
      <c r="B1544" s="3" t="s">
        <v>1643</v>
      </c>
      <c r="C1544" s="3"/>
      <c r="D1544" s="3"/>
      <c r="E1544" s="2" t="str">
        <f>HYPERLINK("https://old.ukr-mobil.com/index.php?route=product&amp;product_id=10006140", "Перейти")</f>
        <v>Перейти</v>
      </c>
      <c r="F1544" s="2">
        <v>10006140</v>
      </c>
      <c r="G1544" s="4" t="s">
        <v>1645</v>
      </c>
      <c r="H1544" s="1">
        <v>2</v>
      </c>
      <c r="I1544" s="1">
        <v>0</v>
      </c>
      <c r="J1544" s="1">
        <v>0</v>
      </c>
      <c r="K1544" s="2">
        <v>980.0</v>
      </c>
    </row>
    <row r="1545" spans="1:12">
      <c r="A1545" s="3" t="s">
        <v>1497</v>
      </c>
      <c r="B1545" s="3" t="s">
        <v>1643</v>
      </c>
      <c r="C1545" s="3"/>
      <c r="D1545" s="3"/>
      <c r="E1545" s="2" t="str">
        <f>HYPERLINK("https://old.ukr-mobil.com/kontroller_poleta_diatone_mamba_f405mk2_v2_gyro_42688_10005639", "Перейти")</f>
        <v>Перейти</v>
      </c>
      <c r="F1545" s="2">
        <v>10005639</v>
      </c>
      <c r="G1545" s="4" t="s">
        <v>1646</v>
      </c>
      <c r="H1545" s="1">
        <v>0</v>
      </c>
      <c r="I1545" s="1">
        <v>0</v>
      </c>
      <c r="J1545" s="1">
        <v>0</v>
      </c>
      <c r="K1545" s="2">
        <v>36.0</v>
      </c>
    </row>
    <row r="1546" spans="1:12">
      <c r="A1546" s="3" t="s">
        <v>1497</v>
      </c>
      <c r="B1546" s="3" t="s">
        <v>1643</v>
      </c>
      <c r="C1546" s="3"/>
      <c r="D1546" s="3"/>
      <c r="E1546" s="2" t="str">
        <f>HYPERLINK("https://old.ukr-mobil.com/index.php?route=product&amp;product_id=10006110", "Перейти")</f>
        <v>Перейти</v>
      </c>
      <c r="F1546" s="2">
        <v>10006110</v>
      </c>
      <c r="G1546" s="4" t="s">
        <v>1647</v>
      </c>
      <c r="H1546" s="1">
        <v>385</v>
      </c>
      <c r="I1546" s="1">
        <v>0</v>
      </c>
      <c r="J1546" s="1">
        <v>100</v>
      </c>
      <c r="K1546" s="2">
        <v>100.0</v>
      </c>
    </row>
    <row r="1547" spans="1:12">
      <c r="A1547" s="3" t="s">
        <v>1497</v>
      </c>
      <c r="B1547" s="3" t="s">
        <v>1643</v>
      </c>
      <c r="C1547" s="3"/>
      <c r="D1547" s="3"/>
      <c r="E1547" s="2" t="str">
        <f>HYPERLINK("https://old.ukr-mobil.com/index.php?route=product&amp;product_id=10006112", "Перейти")</f>
        <v>Перейти</v>
      </c>
      <c r="F1547" s="2">
        <v>10006112</v>
      </c>
      <c r="G1547" s="4" t="s">
        <v>1648</v>
      </c>
      <c r="H1547" s="1">
        <v>0</v>
      </c>
      <c r="I1547" s="1">
        <v>0</v>
      </c>
      <c r="J1547" s="1">
        <v>0</v>
      </c>
      <c r="K1547" s="2">
        <v>212.0</v>
      </c>
    </row>
    <row r="1548" spans="1:12">
      <c r="A1548" s="3" t="s">
        <v>1497</v>
      </c>
      <c r="B1548" s="3" t="s">
        <v>1643</v>
      </c>
      <c r="C1548" s="3"/>
      <c r="D1548" s="3"/>
      <c r="E1548" s="2" t="str">
        <f>HYPERLINK("https://old.ukr-mobil.com/index.php?route=product&amp;product_id=10005732", "Перейти")</f>
        <v>Перейти</v>
      </c>
      <c r="F1548" s="2">
        <v>10005732</v>
      </c>
      <c r="G1548" s="4" t="s">
        <v>1649</v>
      </c>
      <c r="H1548" s="1">
        <v>0</v>
      </c>
      <c r="I1548" s="1">
        <v>0</v>
      </c>
      <c r="J1548" s="1">
        <v>0</v>
      </c>
      <c r="K1548" s="2">
        <v>57.0</v>
      </c>
    </row>
    <row r="1549" spans="1:12">
      <c r="A1549" s="3" t="s">
        <v>1497</v>
      </c>
      <c r="B1549" s="3" t="s">
        <v>1643</v>
      </c>
      <c r="C1549" s="3"/>
      <c r="D1549" s="3"/>
      <c r="E1549" s="2" t="str">
        <f>HYPERLINK("https://old.ukr-mobil.com/index.php?route=product&amp;product_id=10005729", "Перейти")</f>
        <v>Перейти</v>
      </c>
      <c r="F1549" s="2">
        <v>10005729</v>
      </c>
      <c r="G1549" s="4" t="s">
        <v>1650</v>
      </c>
      <c r="H1549" s="1">
        <v>0</v>
      </c>
      <c r="I1549" s="1">
        <v>0</v>
      </c>
      <c r="J1549" s="1">
        <v>0</v>
      </c>
      <c r="K1549" s="2">
        <v>127.0</v>
      </c>
    </row>
    <row r="1550" spans="1:12">
      <c r="A1550" s="3" t="s">
        <v>1497</v>
      </c>
      <c r="B1550" s="3" t="s">
        <v>1643</v>
      </c>
      <c r="C1550" s="3"/>
      <c r="D1550" s="3"/>
      <c r="E1550" s="2" t="str">
        <f>HYPERLINK("https://old.ukr-mobil.com/index.php?route=product&amp;product_id=10005730", "Перейти")</f>
        <v>Перейти</v>
      </c>
      <c r="F1550" s="2">
        <v>10005730</v>
      </c>
      <c r="G1550" s="4" t="s">
        <v>1651</v>
      </c>
      <c r="H1550" s="1">
        <v>0</v>
      </c>
      <c r="I1550" s="1">
        <v>0</v>
      </c>
      <c r="J1550" s="1">
        <v>0</v>
      </c>
      <c r="K1550" s="2">
        <v>115.0</v>
      </c>
    </row>
    <row r="1551" spans="1:12">
      <c r="A1551" s="3" t="s">
        <v>1497</v>
      </c>
      <c r="B1551" s="3" t="s">
        <v>1643</v>
      </c>
      <c r="C1551" s="3"/>
      <c r="D1551" s="3"/>
      <c r="E1551" s="2" t="str">
        <f>HYPERLINK("https://old.ukr-mobil.com/poletnyj_stek_diatone_mamba_f405mk2_v2_gyro_42688_esc_f55_bls_6s_10005637", "Перейти")</f>
        <v>Перейти</v>
      </c>
      <c r="F1551" s="2">
        <v>10005637</v>
      </c>
      <c r="G1551" s="4" t="s">
        <v>1652</v>
      </c>
      <c r="H1551" s="1">
        <v>0</v>
      </c>
      <c r="I1551" s="1">
        <v>0</v>
      </c>
      <c r="J1551" s="1">
        <v>0</v>
      </c>
      <c r="K1551" s="2">
        <v>68.0</v>
      </c>
    </row>
    <row r="1552" spans="1:12">
      <c r="A1552" s="3" t="s">
        <v>1497</v>
      </c>
      <c r="B1552" s="3" t="s">
        <v>1643</v>
      </c>
      <c r="C1552" s="3"/>
      <c r="D1552" s="3"/>
      <c r="E1552" s="2" t="str">
        <f>HYPERLINK("https://old.ukr-mobil.com/poletnyj_stek_flash_hobby_f405_bls_60a_30_5x30_5_4-in-1esc_10004969", "Перейти")</f>
        <v>Перейти</v>
      </c>
      <c r="F1552" s="2">
        <v>10004969</v>
      </c>
      <c r="G1552" s="4" t="s">
        <v>1653</v>
      </c>
      <c r="H1552" s="1">
        <v>0</v>
      </c>
      <c r="I1552" s="1">
        <v>0</v>
      </c>
      <c r="J1552" s="1">
        <v>0</v>
      </c>
      <c r="K1552" s="2">
        <v>55.0</v>
      </c>
    </row>
    <row r="1553" spans="1:12">
      <c r="A1553" s="3" t="s">
        <v>1497</v>
      </c>
      <c r="B1553" s="3" t="s">
        <v>1643</v>
      </c>
      <c r="C1553" s="3"/>
      <c r="D1553" s="3"/>
      <c r="E1553" s="2" t="str">
        <f>HYPERLINK("https://old.ukr-mobil.com/poletnyj_stek_flash_hobby_f722_bls_60a_30_5x30_5_4-in-1esc_10004968", "Перейти")</f>
        <v>Перейти</v>
      </c>
      <c r="F1553" s="2">
        <v>10004968</v>
      </c>
      <c r="G1553" s="4" t="s">
        <v>1654</v>
      </c>
      <c r="H1553" s="1">
        <v>0</v>
      </c>
      <c r="I1553" s="1">
        <v>0</v>
      </c>
      <c r="J1553" s="1">
        <v>0</v>
      </c>
      <c r="K1553" s="2">
        <v>90.0</v>
      </c>
    </row>
    <row r="1554" spans="1:12">
      <c r="A1554" s="3" t="s">
        <v>1497</v>
      </c>
      <c r="B1554" s="3" t="s">
        <v>1643</v>
      </c>
      <c r="C1554" s="3"/>
      <c r="D1554" s="3"/>
      <c r="E1554" s="2" t="str">
        <f>HYPERLINK("https://old.ukr-mobil.com/index.php?route=product&amp;product_id=10006185", "Перейти")</f>
        <v>Перейти</v>
      </c>
      <c r="F1554" s="2">
        <v>10006185</v>
      </c>
      <c r="G1554" s="4" t="s">
        <v>1655</v>
      </c>
      <c r="H1554" s="1">
        <v>0</v>
      </c>
      <c r="I1554" s="1">
        <v>0</v>
      </c>
      <c r="J1554" s="1">
        <v>0</v>
      </c>
      <c r="K1554" s="2">
        <v>76.0</v>
      </c>
    </row>
    <row r="1555" spans="1:12">
      <c r="A1555" s="3" t="s">
        <v>1497</v>
      </c>
      <c r="B1555" s="3" t="s">
        <v>1643</v>
      </c>
      <c r="C1555" s="3"/>
      <c r="D1555" s="3"/>
      <c r="E1555" s="2" t="str">
        <f>HYPERLINK("https://old.ukr-mobil.com/index.php?route=product&amp;product_id=10006222", "Перейти")</f>
        <v>Перейти</v>
      </c>
      <c r="F1555" s="2">
        <v>10006222</v>
      </c>
      <c r="G1555" s="4" t="s">
        <v>1656</v>
      </c>
      <c r="H1555" s="1">
        <v>74</v>
      </c>
      <c r="I1555" s="1">
        <v>0</v>
      </c>
      <c r="J1555" s="1">
        <v>0</v>
      </c>
      <c r="K1555" s="2">
        <v>145.0</v>
      </c>
    </row>
    <row r="1556" spans="1:12">
      <c r="A1556" s="3" t="s">
        <v>1497</v>
      </c>
      <c r="B1556" s="3" t="s">
        <v>1643</v>
      </c>
      <c r="C1556" s="3"/>
      <c r="D1556" s="3"/>
      <c r="E1556" s="2" t="str">
        <f>HYPERLINK("https://old.ukr-mobil.com/index.php?route=product&amp;product_id=10006196", "Перейти")</f>
        <v>Перейти</v>
      </c>
      <c r="F1556" s="2">
        <v>10006196</v>
      </c>
      <c r="G1556" s="4" t="s">
        <v>1657</v>
      </c>
      <c r="H1556" s="1">
        <v>0</v>
      </c>
      <c r="I1556" s="1">
        <v>0</v>
      </c>
      <c r="J1556" s="1">
        <v>0</v>
      </c>
      <c r="K1556" s="2">
        <v>60.0</v>
      </c>
    </row>
    <row r="1557" spans="1:12">
      <c r="A1557" s="3" t="s">
        <v>1497</v>
      </c>
      <c r="B1557" s="3" t="s">
        <v>1643</v>
      </c>
      <c r="C1557" s="3"/>
      <c r="D1557" s="3"/>
      <c r="E1557" s="2" t="str">
        <f>HYPERLINK("https://old.ukr-mobil.com/index.php?route=product&amp;product_id=10006245", "Перейти")</f>
        <v>Перейти</v>
      </c>
      <c r="F1557" s="2">
        <v>10006245</v>
      </c>
      <c r="G1557" s="4" t="s">
        <v>1658</v>
      </c>
      <c r="H1557" s="1">
        <v>378</v>
      </c>
      <c r="I1557" s="1">
        <v>0</v>
      </c>
      <c r="J1557" s="1">
        <v>0</v>
      </c>
      <c r="K1557" s="2">
        <v>60.0</v>
      </c>
    </row>
    <row r="1558" spans="1:12">
      <c r="A1558" s="3" t="s">
        <v>1497</v>
      </c>
      <c r="B1558" s="3" t="s">
        <v>1643</v>
      </c>
      <c r="C1558" s="3"/>
      <c r="D1558" s="3"/>
      <c r="E1558" s="2" t="str">
        <f>HYPERLINK("https://old.ukr-mobil.com/index.php?route=product&amp;product_id=10006198", "Перейти")</f>
        <v>Перейти</v>
      </c>
      <c r="F1558" s="2">
        <v>10006198</v>
      </c>
      <c r="G1558" s="4" t="s">
        <v>1659</v>
      </c>
      <c r="H1558" s="1">
        <v>41</v>
      </c>
      <c r="I1558" s="1">
        <v>0</v>
      </c>
      <c r="J1558" s="1">
        <v>0</v>
      </c>
      <c r="K1558" s="2">
        <v>124.0</v>
      </c>
    </row>
    <row r="1559" spans="1:12">
      <c r="A1559" s="3" t="s">
        <v>1497</v>
      </c>
      <c r="B1559" s="3" t="s">
        <v>1643</v>
      </c>
      <c r="C1559" s="3"/>
      <c r="D1559" s="3"/>
      <c r="E1559" s="2" t="str">
        <f>HYPERLINK("https://old.ukr-mobil.com/poletnyj_stek_sologood_f405_bls_50a_30_5x30_5_4-in-1_esc_10005119", "Перейти")</f>
        <v>Перейти</v>
      </c>
      <c r="F1559" s="2">
        <v>10005119</v>
      </c>
      <c r="G1559" s="4" t="s">
        <v>1660</v>
      </c>
      <c r="H1559" s="1">
        <v>0</v>
      </c>
      <c r="I1559" s="1">
        <v>0</v>
      </c>
      <c r="J1559" s="1">
        <v>0</v>
      </c>
      <c r="K1559" s="2">
        <v>53.0</v>
      </c>
    </row>
    <row r="1560" spans="1:12">
      <c r="A1560" s="3" t="s">
        <v>1497</v>
      </c>
      <c r="B1560" s="3" t="s">
        <v>1643</v>
      </c>
      <c r="C1560" s="3"/>
      <c r="D1560" s="3"/>
      <c r="E1560" s="2" t="str">
        <f>HYPERLINK("https://old.ukr-mobil.com/index.php?route=product&amp;product_id=10005724", "Перейти")</f>
        <v>Перейти</v>
      </c>
      <c r="F1560" s="2">
        <v>10005724</v>
      </c>
      <c r="G1560" s="4" t="s">
        <v>1661</v>
      </c>
      <c r="H1560" s="1">
        <v>981</v>
      </c>
      <c r="I1560" s="1">
        <v>0</v>
      </c>
      <c r="J1560" s="1">
        <v>10</v>
      </c>
      <c r="K1560" s="2">
        <v>63.0</v>
      </c>
    </row>
    <row r="1561" spans="1:12">
      <c r="A1561" s="3" t="s">
        <v>1497</v>
      </c>
      <c r="B1561" s="3" t="s">
        <v>1643</v>
      </c>
      <c r="C1561" s="3"/>
      <c r="D1561" s="3"/>
      <c r="E1561" s="2" t="str">
        <f>HYPERLINK("https://old.ukr-mobil.com/poletnyj_kontroller_speedybee_f405_v3_esc_stm32f405_50a_30x30_stack_10004547", "Перейти")</f>
        <v>Перейти</v>
      </c>
      <c r="F1561" s="2">
        <v>10004547</v>
      </c>
      <c r="G1561" s="4" t="s">
        <v>1662</v>
      </c>
      <c r="H1561" s="1">
        <v>0</v>
      </c>
      <c r="I1561" s="1">
        <v>0</v>
      </c>
      <c r="J1561" s="1">
        <v>0</v>
      </c>
      <c r="K1561" s="2">
        <v>63.0</v>
      </c>
    </row>
    <row r="1562" spans="1:12">
      <c r="A1562" s="3" t="s">
        <v>1497</v>
      </c>
      <c r="B1562" s="3" t="s">
        <v>1643</v>
      </c>
      <c r="C1562" s="3"/>
      <c r="D1562" s="3"/>
      <c r="E1562" s="2" t="str">
        <f>HYPERLINK("https://old.ukr-mobil.com/index.php?route=product&amp;product_id=10006083", "Перейти")</f>
        <v>Перейти</v>
      </c>
      <c r="F1562" s="2">
        <v>10006083</v>
      </c>
      <c r="G1562" s="4" t="s">
        <v>1663</v>
      </c>
      <c r="H1562" s="1">
        <v>8</v>
      </c>
      <c r="I1562" s="1">
        <v>0</v>
      </c>
      <c r="J1562" s="1">
        <v>0</v>
      </c>
      <c r="K1562" s="2">
        <v>61.0</v>
      </c>
    </row>
    <row r="1563" spans="1:12">
      <c r="A1563" s="3" t="s">
        <v>1497</v>
      </c>
      <c r="B1563" s="3" t="s">
        <v>1643</v>
      </c>
      <c r="C1563" s="3"/>
      <c r="D1563" s="3"/>
      <c r="E1563" s="2" t="str">
        <f>HYPERLINK("https://old.ukr-mobil.com/regulyator_oborotov_esc_diatone_mamba_s60_bls_8_bit_60a_6s_10005640", "Перейти")</f>
        <v>Перейти</v>
      </c>
      <c r="F1563" s="2">
        <v>10005640</v>
      </c>
      <c r="G1563" s="4" t="s">
        <v>1664</v>
      </c>
      <c r="H1563" s="1">
        <v>2998</v>
      </c>
      <c r="I1563" s="1">
        <v>0</v>
      </c>
      <c r="J1563" s="1">
        <v>0</v>
      </c>
      <c r="K1563" s="2">
        <v>21.0</v>
      </c>
    </row>
    <row r="1564" spans="1:12">
      <c r="A1564" s="3" t="s">
        <v>1497</v>
      </c>
      <c r="B1564" s="3" t="s">
        <v>1643</v>
      </c>
      <c r="C1564" s="3"/>
      <c r="D1564" s="3"/>
      <c r="E1564" s="2" t="str">
        <f>HYPERLINK("https://old.ukr-mobil.com/regulyator_oborotov_esc_hobbywing_xrotor_40a_2-6s_10005669", "Перейти")</f>
        <v>Перейти</v>
      </c>
      <c r="F1564" s="2">
        <v>10005669</v>
      </c>
      <c r="G1564" s="4" t="s">
        <v>1665</v>
      </c>
      <c r="H1564" s="1">
        <v>82</v>
      </c>
      <c r="I1564" s="1">
        <v>0</v>
      </c>
      <c r="J1564" s="1">
        <v>0</v>
      </c>
      <c r="K1564" s="2">
        <v>16.5</v>
      </c>
    </row>
    <row r="1565" spans="1:12">
      <c r="A1565" s="3" t="s">
        <v>1497</v>
      </c>
      <c r="B1565" s="3" t="s">
        <v>1643</v>
      </c>
      <c r="C1565" s="3"/>
      <c r="D1565" s="3"/>
      <c r="E1565" s="2" t="str">
        <f>HYPERLINK("https://old.ukr-mobil.com/index.php?route=product&amp;product_id=10006144", "Перейти")</f>
        <v>Перейти</v>
      </c>
      <c r="F1565" s="2">
        <v>10006144</v>
      </c>
      <c r="G1565" s="4" t="s">
        <v>1666</v>
      </c>
      <c r="H1565" s="1">
        <v>64</v>
      </c>
      <c r="I1565" s="1">
        <v>0</v>
      </c>
      <c r="J1565" s="1">
        <v>30</v>
      </c>
      <c r="K1565" s="2">
        <v>43.0</v>
      </c>
    </row>
    <row r="1566" spans="1:12">
      <c r="A1566" s="3" t="s">
        <v>1497</v>
      </c>
      <c r="B1566" s="3" t="s">
        <v>1667</v>
      </c>
      <c r="C1566" s="3"/>
      <c r="D1566" s="3"/>
      <c r="E1566" s="2" t="str">
        <f>HYPERLINK("https://old.ukr-mobil.com/index.php?route=product&amp;product_id=10006014", "Перейти")</f>
        <v>Перейти</v>
      </c>
      <c r="F1566" s="2">
        <v>10006014</v>
      </c>
      <c r="G1566" s="4" t="s">
        <v>1668</v>
      </c>
      <c r="H1566" s="1">
        <v>0</v>
      </c>
      <c r="I1566" s="1">
        <v>0</v>
      </c>
      <c r="J1566" s="1">
        <v>0</v>
      </c>
      <c r="K1566" s="2">
        <v>18.0</v>
      </c>
    </row>
    <row r="1567" spans="1:12">
      <c r="A1567" s="3" t="s">
        <v>1497</v>
      </c>
      <c r="B1567" s="3" t="s">
        <v>1667</v>
      </c>
      <c r="C1567" s="3"/>
      <c r="D1567" s="3"/>
      <c r="E1567" s="2" t="str">
        <f>HYPERLINK("https://old.ukr-mobil.com/index.php?route=product&amp;product_id=10005084", "Перейти")</f>
        <v>Перейти</v>
      </c>
      <c r="F1567" s="2">
        <v>10005084</v>
      </c>
      <c r="G1567" s="4" t="s">
        <v>1669</v>
      </c>
      <c r="H1567" s="1">
        <v>2581</v>
      </c>
      <c r="I1567" s="1">
        <v>0</v>
      </c>
      <c r="J1567" s="1">
        <v>0</v>
      </c>
      <c r="K1567" s="2">
        <v>11.85</v>
      </c>
    </row>
    <row r="1568" spans="1:12">
      <c r="A1568" s="3" t="s">
        <v>1497</v>
      </c>
      <c r="B1568" s="3" t="s">
        <v>1667</v>
      </c>
      <c r="C1568" s="3"/>
      <c r="D1568" s="3"/>
      <c r="E1568" s="2" t="str">
        <f>HYPERLINK("https://old.ukr-mobil.com/index.php?route=product&amp;product_id=10005843", "Перейти")</f>
        <v>Перейти</v>
      </c>
      <c r="F1568" s="2">
        <v>10005843</v>
      </c>
      <c r="G1568" s="4" t="s">
        <v>1670</v>
      </c>
      <c r="H1568" s="1">
        <v>112</v>
      </c>
      <c r="I1568" s="1">
        <v>0</v>
      </c>
      <c r="J1568" s="1">
        <v>30</v>
      </c>
      <c r="K1568" s="2">
        <v>13.5</v>
      </c>
    </row>
    <row r="1569" spans="1:12">
      <c r="A1569" s="3" t="s">
        <v>1497</v>
      </c>
      <c r="B1569" s="3" t="s">
        <v>1667</v>
      </c>
      <c r="C1569" s="3"/>
      <c r="D1569" s="3"/>
      <c r="E1569" s="2" t="str">
        <f>HYPERLINK("https://old.ukr-mobil.com/index.php?route=product&amp;product_id=10005666", "Перейти")</f>
        <v>Перейти</v>
      </c>
      <c r="F1569" s="2">
        <v>10005666</v>
      </c>
      <c r="G1569" s="4" t="s">
        <v>1671</v>
      </c>
      <c r="H1569" s="1">
        <v>0</v>
      </c>
      <c r="I1569" s="1">
        <v>0</v>
      </c>
      <c r="J1569" s="1">
        <v>0</v>
      </c>
      <c r="K1569" s="2">
        <v>12.0</v>
      </c>
    </row>
    <row r="1570" spans="1:12">
      <c r="A1570" s="3" t="s">
        <v>1497</v>
      </c>
      <c r="B1570" s="3" t="s">
        <v>1667</v>
      </c>
      <c r="C1570" s="3"/>
      <c r="D1570" s="3"/>
      <c r="E1570" s="2" t="str">
        <f>HYPERLINK("https://old.ukr-mobil.com/index.php?route=product&amp;product_id=10005667", "Перейти")</f>
        <v>Перейти</v>
      </c>
      <c r="F1570" s="2">
        <v>10005667</v>
      </c>
      <c r="G1570" s="4" t="s">
        <v>1672</v>
      </c>
      <c r="H1570" s="1">
        <v>1</v>
      </c>
      <c r="I1570" s="1">
        <v>19</v>
      </c>
      <c r="J1570" s="1">
        <v>0</v>
      </c>
      <c r="K1570" s="2">
        <v>12.0</v>
      </c>
    </row>
    <row r="1571" spans="1:12">
      <c r="A1571" s="3" t="s">
        <v>1497</v>
      </c>
      <c r="B1571" s="3" t="s">
        <v>1667</v>
      </c>
      <c r="C1571" s="3"/>
      <c r="D1571" s="3"/>
      <c r="E1571" s="2" t="str">
        <f>HYPERLINK("https://old.ukr-mobil.com/index.php?route=product&amp;product_id=10004775", "Перейти")</f>
        <v>Перейти</v>
      </c>
      <c r="F1571" s="2">
        <v>10004775</v>
      </c>
      <c r="G1571" s="4" t="s">
        <v>1673</v>
      </c>
      <c r="H1571" s="1">
        <v>1686</v>
      </c>
      <c r="I1571" s="1">
        <v>0</v>
      </c>
      <c r="J1571" s="1">
        <v>164</v>
      </c>
      <c r="K1571" s="2">
        <v>9.65</v>
      </c>
    </row>
    <row r="1572" spans="1:12">
      <c r="A1572" s="3" t="s">
        <v>1497</v>
      </c>
      <c r="B1572" s="3" t="s">
        <v>1667</v>
      </c>
      <c r="C1572" s="3"/>
      <c r="D1572" s="3"/>
      <c r="E1572" s="2" t="str">
        <f>HYPERLINK("https://old.ukr-mobil.com/index.php?route=product&amp;product_id=10005441", "Перейти")</f>
        <v>Перейти</v>
      </c>
      <c r="F1572" s="2">
        <v>10005441</v>
      </c>
      <c r="G1572" s="4" t="s">
        <v>1674</v>
      </c>
      <c r="H1572" s="1">
        <v>0</v>
      </c>
      <c r="I1572" s="1">
        <v>0</v>
      </c>
      <c r="J1572" s="1">
        <v>0</v>
      </c>
      <c r="K1572" s="2">
        <v>23.0</v>
      </c>
    </row>
    <row r="1573" spans="1:12">
      <c r="A1573" s="3" t="s">
        <v>1497</v>
      </c>
      <c r="B1573" s="3" t="s">
        <v>1667</v>
      </c>
      <c r="C1573" s="3"/>
      <c r="D1573" s="3"/>
      <c r="E1573" s="2" t="str">
        <f>HYPERLINK("https://old.ukr-mobil.com/index.php?route=product&amp;product_id=10006191", "Перейти")</f>
        <v>Перейти</v>
      </c>
      <c r="F1573" s="2">
        <v>10006191</v>
      </c>
      <c r="G1573" s="4" t="s">
        <v>1675</v>
      </c>
      <c r="H1573" s="1">
        <v>1</v>
      </c>
      <c r="I1573" s="1">
        <v>0</v>
      </c>
      <c r="J1573" s="1">
        <v>0</v>
      </c>
      <c r="K1573" s="2">
        <v>36.0</v>
      </c>
    </row>
    <row r="1574" spans="1:12">
      <c r="A1574" s="3" t="s">
        <v>1497</v>
      </c>
      <c r="B1574" s="3" t="s">
        <v>1667</v>
      </c>
      <c r="C1574" s="3"/>
      <c r="D1574" s="3"/>
      <c r="E1574" s="2" t="str">
        <f>HYPERLINK("https://old.ukr-mobil.com/index.php?route=product&amp;product_id=10006192", "Перейти")</f>
        <v>Перейти</v>
      </c>
      <c r="F1574" s="2">
        <v>10006192</v>
      </c>
      <c r="G1574" s="4" t="s">
        <v>1676</v>
      </c>
      <c r="H1574" s="1">
        <v>1</v>
      </c>
      <c r="I1574" s="1">
        <v>0</v>
      </c>
      <c r="J1574" s="1">
        <v>0</v>
      </c>
      <c r="K1574" s="2">
        <v>0.0</v>
      </c>
    </row>
    <row r="1575" spans="1:12">
      <c r="A1575" s="3" t="s">
        <v>1497</v>
      </c>
      <c r="B1575" s="3" t="s">
        <v>1667</v>
      </c>
      <c r="C1575" s="3"/>
      <c r="D1575" s="3"/>
      <c r="E1575" s="2" t="str">
        <f>HYPERLINK("https://old.ukr-mobil.com/index.php?route=product&amp;product_id=10006215", "Перейти")</f>
        <v>Перейти</v>
      </c>
      <c r="F1575" s="2">
        <v>10006215</v>
      </c>
      <c r="G1575" s="4" t="s">
        <v>1677</v>
      </c>
      <c r="H1575" s="1">
        <v>171</v>
      </c>
      <c r="I1575" s="1">
        <v>50</v>
      </c>
      <c r="J1575" s="1">
        <v>0</v>
      </c>
      <c r="K1575" s="2">
        <v>37.0</v>
      </c>
    </row>
    <row r="1576" spans="1:12">
      <c r="A1576" s="3" t="s">
        <v>1497</v>
      </c>
      <c r="B1576" s="3" t="s">
        <v>1667</v>
      </c>
      <c r="C1576" s="3"/>
      <c r="D1576" s="3"/>
      <c r="E1576" s="2" t="str">
        <f>HYPERLINK("https://old.ukr-mobil.com/index.php?route=product&amp;product_id=10006213", "Перейти")</f>
        <v>Перейти</v>
      </c>
      <c r="F1576" s="2">
        <v>10006213</v>
      </c>
      <c r="G1576" s="4" t="s">
        <v>1678</v>
      </c>
      <c r="H1576" s="1">
        <v>1000</v>
      </c>
      <c r="I1576" s="1">
        <v>0</v>
      </c>
      <c r="J1576" s="1">
        <v>0</v>
      </c>
      <c r="K1576" s="2">
        <v>30.0</v>
      </c>
    </row>
    <row r="1577" spans="1:12">
      <c r="A1577" s="3" t="s">
        <v>1497</v>
      </c>
      <c r="B1577" s="3" t="s">
        <v>1667</v>
      </c>
      <c r="C1577" s="3"/>
      <c r="D1577" s="3"/>
      <c r="E1577" s="2" t="str">
        <f>HYPERLINK("https://old.ukr-mobil.com/priemnik_tbs_crossfire_nano_rx_pro_s_antennoj_immortal_t_v2_10004549", "Перейти")</f>
        <v>Перейти</v>
      </c>
      <c r="F1577" s="2">
        <v>10004549</v>
      </c>
      <c r="G1577" s="4" t="s">
        <v>1679</v>
      </c>
      <c r="H1577" s="1">
        <v>0</v>
      </c>
      <c r="I1577" s="1">
        <v>0</v>
      </c>
      <c r="J1577" s="1">
        <v>0</v>
      </c>
      <c r="K1577" s="2">
        <v>24.85</v>
      </c>
    </row>
    <row r="1578" spans="1:12">
      <c r="A1578" s="3" t="s">
        <v>1497</v>
      </c>
      <c r="B1578" s="3" t="s">
        <v>1680</v>
      </c>
      <c r="C1578" s="3"/>
      <c r="D1578" s="3"/>
      <c r="E1578" s="2" t="str">
        <f>HYPERLINK("https://old.ukr-mobil.com/index.php?route=product&amp;product_id=10005654", "Перейти")</f>
        <v>Перейти</v>
      </c>
      <c r="F1578" s="2">
        <v>10005654</v>
      </c>
      <c r="G1578" s="4" t="s">
        <v>1681</v>
      </c>
      <c r="H1578" s="1">
        <v>0</v>
      </c>
      <c r="I1578" s="1">
        <v>0</v>
      </c>
      <c r="J1578" s="1">
        <v>0</v>
      </c>
      <c r="K1578" s="2">
        <v>55.0</v>
      </c>
    </row>
    <row r="1579" spans="1:12">
      <c r="A1579" s="3" t="s">
        <v>1497</v>
      </c>
      <c r="B1579" s="3" t="s">
        <v>1680</v>
      </c>
      <c r="C1579" s="3"/>
      <c r="D1579" s="3"/>
      <c r="E1579" s="2" t="str">
        <f>HYPERLINK("https://old.ukr-mobil.com/index.php?route=product&amp;product_id=10005655", "Перейти")</f>
        <v>Перейти</v>
      </c>
      <c r="F1579" s="2">
        <v>10005655</v>
      </c>
      <c r="G1579" s="4" t="s">
        <v>1682</v>
      </c>
      <c r="H1579" s="1">
        <v>0</v>
      </c>
      <c r="I1579" s="1">
        <v>0</v>
      </c>
      <c r="J1579" s="1">
        <v>0</v>
      </c>
      <c r="K1579" s="2">
        <v>55.0</v>
      </c>
    </row>
    <row r="1580" spans="1:12">
      <c r="A1580" s="3" t="s">
        <v>1497</v>
      </c>
      <c r="B1580" s="3" t="s">
        <v>1680</v>
      </c>
      <c r="C1580" s="3"/>
      <c r="D1580" s="3"/>
      <c r="E1580" s="2" t="str">
        <f>HYPERLINK("https://old.ukr-mobil.com/index.php?route=product&amp;product_id=10004994", "Перейти")</f>
        <v>Перейти</v>
      </c>
      <c r="F1580" s="2">
        <v>10004994</v>
      </c>
      <c r="G1580" s="4" t="s">
        <v>1683</v>
      </c>
      <c r="H1580" s="1">
        <v>0</v>
      </c>
      <c r="I1580" s="1">
        <v>0</v>
      </c>
      <c r="J1580" s="1">
        <v>0</v>
      </c>
      <c r="K1580" s="2">
        <v>7.25</v>
      </c>
    </row>
    <row r="1581" spans="1:12">
      <c r="A1581" s="3" t="s">
        <v>1497</v>
      </c>
      <c r="B1581" s="3" t="s">
        <v>1680</v>
      </c>
      <c r="C1581" s="3"/>
      <c r="D1581" s="3"/>
      <c r="E1581" s="2" t="str">
        <f>HYPERLINK("https://old.ukr-mobil.com/index.php?route=product&amp;product_id=10005580", "Перейти")</f>
        <v>Перейти</v>
      </c>
      <c r="F1581" s="2">
        <v>10005580</v>
      </c>
      <c r="G1581" s="4" t="s">
        <v>1684</v>
      </c>
      <c r="H1581" s="1">
        <v>476</v>
      </c>
      <c r="I1581" s="1">
        <v>0</v>
      </c>
      <c r="J1581" s="1">
        <v>0</v>
      </c>
      <c r="K1581" s="2">
        <v>12.0</v>
      </c>
    </row>
    <row r="1582" spans="1:12">
      <c r="A1582" s="3" t="s">
        <v>1497</v>
      </c>
      <c r="B1582" s="3" t="s">
        <v>1680</v>
      </c>
      <c r="C1582" s="3"/>
      <c r="D1582" s="3"/>
      <c r="E1582" s="2" t="str">
        <f>HYPERLINK("https://old.ukr-mobil.com/index.php?route=product&amp;product_id=10006026", "Перейти")</f>
        <v>Перейти</v>
      </c>
      <c r="F1582" s="2">
        <v>10006026</v>
      </c>
      <c r="G1582" s="4" t="s">
        <v>1685</v>
      </c>
      <c r="H1582" s="1">
        <v>977</v>
      </c>
      <c r="I1582" s="1">
        <v>0</v>
      </c>
      <c r="J1582" s="1">
        <v>0</v>
      </c>
      <c r="K1582" s="2">
        <v>12.0</v>
      </c>
    </row>
    <row r="1583" spans="1:12">
      <c r="A1583" s="3" t="s">
        <v>1497</v>
      </c>
      <c r="B1583" s="3" t="s">
        <v>1680</v>
      </c>
      <c r="C1583" s="3"/>
      <c r="D1583" s="3"/>
      <c r="E1583" s="2" t="str">
        <f>HYPERLINK("https://old.ukr-mobil.com/index.php?route=product&amp;product_id=10005846", "Перейти")</f>
        <v>Перейти</v>
      </c>
      <c r="F1583" s="2">
        <v>10005846</v>
      </c>
      <c r="G1583" s="4" t="s">
        <v>1686</v>
      </c>
      <c r="H1583" s="1">
        <v>0</v>
      </c>
      <c r="I1583" s="1">
        <v>0</v>
      </c>
      <c r="J1583" s="1">
        <v>0</v>
      </c>
      <c r="K1583" s="2">
        <v>11.0</v>
      </c>
    </row>
    <row r="1584" spans="1:12">
      <c r="A1584" s="3" t="s">
        <v>1497</v>
      </c>
      <c r="B1584" s="3" t="s">
        <v>1680</v>
      </c>
      <c r="C1584" s="3"/>
      <c r="D1584" s="3"/>
      <c r="E1584" s="2" t="str">
        <f>HYPERLINK("https://old.ukr-mobil.com/index.php?route=product&amp;product_id=10005845", "Перейти")</f>
        <v>Перейти</v>
      </c>
      <c r="F1584" s="2">
        <v>10005845</v>
      </c>
      <c r="G1584" s="4" t="s">
        <v>1687</v>
      </c>
      <c r="H1584" s="1">
        <v>0</v>
      </c>
      <c r="I1584" s="1">
        <v>0</v>
      </c>
      <c r="J1584" s="1">
        <v>0</v>
      </c>
      <c r="K1584" s="2">
        <v>14.0</v>
      </c>
    </row>
    <row r="1585" spans="1:12">
      <c r="A1585" s="3" t="s">
        <v>1497</v>
      </c>
      <c r="B1585" s="3" t="s">
        <v>1680</v>
      </c>
      <c r="C1585" s="3"/>
      <c r="D1585" s="3"/>
      <c r="E1585" s="2" t="str">
        <f>HYPERLINK("https://old.ukr-mobil.com/index.php?route=product&amp;product_id=10006025", "Перейти")</f>
        <v>Перейти</v>
      </c>
      <c r="F1585" s="2">
        <v>10006025</v>
      </c>
      <c r="G1585" s="4" t="s">
        <v>1688</v>
      </c>
      <c r="H1585" s="1">
        <v>51</v>
      </c>
      <c r="I1585" s="1">
        <v>6</v>
      </c>
      <c r="J1585" s="1">
        <v>0</v>
      </c>
      <c r="K1585" s="2">
        <v>15.0</v>
      </c>
    </row>
    <row r="1586" spans="1:12">
      <c r="A1586" s="3" t="s">
        <v>1497</v>
      </c>
      <c r="B1586" s="3" t="s">
        <v>1680</v>
      </c>
      <c r="C1586" s="3"/>
      <c r="D1586" s="3"/>
      <c r="E1586" s="2" t="str">
        <f>HYPERLINK("https://old.ukr-mobil.com/index.php?route=product&amp;product_id=10004996", "Перейти")</f>
        <v>Перейти</v>
      </c>
      <c r="F1586" s="2">
        <v>10004996</v>
      </c>
      <c r="G1586" s="4" t="s">
        <v>1689</v>
      </c>
      <c r="H1586" s="1">
        <v>13</v>
      </c>
      <c r="I1586" s="1">
        <v>0</v>
      </c>
      <c r="J1586" s="1">
        <v>16</v>
      </c>
      <c r="K1586" s="2">
        <v>5.9</v>
      </c>
    </row>
    <row r="1587" spans="1:12">
      <c r="A1587" s="3" t="s">
        <v>1497</v>
      </c>
      <c r="B1587" s="3" t="s">
        <v>1680</v>
      </c>
      <c r="C1587" s="3"/>
      <c r="D1587" s="3"/>
      <c r="E1587" s="2" t="str">
        <f>HYPERLINK("https://old.ukr-mobil.com/index.php?route=product&amp;product_id=10004995", "Перейти")</f>
        <v>Перейти</v>
      </c>
      <c r="F1587" s="2">
        <v>10004995</v>
      </c>
      <c r="G1587" s="4" t="s">
        <v>1690</v>
      </c>
      <c r="H1587" s="1">
        <v>52</v>
      </c>
      <c r="I1587" s="1">
        <v>0</v>
      </c>
      <c r="J1587" s="1">
        <v>67</v>
      </c>
      <c r="K1587" s="2">
        <v>9.0</v>
      </c>
    </row>
    <row r="1588" spans="1:12">
      <c r="A1588" s="3" t="s">
        <v>1497</v>
      </c>
      <c r="B1588" s="3" t="s">
        <v>1680</v>
      </c>
      <c r="C1588" s="3"/>
      <c r="D1588" s="3"/>
      <c r="E1588" s="2" t="str">
        <f>HYPERLINK("https://old.ukr-mobil.com/index.php?route=product&amp;product_id=10004650", "Перейти")</f>
        <v>Перейти</v>
      </c>
      <c r="F1588" s="2">
        <v>10004650</v>
      </c>
      <c r="G1588" s="4" t="s">
        <v>1691</v>
      </c>
      <c r="H1588" s="1">
        <v>4484</v>
      </c>
      <c r="I1588" s="1">
        <v>115</v>
      </c>
      <c r="J1588" s="1">
        <v>169</v>
      </c>
      <c r="K1588" s="2">
        <v>1.6</v>
      </c>
    </row>
    <row r="1589" spans="1:12">
      <c r="A1589" s="3" t="s">
        <v>1497</v>
      </c>
      <c r="B1589" s="3" t="s">
        <v>1680</v>
      </c>
      <c r="C1589" s="3"/>
      <c r="D1589" s="3"/>
      <c r="E1589" s="2" t="str">
        <f>HYPERLINK("https://old.ukr-mobil.com/index.php?route=product&amp;product_id=10006225", "Перейти")</f>
        <v>Перейти</v>
      </c>
      <c r="F1589" s="2">
        <v>10006225</v>
      </c>
      <c r="G1589" s="4" t="s">
        <v>1692</v>
      </c>
      <c r="H1589" s="1">
        <v>88</v>
      </c>
      <c r="I1589" s="1">
        <v>0</v>
      </c>
      <c r="J1589" s="1">
        <v>0</v>
      </c>
      <c r="K1589" s="2">
        <v>4.0</v>
      </c>
    </row>
    <row r="1590" spans="1:12">
      <c r="A1590" s="3" t="s">
        <v>1497</v>
      </c>
      <c r="B1590" s="3" t="s">
        <v>1680</v>
      </c>
      <c r="C1590" s="3"/>
      <c r="D1590" s="3"/>
      <c r="E1590" s="2" t="str">
        <f>HYPERLINK("https://old.ukr-mobil.com/index.php?route=product&amp;product_id=10006226", "Перейти")</f>
        <v>Перейти</v>
      </c>
      <c r="F1590" s="2">
        <v>10006226</v>
      </c>
      <c r="G1590" s="4" t="s">
        <v>1693</v>
      </c>
      <c r="H1590" s="1">
        <v>88</v>
      </c>
      <c r="I1590" s="1">
        <v>0</v>
      </c>
      <c r="J1590" s="1">
        <v>0</v>
      </c>
      <c r="K1590" s="2">
        <v>4.0</v>
      </c>
    </row>
    <row r="1591" spans="1:12">
      <c r="A1591" s="3" t="s">
        <v>1497</v>
      </c>
      <c r="B1591" s="3" t="s">
        <v>1680</v>
      </c>
      <c r="C1591" s="3"/>
      <c r="D1591" s="3"/>
      <c r="E1591" s="2" t="str">
        <f>HYPERLINK("https://old.ukr-mobil.com/index.php?route=product&amp;product_id=10006227", "Перейти")</f>
        <v>Перейти</v>
      </c>
      <c r="F1591" s="2">
        <v>10006227</v>
      </c>
      <c r="G1591" s="4" t="s">
        <v>1694</v>
      </c>
      <c r="H1591" s="1">
        <v>100</v>
      </c>
      <c r="I1591" s="1">
        <v>0</v>
      </c>
      <c r="J1591" s="1">
        <v>0</v>
      </c>
      <c r="K1591" s="2">
        <v>13.0</v>
      </c>
    </row>
    <row r="1592" spans="1:12">
      <c r="A1592" s="3" t="s">
        <v>1497</v>
      </c>
      <c r="B1592" s="3" t="s">
        <v>1695</v>
      </c>
      <c r="C1592" s="3"/>
      <c r="D1592" s="3"/>
      <c r="E1592" s="2" t="str">
        <f>HYPERLINK("https://old.ukr-mobil.com/index.php?route=product&amp;product_id=10005844", "Перейти")</f>
        <v>Перейти</v>
      </c>
      <c r="F1592" s="2">
        <v>10005844</v>
      </c>
      <c r="G1592" s="4" t="s">
        <v>1696</v>
      </c>
      <c r="H1592" s="1">
        <v>1</v>
      </c>
      <c r="I1592" s="1">
        <v>2</v>
      </c>
      <c r="J1592" s="1">
        <v>0</v>
      </c>
      <c r="K1592" s="2">
        <v>70.0</v>
      </c>
    </row>
    <row r="1593" spans="1:12">
      <c r="A1593" s="3" t="s">
        <v>1497</v>
      </c>
      <c r="B1593" s="3" t="s">
        <v>1695</v>
      </c>
      <c r="C1593" s="3"/>
      <c r="D1593" s="3"/>
      <c r="E1593" s="2" t="str">
        <f>HYPERLINK("https://old.ukr-mobil.com/modul_peredatchika_elrs_750-780_mhz_1w_micro_s_antennoj_750_mhz_10005644", "Перейти")</f>
        <v>Перейти</v>
      </c>
      <c r="F1593" s="2">
        <v>10005644</v>
      </c>
      <c r="G1593" s="4" t="s">
        <v>1697</v>
      </c>
      <c r="H1593" s="1">
        <v>0</v>
      </c>
      <c r="I1593" s="1">
        <v>0</v>
      </c>
      <c r="J1593" s="1">
        <v>0</v>
      </c>
      <c r="K1593" s="2">
        <v>88.0</v>
      </c>
    </row>
    <row r="1594" spans="1:12">
      <c r="A1594" s="3" t="s">
        <v>1497</v>
      </c>
      <c r="B1594" s="3" t="s">
        <v>1695</v>
      </c>
      <c r="C1594" s="3"/>
      <c r="D1594" s="3"/>
      <c r="E1594" s="2" t="str">
        <f>HYPERLINK("https://old.ukr-mobil.com/modul_peredatchika_elrs_868_mhz_1w_micro_s_antennoj_868-930_mhz_10005645", "Перейти")</f>
        <v>Перейти</v>
      </c>
      <c r="F1594" s="2">
        <v>10005645</v>
      </c>
      <c r="G1594" s="4" t="s">
        <v>1698</v>
      </c>
      <c r="H1594" s="1">
        <v>10</v>
      </c>
      <c r="I1594" s="1">
        <v>0</v>
      </c>
      <c r="J1594" s="1">
        <v>4</v>
      </c>
      <c r="K1594" s="2">
        <v>68.0</v>
      </c>
    </row>
    <row r="1595" spans="1:12">
      <c r="A1595" s="3" t="s">
        <v>1497</v>
      </c>
      <c r="B1595" s="3" t="s">
        <v>1695</v>
      </c>
      <c r="C1595" s="3"/>
      <c r="D1595" s="3"/>
      <c r="E1595" s="2" t="str">
        <f>HYPERLINK("https://old.ukr-mobil.com/index.php?route=product&amp;product_id=10005546", "Перейти")</f>
        <v>Перейти</v>
      </c>
      <c r="F1595" s="2">
        <v>10005546</v>
      </c>
      <c r="G1595" s="4" t="s">
        <v>1699</v>
      </c>
      <c r="H1595" s="1">
        <v>0</v>
      </c>
      <c r="I1595" s="1">
        <v>0</v>
      </c>
      <c r="J1595" s="1">
        <v>0</v>
      </c>
      <c r="K1595" s="2">
        <v>74.0</v>
      </c>
    </row>
    <row r="1596" spans="1:12">
      <c r="A1596" s="3" t="s">
        <v>1497</v>
      </c>
      <c r="B1596" s="3" t="s">
        <v>1695</v>
      </c>
      <c r="C1596" s="3"/>
      <c r="D1596" s="3"/>
      <c r="E1596" s="2" t="str">
        <f>HYPERLINK("https://old.ukr-mobil.com/index.php?route=product&amp;product_id=10004705", "Перейти")</f>
        <v>Перейти</v>
      </c>
      <c r="F1596" s="2">
        <v>10004705</v>
      </c>
      <c r="G1596" s="4" t="s">
        <v>1700</v>
      </c>
      <c r="H1596" s="1">
        <v>0</v>
      </c>
      <c r="I1596" s="1">
        <v>0</v>
      </c>
      <c r="J1596" s="1">
        <v>0</v>
      </c>
      <c r="K1596" s="2">
        <v>160.0</v>
      </c>
    </row>
    <row r="1597" spans="1:12">
      <c r="A1597" s="3" t="s">
        <v>1497</v>
      </c>
      <c r="B1597" s="3" t="s">
        <v>1695</v>
      </c>
      <c r="C1597" s="3"/>
      <c r="D1597" s="3"/>
      <c r="E1597" s="2" t="str">
        <f>HYPERLINK("https://old.ukr-mobil.com/index.php?route=product&amp;product_id=10005924", "Перейти")</f>
        <v>Перейти</v>
      </c>
      <c r="F1597" s="2">
        <v>10005924</v>
      </c>
      <c r="G1597" s="4" t="s">
        <v>1701</v>
      </c>
      <c r="H1597" s="1">
        <v>43</v>
      </c>
      <c r="I1597" s="1">
        <v>3</v>
      </c>
      <c r="J1597" s="1">
        <v>0</v>
      </c>
      <c r="K1597" s="2">
        <v>22.0</v>
      </c>
    </row>
    <row r="1598" spans="1:12">
      <c r="A1598" s="3" t="s">
        <v>1497</v>
      </c>
      <c r="B1598" s="3" t="s">
        <v>1695</v>
      </c>
      <c r="C1598" s="3"/>
      <c r="D1598" s="3"/>
      <c r="E1598" s="2" t="str">
        <f>HYPERLINK("https://old.ukr-mobil.com/index.php?route=product&amp;product_id=10004970", "Перейти")</f>
        <v>Перейти</v>
      </c>
      <c r="F1598" s="2">
        <v>10004970</v>
      </c>
      <c r="G1598" s="4" t="s">
        <v>1702</v>
      </c>
      <c r="H1598" s="1">
        <v>0</v>
      </c>
      <c r="I1598" s="1">
        <v>0</v>
      </c>
      <c r="J1598" s="1">
        <v>0</v>
      </c>
      <c r="K1598" s="2">
        <v>162.0</v>
      </c>
    </row>
    <row r="1599" spans="1:12">
      <c r="A1599" s="3" t="s">
        <v>1497</v>
      </c>
      <c r="B1599" s="3" t="s">
        <v>1695</v>
      </c>
      <c r="C1599" s="3"/>
      <c r="D1599" s="3"/>
      <c r="E1599" s="2" t="str">
        <f>HYPERLINK("https://old.ukr-mobil.com/index.php?route=product&amp;product_id=10006147", "Перейти")</f>
        <v>Перейти</v>
      </c>
      <c r="F1599" s="2">
        <v>10006147</v>
      </c>
      <c r="G1599" s="4" t="s">
        <v>1703</v>
      </c>
      <c r="H1599" s="1">
        <v>41</v>
      </c>
      <c r="I1599" s="1">
        <v>5</v>
      </c>
      <c r="J1599" s="1">
        <v>0</v>
      </c>
      <c r="K1599" s="2">
        <v>213.0</v>
      </c>
    </row>
    <row r="1600" spans="1:12">
      <c r="A1600" s="3" t="s">
        <v>1497</v>
      </c>
      <c r="B1600" s="3" t="s">
        <v>1695</v>
      </c>
      <c r="C1600" s="3"/>
      <c r="D1600" s="3"/>
      <c r="E1600" s="2" t="str">
        <f>HYPERLINK("https://old.ukr-mobil.com/index.php?route=product&amp;product_id=10004971", "Перейти")</f>
        <v>Перейти</v>
      </c>
      <c r="F1600" s="2">
        <v>10004971</v>
      </c>
      <c r="G1600" s="4" t="s">
        <v>1704</v>
      </c>
      <c r="H1600" s="1">
        <v>0</v>
      </c>
      <c r="I1600" s="1">
        <v>0</v>
      </c>
      <c r="J1600" s="1">
        <v>0</v>
      </c>
      <c r="K1600" s="2">
        <v>111.0</v>
      </c>
    </row>
    <row r="1601" spans="1:12">
      <c r="A1601" s="3" t="s">
        <v>1497</v>
      </c>
      <c r="B1601" s="3" t="s">
        <v>1695</v>
      </c>
      <c r="C1601" s="3"/>
      <c r="D1601" s="3"/>
      <c r="E1601" s="2" t="str">
        <f>HYPERLINK("https://old.ukr-mobil.com/index.php?route=product&amp;product_id=10004702", "Перейти")</f>
        <v>Перейти</v>
      </c>
      <c r="F1601" s="2">
        <v>10004702</v>
      </c>
      <c r="G1601" s="4" t="s">
        <v>1705</v>
      </c>
      <c r="H1601" s="1">
        <v>0</v>
      </c>
      <c r="I1601" s="1">
        <v>0</v>
      </c>
      <c r="J1601" s="1">
        <v>0</v>
      </c>
      <c r="K1601" s="2">
        <v>230.0</v>
      </c>
    </row>
    <row r="1602" spans="1:12">
      <c r="A1602" s="3" t="s">
        <v>1497</v>
      </c>
      <c r="B1602" s="3" t="s">
        <v>1706</v>
      </c>
      <c r="C1602" s="3"/>
      <c r="D1602" s="3"/>
      <c r="E1602" s="2" t="str">
        <f>HYPERLINK("https://old.ukr-mobil.com/index.php?route=product&amp;product_id=10005636", "Перейти")</f>
        <v>Перейти</v>
      </c>
      <c r="F1602" s="2">
        <v>10005636</v>
      </c>
      <c r="G1602" s="4" t="s">
        <v>1707</v>
      </c>
      <c r="H1602" s="1">
        <v>8139</v>
      </c>
      <c r="I1602" s="1">
        <v>306</v>
      </c>
      <c r="J1602" s="1">
        <v>0</v>
      </c>
      <c r="K1602" s="2">
        <v>0.75</v>
      </c>
    </row>
    <row r="1603" spans="1:12">
      <c r="A1603" s="3" t="s">
        <v>1497</v>
      </c>
      <c r="B1603" s="3" t="s">
        <v>1706</v>
      </c>
      <c r="C1603" s="3"/>
      <c r="D1603" s="3"/>
      <c r="E1603" s="2" t="str">
        <f>HYPERLINK("https://old.ukr-mobil.com/index.php?route=product&amp;product_id=10006230", "Перейти")</f>
        <v>Перейти</v>
      </c>
      <c r="F1603" s="2">
        <v>10006230</v>
      </c>
      <c r="G1603" s="4" t="s">
        <v>1708</v>
      </c>
      <c r="H1603" s="1">
        <v>13625</v>
      </c>
      <c r="I1603" s="1">
        <v>490</v>
      </c>
      <c r="J1603" s="1">
        <v>0</v>
      </c>
      <c r="K1603" s="2">
        <v>0.95</v>
      </c>
    </row>
    <row r="1604" spans="1:12">
      <c r="A1604" s="3" t="s">
        <v>1497</v>
      </c>
      <c r="B1604" s="3" t="s">
        <v>1706</v>
      </c>
      <c r="C1604" s="3"/>
      <c r="D1604" s="3"/>
      <c r="E1604" s="2" t="str">
        <f>HYPERLINK("https://old.ukr-mobil.com/index.php?route=product&amp;product_id=10006172", "Перейти")</f>
        <v>Перейти</v>
      </c>
      <c r="F1604" s="2">
        <v>10006172</v>
      </c>
      <c r="G1604" s="4" t="s">
        <v>1709</v>
      </c>
      <c r="H1604" s="1">
        <v>2840</v>
      </c>
      <c r="I1604" s="1">
        <v>68</v>
      </c>
      <c r="J1604" s="1">
        <v>0</v>
      </c>
      <c r="K1604" s="2">
        <v>4.65</v>
      </c>
    </row>
    <row r="1605" spans="1:12">
      <c r="A1605" s="3" t="s">
        <v>1497</v>
      </c>
      <c r="B1605" s="3" t="s">
        <v>1706</v>
      </c>
      <c r="C1605" s="3"/>
      <c r="D1605" s="3"/>
      <c r="E1605" s="2" t="str">
        <f>HYPERLINK("https://old.ukr-mobil.com/index.php?route=product&amp;product_id=10006173", "Перейти")</f>
        <v>Перейти</v>
      </c>
      <c r="F1605" s="2">
        <v>10006173</v>
      </c>
      <c r="G1605" s="4" t="s">
        <v>1710</v>
      </c>
      <c r="H1605" s="1">
        <v>0</v>
      </c>
      <c r="I1605" s="1">
        <v>0</v>
      </c>
      <c r="J1605" s="1">
        <v>0</v>
      </c>
      <c r="K1605" s="2">
        <v>4.85</v>
      </c>
    </row>
    <row r="1606" spans="1:12">
      <c r="A1606" s="3" t="s">
        <v>1497</v>
      </c>
      <c r="B1606" s="3" t="s">
        <v>1706</v>
      </c>
      <c r="C1606" s="3"/>
      <c r="D1606" s="3"/>
      <c r="E1606" s="2" t="str">
        <f>HYPERLINK("https://old.ukr-mobil.com/index.php?route=product&amp;product_id=10006132", "Перейти")</f>
        <v>Перейти</v>
      </c>
      <c r="F1606" s="2">
        <v>10006132</v>
      </c>
      <c r="G1606" s="4" t="s">
        <v>1711</v>
      </c>
      <c r="H1606" s="1">
        <v>0</v>
      </c>
      <c r="I1606" s="1">
        <v>0</v>
      </c>
      <c r="J1606" s="1">
        <v>0</v>
      </c>
      <c r="K1606" s="2">
        <v>0.38</v>
      </c>
    </row>
    <row r="1607" spans="1:12">
      <c r="A1607" s="3" t="s">
        <v>1497</v>
      </c>
      <c r="B1607" s="3" t="s">
        <v>1706</v>
      </c>
      <c r="C1607" s="3"/>
      <c r="D1607" s="3"/>
      <c r="E1607" s="2" t="str">
        <f>HYPERLINK("https://old.ukr-mobil.com/index.php?route=product&amp;product_id=10006133", "Перейти")</f>
        <v>Перейти</v>
      </c>
      <c r="F1607" s="2">
        <v>10006133</v>
      </c>
      <c r="G1607" s="4" t="s">
        <v>1712</v>
      </c>
      <c r="H1607" s="1">
        <v>2919</v>
      </c>
      <c r="I1607" s="1">
        <v>0</v>
      </c>
      <c r="J1607" s="1">
        <v>0</v>
      </c>
      <c r="K1607" s="2">
        <v>0.38</v>
      </c>
    </row>
    <row r="1608" spans="1:12">
      <c r="A1608" s="3" t="s">
        <v>1497</v>
      </c>
      <c r="B1608" s="3" t="s">
        <v>1706</v>
      </c>
      <c r="C1608" s="3"/>
      <c r="D1608" s="3"/>
      <c r="E1608" s="2" t="str">
        <f>HYPERLINK("https://old.ukr-mobil.com/index.php?route=product&amp;product_id=10004764", "Перейти")</f>
        <v>Перейти</v>
      </c>
      <c r="F1608" s="2">
        <v>10004764</v>
      </c>
      <c r="G1608" s="4" t="s">
        <v>1713</v>
      </c>
      <c r="H1608" s="1">
        <v>0</v>
      </c>
      <c r="I1608" s="1">
        <v>0</v>
      </c>
      <c r="J1608" s="1">
        <v>0</v>
      </c>
      <c r="K1608" s="2">
        <v>1.15</v>
      </c>
    </row>
    <row r="1609" spans="1:12">
      <c r="A1609" s="3" t="s">
        <v>1497</v>
      </c>
      <c r="B1609" s="3" t="s">
        <v>1706</v>
      </c>
      <c r="C1609" s="3"/>
      <c r="D1609" s="3"/>
      <c r="E1609" s="2" t="str">
        <f>HYPERLINK("https://old.ukr-mobil.com/index.php?route=product&amp;product_id=10004875", "Перейти")</f>
        <v>Перейти</v>
      </c>
      <c r="F1609" s="2">
        <v>10004875</v>
      </c>
      <c r="G1609" s="4" t="s">
        <v>1714</v>
      </c>
      <c r="H1609" s="1">
        <v>5249</v>
      </c>
      <c r="I1609" s="1">
        <v>51</v>
      </c>
      <c r="J1609" s="1">
        <v>0</v>
      </c>
      <c r="K1609" s="2">
        <v>0.4</v>
      </c>
    </row>
    <row r="1610" spans="1:12">
      <c r="A1610" s="3" t="s">
        <v>1497</v>
      </c>
      <c r="B1610" s="3" t="s">
        <v>1706</v>
      </c>
      <c r="C1610" s="3"/>
      <c r="D1610" s="3"/>
      <c r="E1610" s="2" t="str">
        <f>HYPERLINK("https://old.ukr-mobil.com/index.php?route=product&amp;product_id=10006174", "Перейти")</f>
        <v>Перейти</v>
      </c>
      <c r="F1610" s="2">
        <v>10006174</v>
      </c>
      <c r="G1610" s="4" t="s">
        <v>1715</v>
      </c>
      <c r="H1610" s="1">
        <v>948</v>
      </c>
      <c r="I1610" s="1">
        <v>0</v>
      </c>
      <c r="J1610" s="1">
        <v>0</v>
      </c>
      <c r="K1610" s="2">
        <v>0.75</v>
      </c>
    </row>
    <row r="1611" spans="1:12">
      <c r="A1611" s="3" t="s">
        <v>1497</v>
      </c>
      <c r="B1611" s="3" t="s">
        <v>1706</v>
      </c>
      <c r="C1611" s="3"/>
      <c r="D1611" s="3"/>
      <c r="E1611" s="2" t="str">
        <f>HYPERLINK("https://old.ukr-mobil.com/index.php?route=product&amp;product_id=10006150", "Перейти")</f>
        <v>Перейти</v>
      </c>
      <c r="F1611" s="2">
        <v>10006150</v>
      </c>
      <c r="G1611" s="4" t="s">
        <v>1716</v>
      </c>
      <c r="H1611" s="1">
        <v>0</v>
      </c>
      <c r="I1611" s="1">
        <v>0</v>
      </c>
      <c r="J1611" s="1">
        <v>0</v>
      </c>
      <c r="K1611" s="2">
        <v>0.75</v>
      </c>
    </row>
    <row r="1612" spans="1:12">
      <c r="A1612" s="3" t="s">
        <v>1497</v>
      </c>
      <c r="B1612" s="3" t="s">
        <v>1706</v>
      </c>
      <c r="C1612" s="3"/>
      <c r="D1612" s="3"/>
      <c r="E1612" s="2" t="str">
        <f>HYPERLINK("https://old.ukr-mobil.com/index.php?route=product&amp;product_id=10004843", "Перейти")</f>
        <v>Перейти</v>
      </c>
      <c r="F1612" s="2">
        <v>10004843</v>
      </c>
      <c r="G1612" s="4" t="s">
        <v>1717</v>
      </c>
      <c r="H1612" s="1">
        <v>0</v>
      </c>
      <c r="I1612" s="1">
        <v>0</v>
      </c>
      <c r="J1612" s="1">
        <v>0</v>
      </c>
      <c r="K1612" s="2">
        <v>0.55</v>
      </c>
    </row>
    <row r="1613" spans="1:12">
      <c r="A1613" s="3" t="s">
        <v>1497</v>
      </c>
      <c r="B1613" s="3" t="s">
        <v>1706</v>
      </c>
      <c r="C1613" s="3"/>
      <c r="D1613" s="3"/>
      <c r="E1613" s="2" t="str">
        <f>HYPERLINK("https://old.ukr-mobil.com/index.php?route=product&amp;product_id=10004842", "Перейти")</f>
        <v>Перейти</v>
      </c>
      <c r="F1613" s="2">
        <v>10004842</v>
      </c>
      <c r="G1613" s="4" t="s">
        <v>1718</v>
      </c>
      <c r="H1613" s="1">
        <v>1356</v>
      </c>
      <c r="I1613" s="1">
        <v>410</v>
      </c>
      <c r="J1613" s="1">
        <v>388</v>
      </c>
      <c r="K1613" s="2">
        <v>0.6</v>
      </c>
    </row>
    <row r="1614" spans="1:12">
      <c r="A1614" s="3" t="s">
        <v>1497</v>
      </c>
      <c r="B1614" s="3" t="s">
        <v>1706</v>
      </c>
      <c r="C1614" s="3"/>
      <c r="D1614" s="3"/>
      <c r="E1614" s="2" t="str">
        <f>HYPERLINK("https://old.ukr-mobil.com/index.php?route=product&amp;product_id=10005648", "Перейти")</f>
        <v>Перейти</v>
      </c>
      <c r="F1614" s="2">
        <v>10005648</v>
      </c>
      <c r="G1614" s="4" t="s">
        <v>1719</v>
      </c>
      <c r="H1614" s="1">
        <v>1507</v>
      </c>
      <c r="I1614" s="1">
        <v>1999</v>
      </c>
      <c r="J1614" s="1">
        <v>1937</v>
      </c>
      <c r="K1614" s="2">
        <v>1.0</v>
      </c>
    </row>
    <row r="1615" spans="1:12">
      <c r="A1615" s="3" t="s">
        <v>1497</v>
      </c>
      <c r="B1615" s="3" t="s">
        <v>1706</v>
      </c>
      <c r="C1615" s="3"/>
      <c r="D1615" s="3"/>
      <c r="E1615" s="2" t="str">
        <f>HYPERLINK("https://old.ukr-mobil.com/index.php?route=product&amp;product_id=10005649", "Перейти")</f>
        <v>Перейти</v>
      </c>
      <c r="F1615" s="2">
        <v>10005649</v>
      </c>
      <c r="G1615" s="4" t="s">
        <v>1720</v>
      </c>
      <c r="H1615" s="1">
        <v>3395</v>
      </c>
      <c r="I1615" s="1">
        <v>200</v>
      </c>
      <c r="J1615" s="1">
        <v>210</v>
      </c>
      <c r="K1615" s="2">
        <v>1.0</v>
      </c>
    </row>
    <row r="1616" spans="1:12">
      <c r="A1616" s="3" t="s">
        <v>1497</v>
      </c>
      <c r="B1616" s="3" t="s">
        <v>1706</v>
      </c>
      <c r="C1616" s="3"/>
      <c r="D1616" s="3"/>
      <c r="E1616" s="2" t="str">
        <f>HYPERLINK("https://old.ukr-mobil.com/index.php?route=product&amp;product_id=10004767", "Перейти")</f>
        <v>Перейти</v>
      </c>
      <c r="F1616" s="2">
        <v>10004767</v>
      </c>
      <c r="G1616" s="4" t="s">
        <v>1721</v>
      </c>
      <c r="H1616" s="1">
        <v>256</v>
      </c>
      <c r="I1616" s="1">
        <v>0</v>
      </c>
      <c r="J1616" s="1">
        <v>0</v>
      </c>
      <c r="K1616" s="2">
        <v>1.56</v>
      </c>
    </row>
    <row r="1617" spans="1:12">
      <c r="A1617" s="3" t="s">
        <v>1497</v>
      </c>
      <c r="B1617" s="3" t="s">
        <v>1706</v>
      </c>
      <c r="C1617" s="3"/>
      <c r="D1617" s="3"/>
      <c r="E1617" s="2" t="str">
        <f>HYPERLINK("https://old.ukr-mobil.com/index.php?route=product&amp;product_id=10004997", "Перейти")</f>
        <v>Перейти</v>
      </c>
      <c r="F1617" s="2">
        <v>10004997</v>
      </c>
      <c r="G1617" s="4" t="s">
        <v>1722</v>
      </c>
      <c r="H1617" s="1">
        <v>0</v>
      </c>
      <c r="I1617" s="1">
        <v>0</v>
      </c>
      <c r="J1617" s="1">
        <v>0</v>
      </c>
      <c r="K1617" s="2">
        <v>1.4</v>
      </c>
    </row>
    <row r="1618" spans="1:12">
      <c r="A1618" s="3" t="s">
        <v>1497</v>
      </c>
      <c r="B1618" s="3" t="s">
        <v>1723</v>
      </c>
      <c r="C1618" s="3"/>
      <c r="D1618" s="3"/>
      <c r="E1618" s="2" t="str">
        <f>HYPERLINK("https://old.ukr-mobil.com/index.php?route=product&amp;product_id=10005665", "Перейти")</f>
        <v>Перейти</v>
      </c>
      <c r="F1618" s="2">
        <v>10005665</v>
      </c>
      <c r="G1618" s="4" t="s">
        <v>1724</v>
      </c>
      <c r="H1618" s="1">
        <v>0</v>
      </c>
      <c r="I1618" s="1">
        <v>0</v>
      </c>
      <c r="J1618" s="1">
        <v>0</v>
      </c>
      <c r="K1618" s="2">
        <v>61.0</v>
      </c>
    </row>
    <row r="1619" spans="1:12">
      <c r="A1619" s="3" t="s">
        <v>1497</v>
      </c>
      <c r="B1619" s="3" t="s">
        <v>1723</v>
      </c>
      <c r="C1619" s="3"/>
      <c r="D1619" s="3"/>
      <c r="E1619" s="2" t="str">
        <f>HYPERLINK("https://old.ukr-mobil.com/index.php?route=product&amp;product_id=10006063", "Перейти")</f>
        <v>Перейти</v>
      </c>
      <c r="F1619" s="2">
        <v>10006063</v>
      </c>
      <c r="G1619" s="4" t="s">
        <v>1725</v>
      </c>
      <c r="H1619" s="1">
        <v>0</v>
      </c>
      <c r="I1619" s="1">
        <v>0</v>
      </c>
      <c r="J1619" s="1">
        <v>0</v>
      </c>
      <c r="K1619" s="2">
        <v>90.0</v>
      </c>
    </row>
    <row r="1620" spans="1:12">
      <c r="A1620" s="3" t="s">
        <v>1497</v>
      </c>
      <c r="B1620" s="3" t="s">
        <v>1723</v>
      </c>
      <c r="C1620" s="3"/>
      <c r="D1620" s="3"/>
      <c r="E1620" s="2" t="str">
        <f>HYPERLINK("https://old.ukr-mobil.com/index.php?route=product&amp;product_id=10004594", "Перейти")</f>
        <v>Перейти</v>
      </c>
      <c r="F1620" s="2">
        <v>10004594</v>
      </c>
      <c r="G1620" s="4" t="s">
        <v>1726</v>
      </c>
      <c r="H1620" s="1">
        <v>0</v>
      </c>
      <c r="I1620" s="1">
        <v>0</v>
      </c>
      <c r="J1620" s="1">
        <v>0</v>
      </c>
      <c r="K1620" s="2">
        <v>35.0</v>
      </c>
    </row>
    <row r="1621" spans="1:12">
      <c r="A1621" s="3" t="s">
        <v>1497</v>
      </c>
      <c r="B1621" s="3" t="s">
        <v>1723</v>
      </c>
      <c r="C1621" s="3"/>
      <c r="D1621" s="3"/>
      <c r="E1621" s="2" t="str">
        <f>HYPERLINK("https://old.ukr-mobil.com/index.php?route=product&amp;product_id=10006041", "Перейти")</f>
        <v>Перейти</v>
      </c>
      <c r="F1621" s="2">
        <v>10006041</v>
      </c>
      <c r="G1621" s="4" t="s">
        <v>1727</v>
      </c>
      <c r="H1621" s="1">
        <v>0</v>
      </c>
      <c r="I1621" s="1">
        <v>0</v>
      </c>
      <c r="J1621" s="1">
        <v>0</v>
      </c>
      <c r="K1621" s="2">
        <v>65.0</v>
      </c>
    </row>
    <row r="1622" spans="1:12">
      <c r="A1622" s="3" t="s">
        <v>1497</v>
      </c>
      <c r="B1622" s="3" t="s">
        <v>1723</v>
      </c>
      <c r="C1622" s="3"/>
      <c r="D1622" s="3"/>
      <c r="E1622" s="2" t="str">
        <f>HYPERLINK("https://old.ukr-mobil.com/index.php?route=product&amp;product_id=10004892", "Перейти")</f>
        <v>Перейти</v>
      </c>
      <c r="F1622" s="2">
        <v>10004892</v>
      </c>
      <c r="G1622" s="4" t="s">
        <v>1728</v>
      </c>
      <c r="H1622" s="1">
        <v>2915</v>
      </c>
      <c r="I1622" s="1">
        <v>0</v>
      </c>
      <c r="J1622" s="1">
        <v>0</v>
      </c>
      <c r="K1622" s="2">
        <v>26.0</v>
      </c>
    </row>
    <row r="1623" spans="1:12">
      <c r="A1623" s="3" t="s">
        <v>1497</v>
      </c>
      <c r="B1623" s="3" t="s">
        <v>1723</v>
      </c>
      <c r="C1623" s="3"/>
      <c r="D1623" s="3"/>
      <c r="E1623" s="2" t="str">
        <f>HYPERLINK("https://old.ukr-mobil.com/index.php?route=product&amp;product_id=10005731", "Перейти")</f>
        <v>Перейти</v>
      </c>
      <c r="F1623" s="2">
        <v>10005731</v>
      </c>
      <c r="G1623" s="4" t="s">
        <v>1729</v>
      </c>
      <c r="H1623" s="1">
        <v>0</v>
      </c>
      <c r="I1623" s="1">
        <v>0</v>
      </c>
      <c r="J1623" s="1">
        <v>0</v>
      </c>
      <c r="K1623" s="2">
        <v>57.0</v>
      </c>
    </row>
    <row r="1624" spans="1:12">
      <c r="A1624" s="3" t="s">
        <v>1497</v>
      </c>
      <c r="B1624" s="3" t="s">
        <v>1723</v>
      </c>
      <c r="C1624" s="3"/>
      <c r="D1624" s="3"/>
      <c r="E1624" s="2" t="str">
        <f>HYPERLINK("https://old.ukr-mobil.com/index.php?route=product&amp;product_id=10005175", "Перейти")</f>
        <v>Перейти</v>
      </c>
      <c r="F1624" s="2">
        <v>10005175</v>
      </c>
      <c r="G1624" s="4" t="s">
        <v>1730</v>
      </c>
      <c r="H1624" s="1">
        <v>0</v>
      </c>
      <c r="I1624" s="1">
        <v>0</v>
      </c>
      <c r="J1624" s="1">
        <v>0</v>
      </c>
      <c r="K1624" s="2">
        <v>34.0</v>
      </c>
    </row>
    <row r="1625" spans="1:12">
      <c r="A1625" s="3" t="s">
        <v>1497</v>
      </c>
      <c r="B1625" s="3" t="s">
        <v>1723</v>
      </c>
      <c r="C1625" s="3"/>
      <c r="D1625" s="3"/>
      <c r="E1625" s="2" t="str">
        <f>HYPERLINK("https://old.ukr-mobil.com/index.php?route=product&amp;product_id=10005634", "Перейти")</f>
        <v>Перейти</v>
      </c>
      <c r="F1625" s="2">
        <v>10005634</v>
      </c>
      <c r="G1625" s="4" t="s">
        <v>1731</v>
      </c>
      <c r="H1625" s="1">
        <v>0</v>
      </c>
      <c r="I1625" s="1">
        <v>0</v>
      </c>
      <c r="J1625" s="1">
        <v>0</v>
      </c>
      <c r="K1625" s="2">
        <v>13.5</v>
      </c>
    </row>
    <row r="1626" spans="1:12">
      <c r="A1626" s="3" t="s">
        <v>1497</v>
      </c>
      <c r="B1626" s="3" t="s">
        <v>1723</v>
      </c>
      <c r="C1626" s="3"/>
      <c r="D1626" s="3"/>
      <c r="E1626" s="2" t="str">
        <f>HYPERLINK("https://old.ukr-mobil.com/rama_dlya_drona_fpv_mark4_7_dyujmov_295_mm_karbonovaya_10004576", "Перейти")</f>
        <v>Перейти</v>
      </c>
      <c r="F1626" s="2">
        <v>10004576</v>
      </c>
      <c r="G1626" s="4" t="s">
        <v>1732</v>
      </c>
      <c r="H1626" s="1">
        <v>0</v>
      </c>
      <c r="I1626" s="1">
        <v>0</v>
      </c>
      <c r="J1626" s="1">
        <v>0</v>
      </c>
      <c r="K1626" s="2">
        <v>15.0</v>
      </c>
    </row>
    <row r="1627" spans="1:12">
      <c r="A1627" s="3" t="s">
        <v>1497</v>
      </c>
      <c r="B1627" s="3" t="s">
        <v>1723</v>
      </c>
      <c r="C1627" s="3"/>
      <c r="D1627" s="3"/>
      <c r="E1627" s="2" t="str">
        <f>HYPERLINK("https://old.ukr-mobil.com/index.php?route=product&amp;product_id=10004676", "Перейти")</f>
        <v>Перейти</v>
      </c>
      <c r="F1627" s="2">
        <v>10004676</v>
      </c>
      <c r="G1627" s="4" t="s">
        <v>1733</v>
      </c>
      <c r="H1627" s="1">
        <v>0</v>
      </c>
      <c r="I1627" s="1">
        <v>0</v>
      </c>
      <c r="J1627" s="1">
        <v>0</v>
      </c>
      <c r="K1627" s="2">
        <v>30.0</v>
      </c>
    </row>
    <row r="1628" spans="1:12">
      <c r="A1628" s="3" t="s">
        <v>1497</v>
      </c>
      <c r="B1628" s="3" t="s">
        <v>1723</v>
      </c>
      <c r="C1628" s="3"/>
      <c r="D1628" s="3"/>
      <c r="E1628" s="2" t="str">
        <f>HYPERLINK("https://old.ukr-mobil.com/index.php?route=product&amp;product_id=10004677", "Перейти")</f>
        <v>Перейти</v>
      </c>
      <c r="F1628" s="2">
        <v>10004677</v>
      </c>
      <c r="G1628" s="4" t="s">
        <v>1734</v>
      </c>
      <c r="H1628" s="1">
        <v>856</v>
      </c>
      <c r="I1628" s="1">
        <v>0</v>
      </c>
      <c r="J1628" s="1">
        <v>121</v>
      </c>
      <c r="K1628" s="2">
        <v>14.0</v>
      </c>
    </row>
    <row r="1629" spans="1:12">
      <c r="A1629" s="3" t="s">
        <v>1497</v>
      </c>
      <c r="B1629" s="3" t="s">
        <v>1723</v>
      </c>
      <c r="C1629" s="3"/>
      <c r="D1629" s="3"/>
      <c r="E1629" s="2" t="str">
        <f>HYPERLINK("https://old.ukr-mobil.com/index.php?route=product&amp;product_id=10005646", "Перейти")</f>
        <v>Перейти</v>
      </c>
      <c r="F1629" s="2">
        <v>10005646</v>
      </c>
      <c r="G1629" s="4" t="s">
        <v>1735</v>
      </c>
      <c r="H1629" s="1">
        <v>0</v>
      </c>
      <c r="I1629" s="1">
        <v>0</v>
      </c>
      <c r="J1629" s="1">
        <v>0</v>
      </c>
      <c r="K1629" s="2">
        <v>2.35</v>
      </c>
    </row>
    <row r="1630" spans="1:12">
      <c r="A1630" s="3" t="s">
        <v>1497</v>
      </c>
      <c r="B1630" s="3" t="s">
        <v>1736</v>
      </c>
      <c r="C1630" s="3"/>
      <c r="D1630" s="3"/>
      <c r="E1630" s="2" t="str">
        <f>HYPERLINK("https://old.ukr-mobil.com/index.php?route=product&amp;product_id=10005723", "Перейти")</f>
        <v>Перейти</v>
      </c>
      <c r="F1630" s="2">
        <v>10005723</v>
      </c>
      <c r="G1630" s="4" t="s">
        <v>1737</v>
      </c>
      <c r="H1630" s="1">
        <v>523</v>
      </c>
      <c r="I1630" s="1">
        <v>0</v>
      </c>
      <c r="J1630" s="1">
        <v>183</v>
      </c>
      <c r="K1630" s="2">
        <v>3.5</v>
      </c>
    </row>
    <row r="1631" spans="1:12">
      <c r="A1631" s="3" t="s">
        <v>1497</v>
      </c>
      <c r="B1631" s="3" t="s">
        <v>1736</v>
      </c>
      <c r="C1631" s="3"/>
      <c r="D1631" s="3"/>
      <c r="E1631" s="2" t="str">
        <f>HYPERLINK("https://old.ukr-mobil.com/index.php?route=product&amp;product_id=10005726", "Перейти")</f>
        <v>Перейти</v>
      </c>
      <c r="F1631" s="2">
        <v>10005726</v>
      </c>
      <c r="G1631" s="4" t="s">
        <v>1738</v>
      </c>
      <c r="H1631" s="1">
        <v>64</v>
      </c>
      <c r="I1631" s="1">
        <v>24</v>
      </c>
      <c r="J1631" s="1">
        <v>0</v>
      </c>
      <c r="K1631" s="2">
        <v>3.5</v>
      </c>
    </row>
    <row r="1632" spans="1:12">
      <c r="A1632" s="3" t="s">
        <v>1497</v>
      </c>
      <c r="B1632" s="3" t="s">
        <v>1736</v>
      </c>
      <c r="C1632" s="3"/>
      <c r="D1632" s="3"/>
      <c r="E1632" s="2" t="str">
        <f>HYPERLINK("https://old.ukr-mobil.com/index.php?route=product&amp;product_id=10005719", "Перейти")</f>
        <v>Перейти</v>
      </c>
      <c r="F1632" s="2">
        <v>10005719</v>
      </c>
      <c r="G1632" s="4" t="s">
        <v>1739</v>
      </c>
      <c r="H1632" s="1">
        <v>79</v>
      </c>
      <c r="I1632" s="1">
        <v>28</v>
      </c>
      <c r="J1632" s="1">
        <v>18</v>
      </c>
      <c r="K1632" s="2">
        <v>3.25</v>
      </c>
    </row>
    <row r="1633" spans="1:12">
      <c r="A1633" s="3" t="s">
        <v>1497</v>
      </c>
      <c r="B1633" s="3" t="s">
        <v>1736</v>
      </c>
      <c r="C1633" s="3"/>
      <c r="D1633" s="3"/>
      <c r="E1633" s="2" t="str">
        <f>HYPERLINK("https://old.ukr-mobil.com/index.php?route=product&amp;product_id=10005678", "Перейти")</f>
        <v>Перейти</v>
      </c>
      <c r="F1633" s="2">
        <v>10005678</v>
      </c>
      <c r="G1633" s="4" t="s">
        <v>1740</v>
      </c>
      <c r="H1633" s="1">
        <v>0</v>
      </c>
      <c r="I1633" s="1">
        <v>0</v>
      </c>
      <c r="J1633" s="1">
        <v>0</v>
      </c>
      <c r="K1633" s="2">
        <v>8.0</v>
      </c>
    </row>
    <row r="1634" spans="1:12">
      <c r="A1634" s="3" t="s">
        <v>1497</v>
      </c>
      <c r="B1634" s="3" t="s">
        <v>1736</v>
      </c>
      <c r="C1634" s="3"/>
      <c r="D1634" s="3"/>
      <c r="E1634" s="2" t="str">
        <f>HYPERLINK("https://old.ukr-mobil.com/index.php?route=product&amp;product_id=10006056", "Перейти")</f>
        <v>Перейти</v>
      </c>
      <c r="F1634" s="2">
        <v>10006056</v>
      </c>
      <c r="G1634" s="4" t="s">
        <v>1741</v>
      </c>
      <c r="H1634" s="1">
        <v>379</v>
      </c>
      <c r="I1634" s="1">
        <v>0</v>
      </c>
      <c r="J1634" s="1">
        <v>63</v>
      </c>
      <c r="K1634" s="2">
        <v>7.0</v>
      </c>
    </row>
    <row r="1635" spans="1:12">
      <c r="A1635" s="3" t="s">
        <v>1497</v>
      </c>
      <c r="B1635" s="3" t="s">
        <v>1742</v>
      </c>
      <c r="C1635" s="3"/>
      <c r="D1635" s="3"/>
      <c r="E1635" s="2" t="str">
        <f>HYPERLINK("https://old.ukr-mobil.com/index.php?route=product&amp;product_id=10005941", "Перейти")</f>
        <v>Перейти</v>
      </c>
      <c r="F1635" s="2">
        <v>10005941</v>
      </c>
      <c r="G1635" s="4" t="s">
        <v>1743</v>
      </c>
      <c r="H1635" s="1">
        <v>0</v>
      </c>
      <c r="I1635" s="1">
        <v>3</v>
      </c>
      <c r="J1635" s="1">
        <v>10</v>
      </c>
      <c r="K1635" s="2">
        <v>240.0</v>
      </c>
    </row>
    <row r="1636" spans="1:12">
      <c r="A1636" s="3" t="s">
        <v>1497</v>
      </c>
      <c r="B1636" s="3" t="s">
        <v>1742</v>
      </c>
      <c r="C1636" s="3"/>
      <c r="D1636" s="3"/>
      <c r="E1636" s="2" t="str">
        <f>HYPERLINK("https://old.ukr-mobil.com/index.php?route=product&amp;product_id=10005942", "Перейти")</f>
        <v>Перейти</v>
      </c>
      <c r="F1636" s="2">
        <v>10005942</v>
      </c>
      <c r="G1636" s="4" t="s">
        <v>1744</v>
      </c>
      <c r="H1636" s="1">
        <v>6</v>
      </c>
      <c r="I1636" s="1">
        <v>0</v>
      </c>
      <c r="J1636" s="1">
        <v>1</v>
      </c>
      <c r="K1636" s="2">
        <v>190.0</v>
      </c>
    </row>
    <row r="1637" spans="1:12">
      <c r="A1637" s="3" t="s">
        <v>1497</v>
      </c>
      <c r="B1637" s="3" t="s">
        <v>1742</v>
      </c>
      <c r="C1637" s="3"/>
      <c r="D1637" s="3"/>
      <c r="E1637" s="2" t="str">
        <f>HYPERLINK("https://old.ukr-mobil.com/index.php?route=product&amp;product_id=10006034", "Перейти")</f>
        <v>Перейти</v>
      </c>
      <c r="F1637" s="2">
        <v>10006034</v>
      </c>
      <c r="G1637" s="4" t="s">
        <v>1745</v>
      </c>
      <c r="H1637" s="1">
        <v>5</v>
      </c>
      <c r="I1637" s="1">
        <v>1</v>
      </c>
      <c r="J1637" s="1">
        <v>0</v>
      </c>
      <c r="K1637" s="2">
        <v>240.0</v>
      </c>
    </row>
    <row r="1638" spans="1:12">
      <c r="A1638" s="3" t="s">
        <v>1497</v>
      </c>
      <c r="B1638" s="3" t="s">
        <v>1742</v>
      </c>
      <c r="C1638" s="3"/>
      <c r="D1638" s="3"/>
      <c r="E1638" s="2" t="str">
        <f>HYPERLINK("https://old.ukr-mobil.com/index.php?route=product&amp;product_id=10006035", "Перейти")</f>
        <v>Перейти</v>
      </c>
      <c r="F1638" s="2">
        <v>10006035</v>
      </c>
      <c r="G1638" s="4" t="s">
        <v>1746</v>
      </c>
      <c r="H1638" s="1">
        <v>9</v>
      </c>
      <c r="I1638" s="1">
        <v>2</v>
      </c>
      <c r="J1638" s="1">
        <v>0</v>
      </c>
      <c r="K1638" s="2">
        <v>190.0</v>
      </c>
    </row>
    <row r="1639" spans="1:12">
      <c r="A1639" s="3" t="s">
        <v>1497</v>
      </c>
      <c r="B1639" s="3" t="s">
        <v>1742</v>
      </c>
      <c r="C1639" s="3"/>
      <c r="D1639" s="3"/>
      <c r="E1639" s="2" t="str">
        <f>HYPERLINK("https://old.ukr-mobil.com/index.php?route=product&amp;product_id=10006036", "Перейти")</f>
        <v>Перейти</v>
      </c>
      <c r="F1639" s="2">
        <v>10006036</v>
      </c>
      <c r="G1639" s="4" t="s">
        <v>1747</v>
      </c>
      <c r="H1639" s="1">
        <v>0</v>
      </c>
      <c r="I1639" s="1">
        <v>0</v>
      </c>
      <c r="J1639" s="1">
        <v>0</v>
      </c>
      <c r="K1639" s="2">
        <v>220.0</v>
      </c>
    </row>
    <row r="1640" spans="1:12">
      <c r="A1640" s="3" t="s">
        <v>1497</v>
      </c>
      <c r="B1640" s="3" t="s">
        <v>1742</v>
      </c>
      <c r="C1640" s="3"/>
      <c r="D1640" s="3"/>
      <c r="E1640" s="2" t="str">
        <f>HYPERLINK("https://old.ukr-mobil.com/index.php?route=product&amp;product_id=10005943", "Перейти")</f>
        <v>Перейти</v>
      </c>
      <c r="F1640" s="2">
        <v>10005943</v>
      </c>
      <c r="G1640" s="4" t="s">
        <v>1748</v>
      </c>
      <c r="H1640" s="1">
        <v>11</v>
      </c>
      <c r="I1640" s="1">
        <v>3</v>
      </c>
      <c r="J1640" s="1">
        <v>5</v>
      </c>
      <c r="K1640" s="2">
        <v>470.0</v>
      </c>
    </row>
    <row r="1641" spans="1:12">
      <c r="A1641" s="3" t="s">
        <v>1497</v>
      </c>
      <c r="B1641" s="3" t="s">
        <v>1742</v>
      </c>
      <c r="C1641" s="3"/>
      <c r="D1641" s="3"/>
      <c r="E1641" s="2" t="str">
        <f>HYPERLINK("https://old.ukr-mobil.com/index.php?route=product&amp;product_id=10006123", "Перейти")</f>
        <v>Перейти</v>
      </c>
      <c r="F1641" s="2">
        <v>10006123</v>
      </c>
      <c r="G1641" s="4" t="s">
        <v>1749</v>
      </c>
      <c r="H1641" s="1">
        <v>32</v>
      </c>
      <c r="I1641" s="1">
        <v>0</v>
      </c>
      <c r="J1641" s="1">
        <v>8</v>
      </c>
      <c r="K1641" s="2">
        <v>150.0</v>
      </c>
    </row>
    <row r="1642" spans="1:12">
      <c r="A1642" s="3" t="s">
        <v>1750</v>
      </c>
      <c r="B1642" s="3" t="s">
        <v>1751</v>
      </c>
      <c r="C1642" s="3" t="s">
        <v>54</v>
      </c>
      <c r="D1642" s="3"/>
      <c r="E1642" s="2" t="str">
        <f>HYPERLINK("https://old.ukr-mobil.com/akkumulyator_ipad_2_a1376_3660", "Перейти")</f>
        <v>Перейти</v>
      </c>
      <c r="F1642" s="2">
        <v>3660</v>
      </c>
      <c r="G1642" s="4" t="s">
        <v>1752</v>
      </c>
      <c r="H1642" s="1">
        <v>0</v>
      </c>
      <c r="I1642" s="1">
        <v>0</v>
      </c>
      <c r="J1642" s="1">
        <v>0</v>
      </c>
      <c r="K1642" s="2">
        <v>11.59</v>
      </c>
    </row>
    <row r="1643" spans="1:12">
      <c r="A1643" s="3" t="s">
        <v>1750</v>
      </c>
      <c r="B1643" s="3" t="s">
        <v>1751</v>
      </c>
      <c r="C1643" s="3" t="s">
        <v>54</v>
      </c>
      <c r="D1643" s="3"/>
      <c r="E1643" s="2" t="str">
        <f>HYPERLINK("https://old.ukr-mobil.com/akkumulyator_ipad_3_a1389_ipad_4_a1460_11560_mah_original_5630", "Перейти")</f>
        <v>Перейти</v>
      </c>
      <c r="F1643" s="2">
        <v>5630</v>
      </c>
      <c r="G1643" s="4" t="s">
        <v>1753</v>
      </c>
      <c r="H1643" s="1">
        <v>16</v>
      </c>
      <c r="I1643" s="1">
        <v>5</v>
      </c>
      <c r="J1643" s="1">
        <v>6</v>
      </c>
      <c r="K1643" s="2">
        <v>14.15</v>
      </c>
    </row>
    <row r="1644" spans="1:12">
      <c r="A1644" s="3" t="s">
        <v>1750</v>
      </c>
      <c r="B1644" s="3" t="s">
        <v>1751</v>
      </c>
      <c r="C1644" s="3" t="s">
        <v>54</v>
      </c>
      <c r="D1644" s="3"/>
      <c r="E1644" s="2" t="str">
        <f>HYPERLINK("https://old.ukr-mobil.com/akkumulyator_apple_ipad_air_2_a1567_a1566_original_10001200", "Перейти")</f>
        <v>Перейти</v>
      </c>
      <c r="F1644" s="2">
        <v>10001200</v>
      </c>
      <c r="G1644" s="4" t="s">
        <v>1754</v>
      </c>
      <c r="H1644" s="1">
        <v>0</v>
      </c>
      <c r="I1644" s="1">
        <v>0</v>
      </c>
      <c r="J1644" s="1">
        <v>0</v>
      </c>
      <c r="K1644" s="2">
        <v>12.5</v>
      </c>
    </row>
    <row r="1645" spans="1:12">
      <c r="A1645" s="3" t="s">
        <v>1750</v>
      </c>
      <c r="B1645" s="3" t="s">
        <v>1751</v>
      </c>
      <c r="C1645" s="3" t="s">
        <v>54</v>
      </c>
      <c r="D1645" s="3"/>
      <c r="E1645" s="2" t="str">
        <f>HYPERLINK("https://old.ukr-mobil.com/akkumulyator_ipad_air_a1484_5405", "Перейти")</f>
        <v>Перейти</v>
      </c>
      <c r="F1645" s="2">
        <v>5405</v>
      </c>
      <c r="G1645" s="4" t="s">
        <v>1755</v>
      </c>
      <c r="H1645" s="1">
        <v>0</v>
      </c>
      <c r="I1645" s="1">
        <v>0</v>
      </c>
      <c r="J1645" s="1">
        <v>0</v>
      </c>
      <c r="K1645" s="2">
        <v>14.0</v>
      </c>
    </row>
    <row r="1646" spans="1:12">
      <c r="A1646" s="3" t="s">
        <v>1750</v>
      </c>
      <c r="B1646" s="3" t="s">
        <v>1751</v>
      </c>
      <c r="C1646" s="3" t="s">
        <v>54</v>
      </c>
      <c r="D1646" s="3"/>
      <c r="E1646" s="2" t="str">
        <f>HYPERLINK("https://old.ukr-mobil.com/akkumulyator_ipad_mini_a1445_a1432_a1454_a1455_original_12238", "Перейти")</f>
        <v>Перейти</v>
      </c>
      <c r="F1646" s="2">
        <v>12238</v>
      </c>
      <c r="G1646" s="4" t="s">
        <v>1756</v>
      </c>
      <c r="H1646" s="1">
        <v>30</v>
      </c>
      <c r="I1646" s="1">
        <v>8</v>
      </c>
      <c r="J1646" s="1">
        <v>8</v>
      </c>
      <c r="K1646" s="2">
        <v>9.5</v>
      </c>
    </row>
    <row r="1647" spans="1:12">
      <c r="A1647" s="3" t="s">
        <v>1750</v>
      </c>
      <c r="B1647" s="3" t="s">
        <v>1751</v>
      </c>
      <c r="C1647" s="3" t="s">
        <v>54</v>
      </c>
      <c r="D1647" s="3"/>
      <c r="E1647" s="2" t="str">
        <f>HYPERLINK("https://old.ukr-mobil.com/akkumulyator_ipad_mini_2_retina_a1512_ipad_mini_3_retina_a1512_6471_mah_original_9961", "Перейти")</f>
        <v>Перейти</v>
      </c>
      <c r="F1647" s="2">
        <v>9961</v>
      </c>
      <c r="G1647" s="4" t="s">
        <v>1757</v>
      </c>
      <c r="H1647" s="1">
        <v>6</v>
      </c>
      <c r="I1647" s="1">
        <v>4</v>
      </c>
      <c r="J1647" s="1">
        <v>9</v>
      </c>
      <c r="K1647" s="2">
        <v>13.65</v>
      </c>
    </row>
    <row r="1648" spans="1:12">
      <c r="A1648" s="3" t="s">
        <v>1750</v>
      </c>
      <c r="B1648" s="3" t="s">
        <v>1751</v>
      </c>
      <c r="C1648" s="3" t="s">
        <v>54</v>
      </c>
      <c r="D1648" s="3"/>
      <c r="E1648" s="2" t="str">
        <f>HYPERLINK("https://old.ukr-mobil.com/akkumulyator_ipad_mini_4_a1546_original_9805", "Перейти")</f>
        <v>Перейти</v>
      </c>
      <c r="F1648" s="2">
        <v>9805</v>
      </c>
      <c r="G1648" s="4" t="s">
        <v>1758</v>
      </c>
      <c r="H1648" s="1">
        <v>0</v>
      </c>
      <c r="I1648" s="1">
        <v>0</v>
      </c>
      <c r="J1648" s="1">
        <v>0</v>
      </c>
      <c r="K1648" s="2">
        <v>13.75</v>
      </c>
    </row>
    <row r="1649" spans="1:12">
      <c r="A1649" s="3" t="s">
        <v>1750</v>
      </c>
      <c r="B1649" s="3" t="s">
        <v>1751</v>
      </c>
      <c r="C1649" s="3" t="s">
        <v>54</v>
      </c>
      <c r="D1649" s="3"/>
      <c r="E1649" s="2" t="str">
        <f>HYPERLINK("https://old.ukr-mobil.com/akkumulyator_apple_ipad_pro_10_5_a1701_a1709_a1852_original_10001202", "Перейти")</f>
        <v>Перейти</v>
      </c>
      <c r="F1649" s="2">
        <v>10001202</v>
      </c>
      <c r="G1649" s="4" t="s">
        <v>1759</v>
      </c>
      <c r="H1649" s="1">
        <v>0</v>
      </c>
      <c r="I1649" s="1">
        <v>0</v>
      </c>
      <c r="J1649" s="1">
        <v>0</v>
      </c>
      <c r="K1649" s="2">
        <v>18.0</v>
      </c>
    </row>
    <row r="1650" spans="1:12">
      <c r="A1650" s="3" t="s">
        <v>1750</v>
      </c>
      <c r="B1650" s="3" t="s">
        <v>1751</v>
      </c>
      <c r="C1650" s="3" t="s">
        <v>54</v>
      </c>
      <c r="D1650" s="3"/>
      <c r="E1650" s="2" t="str">
        <f>HYPERLINK("https://old.ukr-mobil.com/akkumulyator_apple_ipad_pro_9_7_a1673_a1674_a1675_original_10001201", "Перейти")</f>
        <v>Перейти</v>
      </c>
      <c r="F1650" s="2">
        <v>10001201</v>
      </c>
      <c r="G1650" s="4" t="s">
        <v>1760</v>
      </c>
      <c r="H1650" s="1">
        <v>2</v>
      </c>
      <c r="I1650" s="1">
        <v>2</v>
      </c>
      <c r="J1650" s="1">
        <v>9</v>
      </c>
      <c r="K1650" s="2">
        <v>22.0</v>
      </c>
    </row>
    <row r="1651" spans="1:12">
      <c r="A1651" s="3" t="s">
        <v>1750</v>
      </c>
      <c r="B1651" s="3" t="s">
        <v>1751</v>
      </c>
      <c r="C1651" s="3" t="s">
        <v>950</v>
      </c>
      <c r="D1651" s="3"/>
      <c r="E1651" s="2" t="str">
        <f>HYPERLINK("https://old.ukr-mobil.com/akkumulyator_asus_fonepad_7_me372_cg_k00e_c11p1310_6279", "Перейти")</f>
        <v>Перейти</v>
      </c>
      <c r="F1651" s="2">
        <v>6279</v>
      </c>
      <c r="G1651" s="4" t="s">
        <v>1761</v>
      </c>
      <c r="H1651" s="1">
        <v>0</v>
      </c>
      <c r="I1651" s="1">
        <v>3</v>
      </c>
      <c r="J1651" s="1">
        <v>0</v>
      </c>
      <c r="K1651" s="2">
        <v>14.11</v>
      </c>
    </row>
    <row r="1652" spans="1:12">
      <c r="A1652" s="3" t="s">
        <v>1750</v>
      </c>
      <c r="B1652" s="3" t="s">
        <v>1751</v>
      </c>
      <c r="C1652" s="3" t="s">
        <v>640</v>
      </c>
      <c r="D1652" s="3"/>
      <c r="E1652" s="2" t="str">
        <f>HYPERLINK("https://old.ukr-mobil.com/akkumulyator_dlya_plansheta_huawei_mediapad_m5_mediapad_m5_lite_10_0_bah2-l09_hb299418ecw_li-ion_3_82v_7350mah_original_prc_10003483", "Перейти")</f>
        <v>Перейти</v>
      </c>
      <c r="F1652" s="2">
        <v>10003483</v>
      </c>
      <c r="G1652" s="4" t="s">
        <v>1762</v>
      </c>
      <c r="H1652" s="1">
        <v>0</v>
      </c>
      <c r="I1652" s="1">
        <v>0</v>
      </c>
      <c r="J1652" s="1">
        <v>0</v>
      </c>
      <c r="K1652" s="2">
        <v>12.5</v>
      </c>
    </row>
    <row r="1653" spans="1:12">
      <c r="A1653" s="3" t="s">
        <v>1750</v>
      </c>
      <c r="B1653" s="3" t="s">
        <v>1751</v>
      </c>
      <c r="C1653" s="3" t="s">
        <v>640</v>
      </c>
      <c r="D1653" s="3"/>
      <c r="E1653" s="2" t="str">
        <f>HYPERLINK("https://old.ukr-mobil.com/akkumulyator_huawei_y6_ii_cam-l21_honor_5x_honor_6_h60-l02_hb396481ebc_3100mah_9957", "Перейти")</f>
        <v>Перейти</v>
      </c>
      <c r="F1653" s="2">
        <v>9957</v>
      </c>
      <c r="G1653" s="4" t="s">
        <v>1763</v>
      </c>
      <c r="H1653" s="1">
        <v>16</v>
      </c>
      <c r="I1653" s="1">
        <v>6</v>
      </c>
      <c r="J1653" s="1">
        <v>0</v>
      </c>
      <c r="K1653" s="2">
        <v>6.0</v>
      </c>
    </row>
    <row r="1654" spans="1:12">
      <c r="A1654" s="3" t="s">
        <v>1750</v>
      </c>
      <c r="B1654" s="3" t="s">
        <v>1751</v>
      </c>
      <c r="C1654" s="3" t="s">
        <v>640</v>
      </c>
      <c r="D1654" s="3"/>
      <c r="E1654" s="2" t="str">
        <f>HYPERLINK("https://old.ukr-mobil.com/akkumulyator_huawei_mediapad_t3_8_0_kob-l09_kob-w09_hb3080g1ebw_4800mah_10000681", "Перейти")</f>
        <v>Перейти</v>
      </c>
      <c r="F1654" s="2">
        <v>10000681</v>
      </c>
      <c r="G1654" s="4" t="s">
        <v>1764</v>
      </c>
      <c r="H1654" s="1">
        <v>0</v>
      </c>
      <c r="I1654" s="1">
        <v>0</v>
      </c>
      <c r="J1654" s="1">
        <v>0</v>
      </c>
      <c r="K1654" s="2">
        <v>9.75</v>
      </c>
    </row>
    <row r="1655" spans="1:12">
      <c r="A1655" s="3" t="s">
        <v>1750</v>
      </c>
      <c r="B1655" s="3" t="s">
        <v>1751</v>
      </c>
      <c r="C1655" s="3" t="s">
        <v>640</v>
      </c>
      <c r="D1655" s="3"/>
      <c r="E1655" s="2" t="str">
        <f>HYPERLINK("https://old.ukr-mobil.com/akkumulyator_huawei_mediapad_t5_10_ags2-l09_ags2-w09_hb2899c0ecw_5100mah_original_prc_10001831", "Перейти")</f>
        <v>Перейти</v>
      </c>
      <c r="F1655" s="2">
        <v>10001831</v>
      </c>
      <c r="G1655" s="4" t="s">
        <v>1765</v>
      </c>
      <c r="H1655" s="1">
        <v>0</v>
      </c>
      <c r="I1655" s="1">
        <v>0</v>
      </c>
      <c r="J1655" s="1">
        <v>0</v>
      </c>
      <c r="K1655" s="2">
        <v>8.85</v>
      </c>
    </row>
    <row r="1656" spans="1:12">
      <c r="A1656" s="3" t="s">
        <v>1750</v>
      </c>
      <c r="B1656" s="3" t="s">
        <v>1751</v>
      </c>
      <c r="C1656" s="3" t="s">
        <v>1048</v>
      </c>
      <c r="D1656" s="3"/>
      <c r="E1656" s="2" t="str">
        <f>HYPERLINK("https://old.ukr-mobil.com/akkumulyator_lenovo_a10-70f_bt-x103f_l14d2p31_7000_mah_10001736", "Перейти")</f>
        <v>Перейти</v>
      </c>
      <c r="F1656" s="2">
        <v>10001736</v>
      </c>
      <c r="G1656" s="4" t="s">
        <v>1766</v>
      </c>
      <c r="H1656" s="1">
        <v>0</v>
      </c>
      <c r="I1656" s="1">
        <v>0</v>
      </c>
      <c r="J1656" s="1">
        <v>0</v>
      </c>
      <c r="K1656" s="2">
        <v>14.0</v>
      </c>
    </row>
    <row r="1657" spans="1:12">
      <c r="A1657" s="3" t="s">
        <v>1750</v>
      </c>
      <c r="B1657" s="3" t="s">
        <v>1751</v>
      </c>
      <c r="C1657" s="3" t="s">
        <v>1048</v>
      </c>
      <c r="D1657" s="3"/>
      <c r="E1657" s="2" t="str">
        <f>HYPERLINK("https://old.ukr-mobil.com/akkumulyator_lenovo_tab_2_a7-30_l13d1p31_3550mah_11104", "Перейти")</f>
        <v>Перейти</v>
      </c>
      <c r="F1657" s="2">
        <v>11104</v>
      </c>
      <c r="G1657" s="4" t="s">
        <v>1767</v>
      </c>
      <c r="H1657" s="1">
        <v>0</v>
      </c>
      <c r="I1657" s="1">
        <v>0</v>
      </c>
      <c r="J1657" s="1">
        <v>0</v>
      </c>
      <c r="K1657" s="2">
        <v>9.85</v>
      </c>
    </row>
    <row r="1658" spans="1:12">
      <c r="A1658" s="3" t="s">
        <v>1750</v>
      </c>
      <c r="B1658" s="3" t="s">
        <v>1751</v>
      </c>
      <c r="C1658" s="3" t="s">
        <v>1048</v>
      </c>
      <c r="D1658" s="3"/>
      <c r="E1658" s="2" t="str">
        <f>HYPERLINK("https://old.ukr-mobil.com/akkumulyator_lenovo_ideapad_s6000_l11c2p32_6340mah_10732", "Перейти")</f>
        <v>Перейти</v>
      </c>
      <c r="F1658" s="2">
        <v>10732</v>
      </c>
      <c r="G1658" s="4" t="s">
        <v>1768</v>
      </c>
      <c r="H1658" s="1">
        <v>0</v>
      </c>
      <c r="I1658" s="1">
        <v>0</v>
      </c>
      <c r="J1658" s="1">
        <v>0</v>
      </c>
      <c r="K1658" s="2">
        <v>13.1</v>
      </c>
    </row>
    <row r="1659" spans="1:12">
      <c r="A1659" s="3" t="s">
        <v>1750</v>
      </c>
      <c r="B1659" s="3" t="s">
        <v>1751</v>
      </c>
      <c r="C1659" s="3" t="s">
        <v>1048</v>
      </c>
      <c r="D1659" s="3"/>
      <c r="E1659" s="2" t="str">
        <f>HYPERLINK("https://old.ukr-mobil.com/akkumulyator_lenovo_ideatab_a1000_a3000_a5000_a3300_l12t1p33_l12d1p31_6276", "Перейти")</f>
        <v>Перейти</v>
      </c>
      <c r="F1659" s="2">
        <v>6276</v>
      </c>
      <c r="G1659" s="4" t="s">
        <v>1769</v>
      </c>
      <c r="H1659" s="1">
        <v>0</v>
      </c>
      <c r="I1659" s="1">
        <v>0</v>
      </c>
      <c r="J1659" s="1">
        <v>0</v>
      </c>
      <c r="K1659" s="2">
        <v>7.0</v>
      </c>
    </row>
    <row r="1660" spans="1:12">
      <c r="A1660" s="3" t="s">
        <v>1750</v>
      </c>
      <c r="B1660" s="3" t="s">
        <v>1751</v>
      </c>
      <c r="C1660" s="3" t="s">
        <v>1048</v>
      </c>
      <c r="D1660" s="3"/>
      <c r="E1660" s="2" t="str">
        <f>HYPERLINK("https://old.ukr-mobil.com/akkumulyator_lenovo_phab_plus_pb1-770m_l14d1p31_3500mah_11643", "Перейти")</f>
        <v>Перейти</v>
      </c>
      <c r="F1660" s="2">
        <v>11643</v>
      </c>
      <c r="G1660" s="4" t="s">
        <v>1770</v>
      </c>
      <c r="H1660" s="1">
        <v>0</v>
      </c>
      <c r="I1660" s="1">
        <v>0</v>
      </c>
      <c r="J1660" s="1">
        <v>0</v>
      </c>
      <c r="K1660" s="2">
        <v>13.1</v>
      </c>
    </row>
    <row r="1661" spans="1:12">
      <c r="A1661" s="3" t="s">
        <v>1750</v>
      </c>
      <c r="B1661" s="3" t="s">
        <v>1751</v>
      </c>
      <c r="C1661" s="3" t="s">
        <v>653</v>
      </c>
      <c r="D1661" s="3"/>
      <c r="E1661" s="2" t="str">
        <f>HYPERLINK("https://old.ukr-mobil.com/akkumulyator_samsung_galaxy_tab_3_7_0_t210_t211_p3200_3210_4000_mah_6227", "Перейти")</f>
        <v>Перейти</v>
      </c>
      <c r="F1661" s="2">
        <v>6227</v>
      </c>
      <c r="G1661" s="4" t="s">
        <v>1771</v>
      </c>
      <c r="H1661" s="1">
        <v>0</v>
      </c>
      <c r="I1661" s="1">
        <v>0</v>
      </c>
      <c r="J1661" s="1">
        <v>0</v>
      </c>
      <c r="K1661" s="2">
        <v>7.0</v>
      </c>
    </row>
    <row r="1662" spans="1:12">
      <c r="A1662" s="3" t="s">
        <v>1750</v>
      </c>
      <c r="B1662" s="3" t="s">
        <v>1751</v>
      </c>
      <c r="C1662" s="3" t="s">
        <v>653</v>
      </c>
      <c r="D1662" s="3"/>
      <c r="E1662" s="2" t="str">
        <f>HYPERLINK("https://old.ukr-mobil.com/index.php?route=product&amp;product_id=10005264", "Перейти")</f>
        <v>Перейти</v>
      </c>
      <c r="F1662" s="2">
        <v>10005264</v>
      </c>
      <c r="G1662" s="4" t="s">
        <v>1772</v>
      </c>
      <c r="H1662" s="1">
        <v>17</v>
      </c>
      <c r="I1662" s="1">
        <v>17</v>
      </c>
      <c r="J1662" s="1">
        <v>23</v>
      </c>
      <c r="K1662" s="2">
        <v>9.0</v>
      </c>
    </row>
    <row r="1663" spans="1:12">
      <c r="A1663" s="3" t="s">
        <v>1750</v>
      </c>
      <c r="B1663" s="3" t="s">
        <v>1751</v>
      </c>
      <c r="C1663" s="3" t="s">
        <v>653</v>
      </c>
      <c r="D1663" s="3"/>
      <c r="E1663" s="2" t="str">
        <f>HYPERLINK("https://old.ukr-mobil.com/akkumulyator_samsung_t230_galaxy_tab_4_t231_galaxy_tab_4_3g_t235_galaxy_tab_4_lte_eb-bt230fbe_10001204", "Перейти")</f>
        <v>Перейти</v>
      </c>
      <c r="F1663" s="2">
        <v>10001204</v>
      </c>
      <c r="G1663" s="4" t="s">
        <v>1773</v>
      </c>
      <c r="H1663" s="1">
        <v>0</v>
      </c>
      <c r="I1663" s="1">
        <v>0</v>
      </c>
      <c r="J1663" s="1">
        <v>0</v>
      </c>
      <c r="K1663" s="2">
        <v>6.75</v>
      </c>
    </row>
    <row r="1664" spans="1:12">
      <c r="A1664" s="3" t="s">
        <v>1750</v>
      </c>
      <c r="B1664" s="3" t="s">
        <v>1751</v>
      </c>
      <c r="C1664" s="3" t="s">
        <v>653</v>
      </c>
      <c r="D1664" s="3"/>
      <c r="E1664" s="2" t="str">
        <f>HYPERLINK("https://old.ukr-mobil.com/akkumulyator_samsung_t280_galaxy_tab_e_7_0_t285_galaxy_tab_a_7_0_lte_eb-bt280abe_original_10001208", "Перейти")</f>
        <v>Перейти</v>
      </c>
      <c r="F1664" s="2">
        <v>10001208</v>
      </c>
      <c r="G1664" s="4" t="s">
        <v>1774</v>
      </c>
      <c r="H1664" s="1">
        <v>1</v>
      </c>
      <c r="I1664" s="1">
        <v>4</v>
      </c>
      <c r="J1664" s="1">
        <v>1</v>
      </c>
      <c r="K1664" s="2">
        <v>7.5</v>
      </c>
    </row>
    <row r="1665" spans="1:12">
      <c r="A1665" s="3" t="s">
        <v>1750</v>
      </c>
      <c r="B1665" s="3" t="s">
        <v>1751</v>
      </c>
      <c r="C1665" s="3" t="s">
        <v>653</v>
      </c>
      <c r="D1665" s="3"/>
      <c r="E1665" s="2" t="str">
        <f>HYPERLINK("https://old.ukr-mobil.com/akkumulyator_samsung_t500_t505_galaxy_tab_a7_10_4_scud-wt-n19_7400_mah_bez_logotipa_10003184", "Перейти")</f>
        <v>Перейти</v>
      </c>
      <c r="F1665" s="2">
        <v>10003184</v>
      </c>
      <c r="G1665" s="4" t="s">
        <v>1775</v>
      </c>
      <c r="H1665" s="1">
        <v>15</v>
      </c>
      <c r="I1665" s="1">
        <v>5</v>
      </c>
      <c r="J1665" s="1">
        <v>5</v>
      </c>
      <c r="K1665" s="2">
        <v>7.5</v>
      </c>
    </row>
    <row r="1666" spans="1:12">
      <c r="A1666" s="3" t="s">
        <v>1750</v>
      </c>
      <c r="B1666" s="3" t="s">
        <v>1751</v>
      </c>
      <c r="C1666" s="3" t="s">
        <v>653</v>
      </c>
      <c r="D1666" s="3"/>
      <c r="E1666" s="2" t="str">
        <f>HYPERLINK("https://old.ukr-mobil.com/akkumulyator_samsung_t510_t515_galaxy_tab_a_10_1_eb-bt515abu_6000_mah_bez_logotipa_10003185", "Перейти")</f>
        <v>Перейти</v>
      </c>
      <c r="F1666" s="2">
        <v>10003185</v>
      </c>
      <c r="G1666" s="4" t="s">
        <v>1776</v>
      </c>
      <c r="H1666" s="1">
        <v>20</v>
      </c>
      <c r="I1666" s="1">
        <v>8</v>
      </c>
      <c r="J1666" s="1">
        <v>4</v>
      </c>
      <c r="K1666" s="2">
        <v>11.0</v>
      </c>
    </row>
    <row r="1667" spans="1:12">
      <c r="A1667" s="3" t="s">
        <v>1750</v>
      </c>
      <c r="B1667" s="3" t="s">
        <v>1751</v>
      </c>
      <c r="C1667" s="3" t="s">
        <v>653</v>
      </c>
      <c r="D1667" s="3"/>
      <c r="E1667" s="2" t="str">
        <f>HYPERLINK("https://old.ukr-mobil.com/akkumulyator_samsung_t530_t531_t535_galaxy_tab_4_10_1_eb-bt530fbe_original_10001205", "Перейти")</f>
        <v>Перейти</v>
      </c>
      <c r="F1667" s="2">
        <v>10001205</v>
      </c>
      <c r="G1667" s="4" t="s">
        <v>1777</v>
      </c>
      <c r="H1667" s="1">
        <v>0</v>
      </c>
      <c r="I1667" s="1">
        <v>0</v>
      </c>
      <c r="J1667" s="1">
        <v>0</v>
      </c>
      <c r="K1667" s="2">
        <v>10.25</v>
      </c>
    </row>
    <row r="1668" spans="1:12">
      <c r="A1668" s="3" t="s">
        <v>1750</v>
      </c>
      <c r="B1668" s="3" t="s">
        <v>1751</v>
      </c>
      <c r="C1668" s="3" t="s">
        <v>653</v>
      </c>
      <c r="D1668" s="3"/>
      <c r="E1668" s="2" t="str">
        <f>HYPERLINK("https://old.ukr-mobil.com/akkumulyator_samsung_t560_galaxy_tab_e_t561_galaxy_tab_e_eb-bt561abe_original_10001207", "Перейти")</f>
        <v>Перейти</v>
      </c>
      <c r="F1668" s="2">
        <v>10001207</v>
      </c>
      <c r="G1668" s="4" t="s">
        <v>1778</v>
      </c>
      <c r="H1668" s="1">
        <v>34</v>
      </c>
      <c r="I1668" s="1">
        <v>12</v>
      </c>
      <c r="J1668" s="1">
        <v>4</v>
      </c>
      <c r="K1668" s="2">
        <v>7.5</v>
      </c>
    </row>
    <row r="1669" spans="1:12">
      <c r="A1669" s="3" t="s">
        <v>1750</v>
      </c>
      <c r="B1669" s="3" t="s">
        <v>1751</v>
      </c>
      <c r="C1669" s="3" t="s">
        <v>653</v>
      </c>
      <c r="D1669" s="3"/>
      <c r="E1669" s="2" t="str">
        <f>HYPERLINK("https://old.ukr-mobil.com/akkumulyator_samsung_t580_galaxy_tab_a_10_1_t585_galaxy_tab_a_10_1_eb-bt585abe_original_10001206", "Перейти")</f>
        <v>Перейти</v>
      </c>
      <c r="F1669" s="2">
        <v>10001206</v>
      </c>
      <c r="G1669" s="4" t="s">
        <v>1779</v>
      </c>
      <c r="H1669" s="1">
        <v>6</v>
      </c>
      <c r="I1669" s="1">
        <v>4</v>
      </c>
      <c r="J1669" s="1">
        <v>0</v>
      </c>
      <c r="K1669" s="2">
        <v>9.5</v>
      </c>
    </row>
    <row r="1670" spans="1:12">
      <c r="A1670" s="3" t="s">
        <v>1750</v>
      </c>
      <c r="B1670" s="3" t="s">
        <v>1751</v>
      </c>
      <c r="C1670" s="3" t="s">
        <v>653</v>
      </c>
      <c r="D1670" s="3"/>
      <c r="E1670" s="2" t="str">
        <f>HYPERLINK("https://old.ukr-mobil.com/akkumulyator_samsung_t590_galaxy_tab_a_10_5_wi-fi_t595_galaxy_tab_a_10_5_lte_eb-bt595abe_7300_mah_bez_logotipa_10003495", "Перейти")</f>
        <v>Перейти</v>
      </c>
      <c r="F1670" s="2">
        <v>10003495</v>
      </c>
      <c r="G1670" s="4" t="s">
        <v>1780</v>
      </c>
      <c r="H1670" s="1">
        <v>20</v>
      </c>
      <c r="I1670" s="1">
        <v>8</v>
      </c>
      <c r="J1670" s="1">
        <v>8</v>
      </c>
      <c r="K1670" s="2">
        <v>10.0</v>
      </c>
    </row>
    <row r="1671" spans="1:12">
      <c r="A1671" s="3" t="s">
        <v>1750</v>
      </c>
      <c r="B1671" s="3" t="s">
        <v>1781</v>
      </c>
      <c r="C1671" s="3"/>
      <c r="D1671" s="3"/>
      <c r="E1671" s="2" t="str">
        <f>HYPERLINK("https://old.ukr-mobil.com/derzhatel_sim-karty_ipad_2_ipad_3_10453", "Перейти")</f>
        <v>Перейти</v>
      </c>
      <c r="F1671" s="2">
        <v>10453</v>
      </c>
      <c r="G1671" s="4" t="s">
        <v>1782</v>
      </c>
      <c r="H1671" s="1">
        <v>0</v>
      </c>
      <c r="I1671" s="1">
        <v>0</v>
      </c>
      <c r="J1671" s="1">
        <v>0</v>
      </c>
      <c r="K1671" s="2">
        <v>1.21</v>
      </c>
    </row>
    <row r="1672" spans="1:12">
      <c r="A1672" s="3" t="s">
        <v>1750</v>
      </c>
      <c r="B1672" s="3" t="s">
        <v>1783</v>
      </c>
      <c r="C1672" s="3" t="s">
        <v>54</v>
      </c>
      <c r="D1672" s="3"/>
      <c r="E1672" s="2" t="str">
        <f>HYPERLINK("https://old.ukr-mobil.com/displej_apple_ipad_10_2_2019_a2197_a2198_a2200_ipad_10_2_2020_a2270_a2428_a2429_ipad_10_2_2021_a2602_a2603_a2604_a2605_high_copy_10002934", "Перейти")</f>
        <v>Перейти</v>
      </c>
      <c r="F1672" s="2">
        <v>10002934</v>
      </c>
      <c r="G1672" s="4" t="s">
        <v>1784</v>
      </c>
      <c r="H1672" s="1">
        <v>9</v>
      </c>
      <c r="I1672" s="1">
        <v>2</v>
      </c>
      <c r="J1672" s="1">
        <v>1</v>
      </c>
      <c r="K1672" s="2">
        <v>54.5</v>
      </c>
    </row>
    <row r="1673" spans="1:12">
      <c r="A1673" s="3" t="s">
        <v>1750</v>
      </c>
      <c r="B1673" s="3" t="s">
        <v>1783</v>
      </c>
      <c r="C1673" s="3" t="s">
        <v>54</v>
      </c>
      <c r="D1673" s="3"/>
      <c r="E1673" s="2" t="str">
        <f>HYPERLINK("https://old.ukr-mobil.com/displej_apple_ipad_10_2_2019_a2197_a2198_a2200_original_10001196", "Перейти")</f>
        <v>Перейти</v>
      </c>
      <c r="F1673" s="2">
        <v>10001196</v>
      </c>
      <c r="G1673" s="4" t="s">
        <v>1785</v>
      </c>
      <c r="H1673" s="1">
        <v>0</v>
      </c>
      <c r="I1673" s="1">
        <v>0</v>
      </c>
      <c r="J1673" s="1">
        <v>0</v>
      </c>
      <c r="K1673" s="2">
        <v>48.0</v>
      </c>
    </row>
    <row r="1674" spans="1:12">
      <c r="A1674" s="3" t="s">
        <v>1750</v>
      </c>
      <c r="B1674" s="3" t="s">
        <v>1783</v>
      </c>
      <c r="C1674" s="3" t="s">
        <v>54</v>
      </c>
      <c r="D1674" s="3"/>
      <c r="E1674" s="2" t="str">
        <f>HYPERLINK("https://old.ukr-mobil.com/displej_apple_ipad_10_9_2022_10_gen_original_10003681", "Перейти")</f>
        <v>Перейти</v>
      </c>
      <c r="F1674" s="2">
        <v>10003681</v>
      </c>
      <c r="G1674" s="4" t="s">
        <v>1786</v>
      </c>
      <c r="H1674" s="1">
        <v>2</v>
      </c>
      <c r="I1674" s="1">
        <v>2</v>
      </c>
      <c r="J1674" s="1">
        <v>1</v>
      </c>
      <c r="K1674" s="2">
        <v>120.0</v>
      </c>
    </row>
    <row r="1675" spans="1:12">
      <c r="A1675" s="3" t="s">
        <v>1750</v>
      </c>
      <c r="B1675" s="3" t="s">
        <v>1783</v>
      </c>
      <c r="C1675" s="3" t="s">
        <v>54</v>
      </c>
      <c r="D1675" s="3"/>
      <c r="E1675" s="2" t="str">
        <f>HYPERLINK("https://old.ukr-mobil.com/displej_ipad_3_a1403_a1416_a1430_ipad_4_a1458_a1459_a1460_3244", "Перейти")</f>
        <v>Перейти</v>
      </c>
      <c r="F1675" s="2">
        <v>3244</v>
      </c>
      <c r="G1675" s="4" t="s">
        <v>1787</v>
      </c>
      <c r="H1675" s="1">
        <v>1</v>
      </c>
      <c r="I1675" s="1">
        <v>0</v>
      </c>
      <c r="J1675" s="1">
        <v>0</v>
      </c>
      <c r="K1675" s="2">
        <v>17.0</v>
      </c>
    </row>
    <row r="1676" spans="1:12">
      <c r="A1676" s="3" t="s">
        <v>1750</v>
      </c>
      <c r="B1676" s="3" t="s">
        <v>1783</v>
      </c>
      <c r="C1676" s="3" t="s">
        <v>54</v>
      </c>
      <c r="D1676" s="3"/>
      <c r="E1676" s="2" t="str">
        <f>HYPERLINK("https://old.ukr-mobil.com/displej_ipad_9_7_2018_a1893_a1954_11388", "Перейти")</f>
        <v>Перейти</v>
      </c>
      <c r="F1676" s="2">
        <v>11388</v>
      </c>
      <c r="G1676" s="4" t="s">
        <v>1788</v>
      </c>
      <c r="H1676" s="1">
        <v>2</v>
      </c>
      <c r="I1676" s="1">
        <v>0</v>
      </c>
      <c r="J1676" s="1">
        <v>0</v>
      </c>
      <c r="K1676" s="2">
        <v>45.0</v>
      </c>
    </row>
    <row r="1677" spans="1:12">
      <c r="A1677" s="3" t="s">
        <v>1750</v>
      </c>
      <c r="B1677" s="3" t="s">
        <v>1783</v>
      </c>
      <c r="C1677" s="3" t="s">
        <v>54</v>
      </c>
      <c r="D1677" s="3"/>
      <c r="E1677" s="2" t="str">
        <f>HYPERLINK("https://old.ukr-mobil.com/displej_apple_ipad_9_7_2018_a1893_a1954_original_10003168", "Перейти")</f>
        <v>Перейти</v>
      </c>
      <c r="F1677" s="2">
        <v>10003168</v>
      </c>
      <c r="G1677" s="4" t="s">
        <v>1789</v>
      </c>
      <c r="H1677" s="1">
        <v>6</v>
      </c>
      <c r="I1677" s="1">
        <v>3</v>
      </c>
      <c r="J1677" s="1">
        <v>1</v>
      </c>
      <c r="K1677" s="2">
        <v>42.4</v>
      </c>
    </row>
    <row r="1678" spans="1:12">
      <c r="A1678" s="3" t="s">
        <v>1750</v>
      </c>
      <c r="B1678" s="3" t="s">
        <v>1783</v>
      </c>
      <c r="C1678" s="3" t="s">
        <v>54</v>
      </c>
      <c r="D1678" s="3"/>
      <c r="E1678" s="2" t="str">
        <f>HYPERLINK("https://old.ukr-mobil.com/displej_apple_ipad_air_10_9_s_tachskrinom_original_10001199", "Перейти")</f>
        <v>Перейти</v>
      </c>
      <c r="F1678" s="2">
        <v>10001199</v>
      </c>
      <c r="G1678" s="4" t="s">
        <v>1790</v>
      </c>
      <c r="H1678" s="1">
        <v>0</v>
      </c>
      <c r="I1678" s="1">
        <v>0</v>
      </c>
      <c r="J1678" s="1">
        <v>0</v>
      </c>
      <c r="K1678" s="2">
        <v>110.0</v>
      </c>
    </row>
    <row r="1679" spans="1:12">
      <c r="A1679" s="3" t="s">
        <v>1750</v>
      </c>
      <c r="B1679" s="3" t="s">
        <v>1783</v>
      </c>
      <c r="C1679" s="3" t="s">
        <v>54</v>
      </c>
      <c r="D1679" s="3"/>
      <c r="E1679" s="2" t="str">
        <f>HYPERLINK("https://old.ukr-mobil.com/displej_ipad_air_2_a1566_a1567_s_tachskrinom_original_prc_black_6062", "Перейти")</f>
        <v>Перейти</v>
      </c>
      <c r="F1679" s="2">
        <v>6062</v>
      </c>
      <c r="G1679" s="4" t="s">
        <v>1791</v>
      </c>
      <c r="H1679" s="1">
        <v>1</v>
      </c>
      <c r="I1679" s="1">
        <v>0</v>
      </c>
      <c r="J1679" s="1">
        <v>0</v>
      </c>
      <c r="K1679" s="2">
        <v>85.0</v>
      </c>
    </row>
    <row r="1680" spans="1:12">
      <c r="A1680" s="3" t="s">
        <v>1750</v>
      </c>
      <c r="B1680" s="3" t="s">
        <v>1783</v>
      </c>
      <c r="C1680" s="3" t="s">
        <v>54</v>
      </c>
      <c r="D1680" s="3"/>
      <c r="E1680" s="2" t="str">
        <f>HYPERLINK("https://old.ukr-mobil.com/displej_ipad_air_2_a1566_a1567_s_tachskrinom_original_prc_white_5714", "Перейти")</f>
        <v>Перейти</v>
      </c>
      <c r="F1680" s="2">
        <v>5714</v>
      </c>
      <c r="G1680" s="4" t="s">
        <v>1792</v>
      </c>
      <c r="H1680" s="1">
        <v>3</v>
      </c>
      <c r="I1680" s="1">
        <v>0</v>
      </c>
      <c r="J1680" s="1">
        <v>1</v>
      </c>
      <c r="K1680" s="2">
        <v>78.0</v>
      </c>
    </row>
    <row r="1681" spans="1:12">
      <c r="A1681" s="3" t="s">
        <v>1750</v>
      </c>
      <c r="B1681" s="3" t="s">
        <v>1783</v>
      </c>
      <c r="C1681" s="3" t="s">
        <v>54</v>
      </c>
      <c r="D1681" s="3"/>
      <c r="E1681" s="2" t="str">
        <f>HYPERLINK("https://old.ukr-mobil.com/displej_apple_ipad_air_2022_s_tachskrinom_original_10003554", "Перейти")</f>
        <v>Перейти</v>
      </c>
      <c r="F1681" s="2">
        <v>10003554</v>
      </c>
      <c r="G1681" s="4" t="s">
        <v>1793</v>
      </c>
      <c r="H1681" s="1">
        <v>1</v>
      </c>
      <c r="I1681" s="1">
        <v>0</v>
      </c>
      <c r="J1681" s="1">
        <v>0</v>
      </c>
      <c r="K1681" s="2">
        <v>115.0</v>
      </c>
    </row>
    <row r="1682" spans="1:12">
      <c r="A1682" s="3" t="s">
        <v>1750</v>
      </c>
      <c r="B1682" s="3" t="s">
        <v>1783</v>
      </c>
      <c r="C1682" s="3" t="s">
        <v>54</v>
      </c>
      <c r="D1682" s="3"/>
      <c r="E1682" s="2" t="str">
        <f>HYPERLINK("https://old.ukr-mobil.com/displej_ipad_air_3_2019_a2123_a2152_a2153_s_tachskrinom_original_black_11891", "Перейти")</f>
        <v>Перейти</v>
      </c>
      <c r="F1682" s="2">
        <v>11891</v>
      </c>
      <c r="G1682" s="4" t="s">
        <v>1794</v>
      </c>
      <c r="H1682" s="1">
        <v>17</v>
      </c>
      <c r="I1682" s="1">
        <v>8</v>
      </c>
      <c r="J1682" s="1">
        <v>5</v>
      </c>
      <c r="K1682" s="2">
        <v>75.0</v>
      </c>
    </row>
    <row r="1683" spans="1:12">
      <c r="A1683" s="3" t="s">
        <v>1750</v>
      </c>
      <c r="B1683" s="3" t="s">
        <v>1783</v>
      </c>
      <c r="C1683" s="3" t="s">
        <v>54</v>
      </c>
      <c r="D1683" s="3"/>
      <c r="E1683" s="2" t="str">
        <f>HYPERLINK("https://old.ukr-mobil.com/displej_ipad_air_3_2019_a2123_a2152_a2153_s_tachskrinom_original_white_11892", "Перейти")</f>
        <v>Перейти</v>
      </c>
      <c r="F1683" s="2">
        <v>11892</v>
      </c>
      <c r="G1683" s="4" t="s">
        <v>1795</v>
      </c>
      <c r="H1683" s="1">
        <v>1</v>
      </c>
      <c r="I1683" s="1">
        <v>0</v>
      </c>
      <c r="J1683" s="1">
        <v>4</v>
      </c>
      <c r="K1683" s="2">
        <v>75.0</v>
      </c>
    </row>
    <row r="1684" spans="1:12">
      <c r="A1684" s="3" t="s">
        <v>1750</v>
      </c>
      <c r="B1684" s="3" t="s">
        <v>1783</v>
      </c>
      <c r="C1684" s="3" t="s">
        <v>54</v>
      </c>
      <c r="D1684" s="3"/>
      <c r="E1684" s="2" t="str">
        <f>HYPERLINK("https://old.ukr-mobil.com/displej_ipad_mini_a1432_a1454_a1455_3707", "Перейти")</f>
        <v>Перейти</v>
      </c>
      <c r="F1684" s="2">
        <v>3707</v>
      </c>
      <c r="G1684" s="4" t="s">
        <v>1796</v>
      </c>
      <c r="H1684" s="1">
        <v>1</v>
      </c>
      <c r="I1684" s="1">
        <v>2</v>
      </c>
      <c r="J1684" s="1">
        <v>0</v>
      </c>
      <c r="K1684" s="2">
        <v>30.0</v>
      </c>
    </row>
    <row r="1685" spans="1:12">
      <c r="A1685" s="3" t="s">
        <v>1750</v>
      </c>
      <c r="B1685" s="3" t="s">
        <v>1783</v>
      </c>
      <c r="C1685" s="3" t="s">
        <v>54</v>
      </c>
      <c r="D1685" s="3"/>
      <c r="E1685" s="2" t="str">
        <f>HYPERLINK("https://old.ukr-mobil.com/displej_ipad_mini_2_retina_a1489_a1490_a1491_ipad_mini_3_a1599_a1600_4567", "Перейти")</f>
        <v>Перейти</v>
      </c>
      <c r="F1685" s="2">
        <v>4567</v>
      </c>
      <c r="G1685" s="4" t="s">
        <v>1797</v>
      </c>
      <c r="H1685" s="1">
        <v>0</v>
      </c>
      <c r="I1685" s="1">
        <v>0</v>
      </c>
      <c r="J1685" s="1">
        <v>0</v>
      </c>
      <c r="K1685" s="2">
        <v>45.36</v>
      </c>
    </row>
    <row r="1686" spans="1:12">
      <c r="A1686" s="3" t="s">
        <v>1750</v>
      </c>
      <c r="B1686" s="3" t="s">
        <v>1783</v>
      </c>
      <c r="C1686" s="3" t="s">
        <v>54</v>
      </c>
      <c r="D1686" s="3"/>
      <c r="E1686" s="2" t="str">
        <f>HYPERLINK("https://old.ukr-mobil.com/displej_ipad_mini_4_a1538_a1550_s_tachskrinom_black_8584", "Перейти")</f>
        <v>Перейти</v>
      </c>
      <c r="F1686" s="2">
        <v>8584</v>
      </c>
      <c r="G1686" s="4" t="s">
        <v>1798</v>
      </c>
      <c r="H1686" s="1">
        <v>1</v>
      </c>
      <c r="I1686" s="1">
        <v>1</v>
      </c>
      <c r="J1686" s="1">
        <v>1</v>
      </c>
      <c r="K1686" s="2">
        <v>52.0</v>
      </c>
    </row>
    <row r="1687" spans="1:12">
      <c r="A1687" s="3" t="s">
        <v>1750</v>
      </c>
      <c r="B1687" s="3" t="s">
        <v>1783</v>
      </c>
      <c r="C1687" s="3" t="s">
        <v>54</v>
      </c>
      <c r="D1687" s="3"/>
      <c r="E1687" s="2" t="str">
        <f>HYPERLINK("https://old.ukr-mobil.com/displej_ipad_mini_4_a1538_a1550_s_tachskrinom_white_6199", "Перейти")</f>
        <v>Перейти</v>
      </c>
      <c r="F1687" s="2">
        <v>6199</v>
      </c>
      <c r="G1687" s="4" t="s">
        <v>1799</v>
      </c>
      <c r="H1687" s="1">
        <v>5</v>
      </c>
      <c r="I1687" s="1">
        <v>0</v>
      </c>
      <c r="J1687" s="1">
        <v>1</v>
      </c>
      <c r="K1687" s="2">
        <v>51.0</v>
      </c>
    </row>
    <row r="1688" spans="1:12">
      <c r="A1688" s="3" t="s">
        <v>1750</v>
      </c>
      <c r="B1688" s="3" t="s">
        <v>1783</v>
      </c>
      <c r="C1688" s="3" t="s">
        <v>54</v>
      </c>
      <c r="D1688" s="3"/>
      <c r="E1688" s="2" t="str">
        <f>HYPERLINK("https://old.ukr-mobil.com/displej_ipad_mini_5_a2124a2126_a2133_s_tachskrinom_black_11923", "Перейти")</f>
        <v>Перейти</v>
      </c>
      <c r="F1688" s="2">
        <v>11923</v>
      </c>
      <c r="G1688" s="4" t="s">
        <v>1800</v>
      </c>
      <c r="H1688" s="1">
        <v>0</v>
      </c>
      <c r="I1688" s="1">
        <v>0</v>
      </c>
      <c r="J1688" s="1">
        <v>0</v>
      </c>
      <c r="K1688" s="2">
        <v>69.0</v>
      </c>
    </row>
    <row r="1689" spans="1:12">
      <c r="A1689" s="3" t="s">
        <v>1750</v>
      </c>
      <c r="B1689" s="3" t="s">
        <v>1783</v>
      </c>
      <c r="C1689" s="3" t="s">
        <v>54</v>
      </c>
      <c r="D1689" s="3"/>
      <c r="E1689" s="2" t="str">
        <f>HYPERLINK("https://old.ukr-mobil.com/displej_ipad_pro_10_5_a1701_a1709_a1852_s_tachskrinom_original_black_9707", "Перейти")</f>
        <v>Перейти</v>
      </c>
      <c r="F1689" s="2">
        <v>9707</v>
      </c>
      <c r="G1689" s="4" t="s">
        <v>1801</v>
      </c>
      <c r="H1689" s="1">
        <v>0</v>
      </c>
      <c r="I1689" s="1">
        <v>0</v>
      </c>
      <c r="J1689" s="1">
        <v>0</v>
      </c>
      <c r="K1689" s="2">
        <v>127.0</v>
      </c>
    </row>
    <row r="1690" spans="1:12">
      <c r="A1690" s="3" t="s">
        <v>1750</v>
      </c>
      <c r="B1690" s="3" t="s">
        <v>1783</v>
      </c>
      <c r="C1690" s="3" t="s">
        <v>54</v>
      </c>
      <c r="D1690" s="3"/>
      <c r="E1690" s="2" t="str">
        <f>HYPERLINK("https://old.ukr-mobil.com/displej_ipad_pro_10_5_a1701_a1709_a1852_s_tachskrinom_original_white_11305", "Перейти")</f>
        <v>Перейти</v>
      </c>
      <c r="F1690" s="2">
        <v>11305</v>
      </c>
      <c r="G1690" s="4" t="s">
        <v>1802</v>
      </c>
      <c r="H1690" s="1">
        <v>0</v>
      </c>
      <c r="I1690" s="1">
        <v>0</v>
      </c>
      <c r="J1690" s="1">
        <v>0</v>
      </c>
      <c r="K1690" s="2">
        <v>145.0</v>
      </c>
    </row>
    <row r="1691" spans="1:12">
      <c r="A1691" s="3" t="s">
        <v>1750</v>
      </c>
      <c r="B1691" s="3" t="s">
        <v>1783</v>
      </c>
      <c r="C1691" s="3" t="s">
        <v>54</v>
      </c>
      <c r="D1691" s="3"/>
      <c r="E1691" s="2" t="str">
        <f>HYPERLINK("https://old.ukr-mobil.com/displej_ipad_pro_11_a1934_a1980_a2013_s_tachskrinom_original_black_11924", "Перейти")</f>
        <v>Перейти</v>
      </c>
      <c r="F1691" s="2">
        <v>11924</v>
      </c>
      <c r="G1691" s="4" t="s">
        <v>1803</v>
      </c>
      <c r="H1691" s="1">
        <v>4</v>
      </c>
      <c r="I1691" s="1">
        <v>2</v>
      </c>
      <c r="J1691" s="1">
        <v>0</v>
      </c>
      <c r="K1691" s="2">
        <v>150.0</v>
      </c>
    </row>
    <row r="1692" spans="1:12">
      <c r="A1692" s="3" t="s">
        <v>1750</v>
      </c>
      <c r="B1692" s="3" t="s">
        <v>1783</v>
      </c>
      <c r="C1692" s="3" t="s">
        <v>54</v>
      </c>
      <c r="D1692" s="3"/>
      <c r="E1692" s="2" t="str">
        <f>HYPERLINK("https://old.ukr-mobil.com/displej_apple_ipad_pro_11_2021_a2301_a2377_a2459_a2460_s_tachskrinom_original_black_10002816", "Перейти")</f>
        <v>Перейти</v>
      </c>
      <c r="F1692" s="2">
        <v>10002816</v>
      </c>
      <c r="G1692" s="4" t="s">
        <v>1804</v>
      </c>
      <c r="H1692" s="1">
        <v>0</v>
      </c>
      <c r="I1692" s="1">
        <v>1</v>
      </c>
      <c r="J1692" s="1">
        <v>0</v>
      </c>
      <c r="K1692" s="2">
        <v>140.0</v>
      </c>
    </row>
    <row r="1693" spans="1:12">
      <c r="A1693" s="3" t="s">
        <v>1750</v>
      </c>
      <c r="B1693" s="3" t="s">
        <v>1783</v>
      </c>
      <c r="C1693" s="3" t="s">
        <v>54</v>
      </c>
      <c r="D1693" s="3"/>
      <c r="E1693" s="2" t="str">
        <f>HYPERLINK("https://old.ukr-mobil.com/displej_ipad_pro_12_9_2015_a1584_a1652_s_tachskrinom_black_7941", "Перейти")</f>
        <v>Перейти</v>
      </c>
      <c r="F1693" s="2">
        <v>7941</v>
      </c>
      <c r="G1693" s="4" t="s">
        <v>1805</v>
      </c>
      <c r="H1693" s="1">
        <v>0</v>
      </c>
      <c r="I1693" s="1">
        <v>0</v>
      </c>
      <c r="J1693" s="1">
        <v>0</v>
      </c>
      <c r="K1693" s="2">
        <v>110.88</v>
      </c>
    </row>
    <row r="1694" spans="1:12">
      <c r="A1694" s="3" t="s">
        <v>1750</v>
      </c>
      <c r="B1694" s="3" t="s">
        <v>1783</v>
      </c>
      <c r="C1694" s="3" t="s">
        <v>54</v>
      </c>
      <c r="D1694" s="3"/>
      <c r="E1694" s="2" t="str">
        <f>HYPERLINK("https://old.ukr-mobil.com/displej_ipad_pro_12_9_2015_a1584_a1652_s_tachskrinom_white_7942", "Перейти")</f>
        <v>Перейти</v>
      </c>
      <c r="F1694" s="2">
        <v>7942</v>
      </c>
      <c r="G1694" s="4" t="s">
        <v>1806</v>
      </c>
      <c r="H1694" s="1">
        <v>0</v>
      </c>
      <c r="I1694" s="1">
        <v>0</v>
      </c>
      <c r="J1694" s="1">
        <v>0</v>
      </c>
      <c r="K1694" s="2">
        <v>119.12</v>
      </c>
    </row>
    <row r="1695" spans="1:12">
      <c r="A1695" s="3" t="s">
        <v>1750</v>
      </c>
      <c r="B1695" s="3" t="s">
        <v>1783</v>
      </c>
      <c r="C1695" s="3" t="s">
        <v>54</v>
      </c>
      <c r="D1695" s="3"/>
      <c r="E1695" s="2" t="str">
        <f>HYPERLINK("https://old.ukr-mobil.com/displej_ipad_pro_12_9_2015_a1584_a1652_s_tachskrinom_so_shlejfom_black_11386", "Перейти")</f>
        <v>Перейти</v>
      </c>
      <c r="F1695" s="2">
        <v>11386</v>
      </c>
      <c r="G1695" s="4" t="s">
        <v>1807</v>
      </c>
      <c r="H1695" s="1">
        <v>0</v>
      </c>
      <c r="I1695" s="1">
        <v>0</v>
      </c>
      <c r="J1695" s="1">
        <v>0</v>
      </c>
      <c r="K1695" s="2">
        <v>130.0</v>
      </c>
    </row>
    <row r="1696" spans="1:12">
      <c r="A1696" s="3" t="s">
        <v>1750</v>
      </c>
      <c r="B1696" s="3" t="s">
        <v>1783</v>
      </c>
      <c r="C1696" s="3" t="s">
        <v>54</v>
      </c>
      <c r="D1696" s="3"/>
      <c r="E1696" s="2" t="str">
        <f>HYPERLINK("https://old.ukr-mobil.com/displej_ipad_pro_12_9_2015_a1584_a1652_s_tachskrinom_so_shlejfom_white_11387", "Перейти")</f>
        <v>Перейти</v>
      </c>
      <c r="F1696" s="2">
        <v>11387</v>
      </c>
      <c r="G1696" s="4" t="s">
        <v>1808</v>
      </c>
      <c r="H1696" s="1">
        <v>0</v>
      </c>
      <c r="I1696" s="1">
        <v>0</v>
      </c>
      <c r="J1696" s="1">
        <v>0</v>
      </c>
      <c r="K1696" s="2">
        <v>130.0</v>
      </c>
    </row>
    <row r="1697" spans="1:12">
      <c r="A1697" s="3" t="s">
        <v>1750</v>
      </c>
      <c r="B1697" s="3" t="s">
        <v>1783</v>
      </c>
      <c r="C1697" s="3" t="s">
        <v>54</v>
      </c>
      <c r="D1697" s="3"/>
      <c r="E1697" s="2" t="str">
        <f>HYPERLINK("https://old.ukr-mobil.com/displej_ipad_pro_12_9_2017_a1670_a1671_s_tachskrinom_so_shlejfom_original_black_11102", "Перейти")</f>
        <v>Перейти</v>
      </c>
      <c r="F1697" s="2">
        <v>11102</v>
      </c>
      <c r="G1697" s="4" t="s">
        <v>1809</v>
      </c>
      <c r="H1697" s="1">
        <v>0</v>
      </c>
      <c r="I1697" s="1">
        <v>0</v>
      </c>
      <c r="J1697" s="1">
        <v>0</v>
      </c>
      <c r="K1697" s="2">
        <v>260.0</v>
      </c>
    </row>
    <row r="1698" spans="1:12">
      <c r="A1698" s="3" t="s">
        <v>1750</v>
      </c>
      <c r="B1698" s="3" t="s">
        <v>1783</v>
      </c>
      <c r="C1698" s="3" t="s">
        <v>54</v>
      </c>
      <c r="D1698" s="3"/>
      <c r="E1698" s="2" t="str">
        <f>HYPERLINK("https://old.ukr-mobil.com/displej_ipad_pro_12_9_2017_a1670_a1671_s_tachskrinom_so_shlejfom_original_white_11781", "Перейти")</f>
        <v>Перейти</v>
      </c>
      <c r="F1698" s="2">
        <v>11781</v>
      </c>
      <c r="G1698" s="4" t="s">
        <v>1810</v>
      </c>
      <c r="H1698" s="1">
        <v>0</v>
      </c>
      <c r="I1698" s="1">
        <v>0</v>
      </c>
      <c r="J1698" s="1">
        <v>1</v>
      </c>
      <c r="K1698" s="2">
        <v>370.0</v>
      </c>
    </row>
    <row r="1699" spans="1:12">
      <c r="A1699" s="3" t="s">
        <v>1750</v>
      </c>
      <c r="B1699" s="3" t="s">
        <v>1783</v>
      </c>
      <c r="C1699" s="3" t="s">
        <v>54</v>
      </c>
      <c r="D1699" s="3"/>
      <c r="E1699" s="2" t="str">
        <f>HYPERLINK("https://old.ukr-mobil.com/displej_ipad_pro_12_9_3rd_gen_2018_a1876_a1895_a1983_a2014_s_tachskrinom_original_black_11925", "Перейти")</f>
        <v>Перейти</v>
      </c>
      <c r="F1699" s="2">
        <v>11925</v>
      </c>
      <c r="G1699" s="4" t="s">
        <v>1811</v>
      </c>
      <c r="H1699" s="1">
        <v>1</v>
      </c>
      <c r="I1699" s="1">
        <v>1</v>
      </c>
      <c r="J1699" s="1">
        <v>0</v>
      </c>
      <c r="K1699" s="2">
        <v>150.0</v>
      </c>
    </row>
    <row r="1700" spans="1:12">
      <c r="A1700" s="3" t="s">
        <v>1750</v>
      </c>
      <c r="B1700" s="3" t="s">
        <v>1783</v>
      </c>
      <c r="C1700" s="3" t="s">
        <v>54</v>
      </c>
      <c r="D1700" s="3"/>
      <c r="E1700" s="2" t="str">
        <f>HYPERLINK("https://old.ukr-mobil.com/displej_ipad_pro_9_7_a1673_a1674_a1675_s_tachskrinom_original_prc_black_7754", "Перейти")</f>
        <v>Перейти</v>
      </c>
      <c r="F1700" s="2">
        <v>7754</v>
      </c>
      <c r="G1700" s="4" t="s">
        <v>1812</v>
      </c>
      <c r="H1700" s="1">
        <v>0</v>
      </c>
      <c r="I1700" s="1">
        <v>0</v>
      </c>
      <c r="J1700" s="1">
        <v>0</v>
      </c>
      <c r="K1700" s="2">
        <v>108.0</v>
      </c>
    </row>
    <row r="1701" spans="1:12">
      <c r="A1701" s="3" t="s">
        <v>1750</v>
      </c>
      <c r="B1701" s="3" t="s">
        <v>1783</v>
      </c>
      <c r="C1701" s="3" t="s">
        <v>54</v>
      </c>
      <c r="D1701" s="3"/>
      <c r="E1701" s="2" t="str">
        <f>HYPERLINK("https://old.ukr-mobil.com/displej_ipad_pro_9_7_a1673_a1674_a1675_s_tachskrinom_original_prc_white_8583", "Перейти")</f>
        <v>Перейти</v>
      </c>
      <c r="F1701" s="2">
        <v>8583</v>
      </c>
      <c r="G1701" s="4" t="s">
        <v>1813</v>
      </c>
      <c r="H1701" s="1">
        <v>0</v>
      </c>
      <c r="I1701" s="1">
        <v>0</v>
      </c>
      <c r="J1701" s="1">
        <v>0</v>
      </c>
      <c r="K1701" s="2">
        <v>108.0</v>
      </c>
    </row>
    <row r="1702" spans="1:12">
      <c r="A1702" s="3" t="s">
        <v>1750</v>
      </c>
      <c r="B1702" s="3" t="s">
        <v>1783</v>
      </c>
      <c r="C1702" s="3" t="s">
        <v>950</v>
      </c>
      <c r="D1702" s="3"/>
      <c r="E1702" s="2" t="str">
        <f>HYPERLINK("https://old.ukr-mobil.com/displej_asus_fonepad_7_fe170cg_memo_pad_7_me170_memo_pad_7_me170c_k012_k017_k01a_5212", "Перейти")</f>
        <v>Перейти</v>
      </c>
      <c r="F1702" s="2">
        <v>5212</v>
      </c>
      <c r="G1702" s="4" t="s">
        <v>1814</v>
      </c>
      <c r="H1702" s="1">
        <v>0</v>
      </c>
      <c r="I1702" s="1">
        <v>0</v>
      </c>
      <c r="J1702" s="1">
        <v>0</v>
      </c>
      <c r="K1702" s="2">
        <v>15.12</v>
      </c>
    </row>
    <row r="1703" spans="1:12">
      <c r="A1703" s="3" t="s">
        <v>1750</v>
      </c>
      <c r="B1703" s="3" t="s">
        <v>1783</v>
      </c>
      <c r="C1703" s="3" t="s">
        <v>950</v>
      </c>
      <c r="D1703" s="3"/>
      <c r="E1703" s="2" t="str">
        <f>HYPERLINK("https://old.ukr-mobil.com/displej_asus_google_nexus_7_s_tachskrinom_4016", "Перейти")</f>
        <v>Перейти</v>
      </c>
      <c r="F1703" s="2">
        <v>4016</v>
      </c>
      <c r="G1703" s="4" t="s">
        <v>1815</v>
      </c>
      <c r="H1703" s="1">
        <v>0</v>
      </c>
      <c r="I1703" s="1">
        <v>0</v>
      </c>
      <c r="J1703" s="1">
        <v>0</v>
      </c>
      <c r="K1703" s="2">
        <v>27.22</v>
      </c>
    </row>
    <row r="1704" spans="1:12">
      <c r="A1704" s="3" t="s">
        <v>1750</v>
      </c>
      <c r="B1704" s="3" t="s">
        <v>1783</v>
      </c>
      <c r="C1704" s="3" t="s">
        <v>950</v>
      </c>
      <c r="D1704" s="3"/>
      <c r="E1704" s="2" t="str">
        <f>HYPERLINK("https://old.ukr-mobil.com/displej_asus_me301t_memo_pad_smart_tf300t_eee_pad_transformer_tf301t_eee_pad_transformer_n101icg-l21_4042", "Перейти")</f>
        <v>Перейти</v>
      </c>
      <c r="F1704" s="2">
        <v>4042</v>
      </c>
      <c r="G1704" s="4" t="s">
        <v>1816</v>
      </c>
      <c r="H1704" s="1">
        <v>0</v>
      </c>
      <c r="I1704" s="1">
        <v>0</v>
      </c>
      <c r="J1704" s="1">
        <v>0</v>
      </c>
      <c r="K1704" s="2">
        <v>10.0</v>
      </c>
    </row>
    <row r="1705" spans="1:12">
      <c r="A1705" s="3" t="s">
        <v>1750</v>
      </c>
      <c r="B1705" s="3" t="s">
        <v>1783</v>
      </c>
      <c r="C1705" s="3" t="s">
        <v>950</v>
      </c>
      <c r="D1705" s="3"/>
      <c r="E1705" s="2" t="str">
        <f>HYPERLINK("https://old.ukr-mobil.com/displej_asus_z170mg_zenpad_c_7_0_p001_s_tachskrinom_black_8922", "Перейти")</f>
        <v>Перейти</v>
      </c>
      <c r="F1705" s="2">
        <v>8922</v>
      </c>
      <c r="G1705" s="4" t="s">
        <v>1817</v>
      </c>
      <c r="H1705" s="1">
        <v>1</v>
      </c>
      <c r="I1705" s="1">
        <v>0</v>
      </c>
      <c r="J1705" s="1">
        <v>0</v>
      </c>
      <c r="K1705" s="2">
        <v>20.0</v>
      </c>
    </row>
    <row r="1706" spans="1:12">
      <c r="A1706" s="3" t="s">
        <v>1750</v>
      </c>
      <c r="B1706" s="3" t="s">
        <v>1783</v>
      </c>
      <c r="C1706" s="3" t="s">
        <v>950</v>
      </c>
      <c r="D1706" s="3"/>
      <c r="E1706" s="2" t="str">
        <f>HYPERLINK("https://old.ukr-mobil.com/displej_asus_zenpad_3s_z500kl_23_8_cm_x_16_cm_s_tachskrinom_black_11295", "Перейти")</f>
        <v>Перейти</v>
      </c>
      <c r="F1706" s="2">
        <v>11295</v>
      </c>
      <c r="G1706" s="4" t="s">
        <v>1818</v>
      </c>
      <c r="H1706" s="1">
        <v>0</v>
      </c>
      <c r="I1706" s="1">
        <v>0</v>
      </c>
      <c r="J1706" s="1">
        <v>0</v>
      </c>
      <c r="K1706" s="2">
        <v>62.5</v>
      </c>
    </row>
    <row r="1707" spans="1:12">
      <c r="A1707" s="3" t="s">
        <v>1750</v>
      </c>
      <c r="B1707" s="3" t="s">
        <v>1783</v>
      </c>
      <c r="C1707" s="3" t="s">
        <v>950</v>
      </c>
      <c r="D1707" s="3"/>
      <c r="E1707" s="2" t="str">
        <f>HYPERLINK("https://old.ukr-mobil.com/displej_asus_zenpad_3s_z500m_23_6_cm_x_16_cm_s_tachskrinom_black_10387", "Перейти")</f>
        <v>Перейти</v>
      </c>
      <c r="F1707" s="2">
        <v>10387</v>
      </c>
      <c r="G1707" s="4" t="s">
        <v>1819</v>
      </c>
      <c r="H1707" s="1">
        <v>0</v>
      </c>
      <c r="I1707" s="1">
        <v>0</v>
      </c>
      <c r="J1707" s="1">
        <v>0</v>
      </c>
      <c r="K1707" s="2">
        <v>58.46</v>
      </c>
    </row>
    <row r="1708" spans="1:12">
      <c r="A1708" s="3" t="s">
        <v>1750</v>
      </c>
      <c r="B1708" s="3" t="s">
        <v>1783</v>
      </c>
      <c r="C1708" s="3" t="s">
        <v>950</v>
      </c>
      <c r="D1708" s="3"/>
      <c r="E1708" s="2" t="str">
        <f>HYPERLINK("https://old.ukr-mobil.com/displej_asus_zenpad_s_8_0_z580_s_tachskrinom_black_11300", "Перейти")</f>
        <v>Перейти</v>
      </c>
      <c r="F1708" s="2">
        <v>11300</v>
      </c>
      <c r="G1708" s="4" t="s">
        <v>1820</v>
      </c>
      <c r="H1708" s="1">
        <v>1</v>
      </c>
      <c r="I1708" s="1">
        <v>0</v>
      </c>
      <c r="J1708" s="1">
        <v>0</v>
      </c>
      <c r="K1708" s="2">
        <v>7.0</v>
      </c>
    </row>
    <row r="1709" spans="1:12">
      <c r="A1709" s="3" t="s">
        <v>1750</v>
      </c>
      <c r="B1709" s="3" t="s">
        <v>1783</v>
      </c>
      <c r="C1709" s="3" t="s">
        <v>950</v>
      </c>
      <c r="D1709" s="3"/>
      <c r="E1709" s="2" t="str">
        <f>HYPERLINK("https://old.ukr-mobil.com/displej_nomi_c070020_corsa_pro_7_3g_asus_fonepad_7_fe375cxg_fonepad_7_me375_memo_pad_7_me176_memo_pad_7_me176cx_7_1280_800_162_mm_103_mm_5214", "Перейти")</f>
        <v>Перейти</v>
      </c>
      <c r="F1709" s="2">
        <v>5214</v>
      </c>
      <c r="G1709" s="4" t="s">
        <v>1821</v>
      </c>
      <c r="H1709" s="1">
        <v>0</v>
      </c>
      <c r="I1709" s="1">
        <v>0</v>
      </c>
      <c r="J1709" s="1">
        <v>0</v>
      </c>
      <c r="K1709" s="2">
        <v>14.11</v>
      </c>
    </row>
    <row r="1710" spans="1:12">
      <c r="A1710" s="3" t="s">
        <v>1750</v>
      </c>
      <c r="B1710" s="3" t="s">
        <v>1783</v>
      </c>
      <c r="C1710" s="3" t="s">
        <v>640</v>
      </c>
      <c r="D1710" s="3"/>
      <c r="E1710" s="2" t="str">
        <f>HYPERLINK("https://old.ukr-mobil.com/displej_huawei_honor_tab_5_8_0_wi-fi_s_tachskrinom_black_12216", "Перейти")</f>
        <v>Перейти</v>
      </c>
      <c r="F1710" s="2">
        <v>12216</v>
      </c>
      <c r="G1710" s="4" t="s">
        <v>1822</v>
      </c>
      <c r="H1710" s="1">
        <v>0</v>
      </c>
      <c r="I1710" s="1">
        <v>0</v>
      </c>
      <c r="J1710" s="1">
        <v>0</v>
      </c>
      <c r="K1710" s="2">
        <v>32.26</v>
      </c>
    </row>
    <row r="1711" spans="1:12">
      <c r="A1711" s="3" t="s">
        <v>1750</v>
      </c>
      <c r="B1711" s="3" t="s">
        <v>1783</v>
      </c>
      <c r="C1711" s="3" t="s">
        <v>640</v>
      </c>
      <c r="D1711" s="3"/>
      <c r="E1711" s="2" t="str">
        <f>HYPERLINK("https://old.ukr-mobil.com/displej_huawei_matepad_10_4_bah3-w09_bah3-al00_s_tachskrinom_original_10003551", "Перейти")</f>
        <v>Перейти</v>
      </c>
      <c r="F1711" s="2">
        <v>10003551</v>
      </c>
      <c r="G1711" s="4" t="s">
        <v>1823</v>
      </c>
      <c r="H1711" s="1">
        <v>2</v>
      </c>
      <c r="I1711" s="1">
        <v>1</v>
      </c>
      <c r="J1711" s="1">
        <v>1</v>
      </c>
      <c r="K1711" s="2">
        <v>32.0</v>
      </c>
    </row>
    <row r="1712" spans="1:12">
      <c r="A1712" s="3" t="s">
        <v>1750</v>
      </c>
      <c r="B1712" s="3" t="s">
        <v>1783</v>
      </c>
      <c r="C1712" s="3" t="s">
        <v>640</v>
      </c>
      <c r="D1712" s="3"/>
      <c r="E1712" s="2" t="str">
        <f>HYPERLINK("https://old.ukr-mobil.com/displej_huawei_matepad_pro_10_8_mrx-al09_s_tachskrinom_original_10001137", "Перейти")</f>
        <v>Перейти</v>
      </c>
      <c r="F1712" s="2">
        <v>10001137</v>
      </c>
      <c r="G1712" s="4" t="s">
        <v>1824</v>
      </c>
      <c r="H1712" s="1">
        <v>0</v>
      </c>
      <c r="I1712" s="1">
        <v>1</v>
      </c>
      <c r="J1712" s="1">
        <v>0</v>
      </c>
      <c r="K1712" s="2">
        <v>36.0</v>
      </c>
    </row>
    <row r="1713" spans="1:12">
      <c r="A1713" s="3" t="s">
        <v>1750</v>
      </c>
      <c r="B1713" s="3" t="s">
        <v>1783</v>
      </c>
      <c r="C1713" s="3" t="s">
        <v>640</v>
      </c>
      <c r="D1713" s="3"/>
      <c r="E1713" s="2" t="str">
        <f>HYPERLINK("https://old.ukr-mobil.com/displej_huawei_matepad_se_10_4_ags5-w09_ags5-l09_ags5-w00_s_tachskrinom_original_10003677", "Перейти")</f>
        <v>Перейти</v>
      </c>
      <c r="F1713" s="2">
        <v>10003677</v>
      </c>
      <c r="G1713" s="4" t="s">
        <v>1825</v>
      </c>
      <c r="H1713" s="1">
        <v>3</v>
      </c>
      <c r="I1713" s="1">
        <v>2</v>
      </c>
      <c r="J1713" s="1">
        <v>2</v>
      </c>
      <c r="K1713" s="2">
        <v>32.0</v>
      </c>
    </row>
    <row r="1714" spans="1:12">
      <c r="A1714" s="3" t="s">
        <v>1750</v>
      </c>
      <c r="B1714" s="3" t="s">
        <v>1783</v>
      </c>
      <c r="C1714" s="3" t="s">
        <v>640</v>
      </c>
      <c r="D1714" s="3"/>
      <c r="E1714" s="2" t="str">
        <f>HYPERLINK("https://old.ukr-mobil.com/displej_huawei_matepad_t10_agr-w09_agr-l09_s_tachskrinom_original_prc_black_10002239", "Перейти")</f>
        <v>Перейти</v>
      </c>
      <c r="F1714" s="2">
        <v>10002239</v>
      </c>
      <c r="G1714" s="4" t="s">
        <v>1826</v>
      </c>
      <c r="H1714" s="1">
        <v>13</v>
      </c>
      <c r="I1714" s="1">
        <v>4</v>
      </c>
      <c r="J1714" s="1">
        <v>0</v>
      </c>
      <c r="K1714" s="2">
        <v>30.0</v>
      </c>
    </row>
    <row r="1715" spans="1:12">
      <c r="A1715" s="3" t="s">
        <v>1750</v>
      </c>
      <c r="B1715" s="3" t="s">
        <v>1783</v>
      </c>
      <c r="C1715" s="3" t="s">
        <v>640</v>
      </c>
      <c r="D1715" s="3"/>
      <c r="E1715" s="2" t="str">
        <f>HYPERLINK("https://old.ukr-mobil.com/displej_huawei_matepad_t10s_10_1_s_tachskrinom_original_10001138", "Перейти")</f>
        <v>Перейти</v>
      </c>
      <c r="F1715" s="2">
        <v>10001138</v>
      </c>
      <c r="G1715" s="4" t="s">
        <v>1827</v>
      </c>
      <c r="H1715" s="1">
        <v>14</v>
      </c>
      <c r="I1715" s="1">
        <v>5</v>
      </c>
      <c r="J1715" s="1">
        <v>3</v>
      </c>
      <c r="K1715" s="2">
        <v>21.0</v>
      </c>
    </row>
    <row r="1716" spans="1:12">
      <c r="A1716" s="3" t="s">
        <v>1750</v>
      </c>
      <c r="B1716" s="3" t="s">
        <v>1783</v>
      </c>
      <c r="C1716" s="3" t="s">
        <v>640</v>
      </c>
      <c r="D1716" s="3"/>
      <c r="E1716" s="2" t="str">
        <f>HYPERLINK("https://old.ukr-mobil.com/displej_huawei_matepad_t8_kobe2-l09_kobe2-l03_s_tachskrinom_original_prc_black_10002240", "Перейти")</f>
        <v>Перейти</v>
      </c>
      <c r="F1716" s="2">
        <v>10002240</v>
      </c>
      <c r="G1716" s="4" t="s">
        <v>1828</v>
      </c>
      <c r="H1716" s="1">
        <v>1</v>
      </c>
      <c r="I1716" s="1">
        <v>0</v>
      </c>
      <c r="J1716" s="1">
        <v>0</v>
      </c>
      <c r="K1716" s="2">
        <v>18.0</v>
      </c>
    </row>
    <row r="1717" spans="1:12">
      <c r="A1717" s="3" t="s">
        <v>1750</v>
      </c>
      <c r="B1717" s="3" t="s">
        <v>1783</v>
      </c>
      <c r="C1717" s="3" t="s">
        <v>640</v>
      </c>
      <c r="D1717" s="3"/>
      <c r="E1717" s="2" t="str">
        <f>HYPERLINK("https://old.ukr-mobil.com/displej_huawei_mediapad_m3_lite_10_lte_bah-l09_s_tachskrinom_black_10055", "Перейти")</f>
        <v>Перейти</v>
      </c>
      <c r="F1717" s="2">
        <v>10055</v>
      </c>
      <c r="G1717" s="4" t="s">
        <v>1829</v>
      </c>
      <c r="H1717" s="1">
        <v>2</v>
      </c>
      <c r="I1717" s="1">
        <v>0</v>
      </c>
      <c r="J1717" s="1">
        <v>0</v>
      </c>
      <c r="K1717" s="2">
        <v>29.5</v>
      </c>
    </row>
    <row r="1718" spans="1:12">
      <c r="A1718" s="3" t="s">
        <v>1750</v>
      </c>
      <c r="B1718" s="3" t="s">
        <v>1783</v>
      </c>
      <c r="C1718" s="3" t="s">
        <v>640</v>
      </c>
      <c r="D1718" s="3"/>
      <c r="E1718" s="2" t="str">
        <f>HYPERLINK("https://old.ukr-mobil.com/displej_huawei_mediapad_m3_lite_10_lte_bah-l09_s_tachskrinom_white_11298", "Перейти")</f>
        <v>Перейти</v>
      </c>
      <c r="F1718" s="2">
        <v>11298</v>
      </c>
      <c r="G1718" s="4" t="s">
        <v>1830</v>
      </c>
      <c r="H1718" s="1">
        <v>0</v>
      </c>
      <c r="I1718" s="1">
        <v>0</v>
      </c>
      <c r="J1718" s="1">
        <v>0</v>
      </c>
      <c r="K1718" s="2">
        <v>40.32</v>
      </c>
    </row>
    <row r="1719" spans="1:12">
      <c r="A1719" s="3" t="s">
        <v>1750</v>
      </c>
      <c r="B1719" s="3" t="s">
        <v>1783</v>
      </c>
      <c r="C1719" s="3" t="s">
        <v>640</v>
      </c>
      <c r="D1719" s="3"/>
      <c r="E1719" s="2" t="str">
        <f>HYPERLINK("https://old.ukr-mobil.com/displej_huawei_mediapad_m5_8_sht-al09_sht-w09_s_tachskrinom_black_11463", "Перейти")</f>
        <v>Перейти</v>
      </c>
      <c r="F1719" s="2">
        <v>11463</v>
      </c>
      <c r="G1719" s="4" t="s">
        <v>1831</v>
      </c>
      <c r="H1719" s="1">
        <v>0</v>
      </c>
      <c r="I1719" s="1">
        <v>0</v>
      </c>
      <c r="J1719" s="1">
        <v>0</v>
      </c>
      <c r="K1719" s="2">
        <v>34.0</v>
      </c>
    </row>
    <row r="1720" spans="1:12">
      <c r="A1720" s="3" t="s">
        <v>1750</v>
      </c>
      <c r="B1720" s="3" t="s">
        <v>1783</v>
      </c>
      <c r="C1720" s="3" t="s">
        <v>640</v>
      </c>
      <c r="D1720" s="3"/>
      <c r="E1720" s="2" t="str">
        <f>HYPERLINK("https://old.ukr-mobil.com/displej_huawei_mediapad_m5_lite_10_bah2-l09_bah2-w19_s_tachskrinom_original_prc_black_11301", "Перейти")</f>
        <v>Перейти</v>
      </c>
      <c r="F1720" s="2">
        <v>11301</v>
      </c>
      <c r="G1720" s="4" t="s">
        <v>1832</v>
      </c>
      <c r="H1720" s="1">
        <v>1</v>
      </c>
      <c r="I1720" s="1">
        <v>1</v>
      </c>
      <c r="J1720" s="1">
        <v>0</v>
      </c>
      <c r="K1720" s="2">
        <v>33.0</v>
      </c>
    </row>
    <row r="1721" spans="1:12">
      <c r="A1721" s="3" t="s">
        <v>1750</v>
      </c>
      <c r="B1721" s="3" t="s">
        <v>1783</v>
      </c>
      <c r="C1721" s="3" t="s">
        <v>640</v>
      </c>
      <c r="D1721" s="3"/>
      <c r="E1721" s="2" t="str">
        <f>HYPERLINK("https://old.ukr-mobil.com/displej_huawei_mediapad_m5_lite_10_bah2-l09_bah2-w19_s_tachskrinom_original_prc_white_10000718", "Перейти")</f>
        <v>Перейти</v>
      </c>
      <c r="F1721" s="2">
        <v>10000718</v>
      </c>
      <c r="G1721" s="4" t="s">
        <v>1833</v>
      </c>
      <c r="H1721" s="1">
        <v>0</v>
      </c>
      <c r="I1721" s="1">
        <v>0</v>
      </c>
      <c r="J1721" s="1">
        <v>0</v>
      </c>
      <c r="K1721" s="2">
        <v>40.0</v>
      </c>
    </row>
    <row r="1722" spans="1:12">
      <c r="A1722" s="3" t="s">
        <v>1750</v>
      </c>
      <c r="B1722" s="3" t="s">
        <v>1783</v>
      </c>
      <c r="C1722" s="3" t="s">
        <v>640</v>
      </c>
      <c r="D1722" s="3"/>
      <c r="E1722" s="2" t="str">
        <f>HYPERLINK("https://old.ukr-mobil.com/displej_huawei_mediapad_t1_7_t1-701u_s_tachskrinom_original_black_9591", "Перейти")</f>
        <v>Перейти</v>
      </c>
      <c r="F1722" s="2">
        <v>9591</v>
      </c>
      <c r="G1722" s="4" t="s">
        <v>1834</v>
      </c>
      <c r="H1722" s="1">
        <v>1</v>
      </c>
      <c r="I1722" s="1">
        <v>0</v>
      </c>
      <c r="J1722" s="1">
        <v>0</v>
      </c>
      <c r="K1722" s="2">
        <v>16.0</v>
      </c>
    </row>
    <row r="1723" spans="1:12">
      <c r="A1723" s="3" t="s">
        <v>1750</v>
      </c>
      <c r="B1723" s="3" t="s">
        <v>1783</v>
      </c>
      <c r="C1723" s="3" t="s">
        <v>640</v>
      </c>
      <c r="D1723" s="3"/>
      <c r="E1723" s="2" t="str">
        <f>HYPERLINK("https://old.ukr-mobil.com/displej_huawei_mediapad_t1_7_t1-701u_s_tachskrinom_original_white_105", "Перейти")</f>
        <v>Перейти</v>
      </c>
      <c r="F1723" s="2">
        <v>105</v>
      </c>
      <c r="G1723" s="4" t="s">
        <v>1835</v>
      </c>
      <c r="H1723" s="1">
        <v>0</v>
      </c>
      <c r="I1723" s="1">
        <v>0</v>
      </c>
      <c r="J1723" s="1">
        <v>0</v>
      </c>
      <c r="K1723" s="2">
        <v>14.0</v>
      </c>
    </row>
    <row r="1724" spans="1:12">
      <c r="A1724" s="3" t="s">
        <v>1750</v>
      </c>
      <c r="B1724" s="3" t="s">
        <v>1783</v>
      </c>
      <c r="C1724" s="3" t="s">
        <v>640</v>
      </c>
      <c r="D1724" s="3"/>
      <c r="E1724" s="2" t="str">
        <f>HYPERLINK("https://old.ukr-mobil.com/displej_huawei_mediapad_t3_10_lte_ags-l09_s_tachskrinom_original_prc_black_10054", "Перейти")</f>
        <v>Перейти</v>
      </c>
      <c r="F1724" s="2">
        <v>10054</v>
      </c>
      <c r="G1724" s="4" t="s">
        <v>1836</v>
      </c>
      <c r="H1724" s="1">
        <v>5</v>
      </c>
      <c r="I1724" s="1">
        <v>0</v>
      </c>
      <c r="J1724" s="1">
        <v>0</v>
      </c>
      <c r="K1724" s="2">
        <v>18.0</v>
      </c>
    </row>
    <row r="1725" spans="1:12">
      <c r="A1725" s="3" t="s">
        <v>1750</v>
      </c>
      <c r="B1725" s="3" t="s">
        <v>1783</v>
      </c>
      <c r="C1725" s="3" t="s">
        <v>640</v>
      </c>
      <c r="D1725" s="3"/>
      <c r="E1725" s="2" t="str">
        <f>HYPERLINK("https://old.ukr-mobil.com/displej_huawei_mediapad_t3_10_lte_ags-l09_s_tachskrinom_original_prc_white_10389", "Перейти")</f>
        <v>Перейти</v>
      </c>
      <c r="F1725" s="2">
        <v>10389</v>
      </c>
      <c r="G1725" s="4" t="s">
        <v>1837</v>
      </c>
      <c r="H1725" s="1">
        <v>0</v>
      </c>
      <c r="I1725" s="1">
        <v>0</v>
      </c>
      <c r="J1725" s="1">
        <v>0</v>
      </c>
      <c r="K1725" s="2">
        <v>48.0</v>
      </c>
    </row>
    <row r="1726" spans="1:12">
      <c r="A1726" s="3" t="s">
        <v>1750</v>
      </c>
      <c r="B1726" s="3" t="s">
        <v>1783</v>
      </c>
      <c r="C1726" s="3" t="s">
        <v>640</v>
      </c>
      <c r="D1726" s="3"/>
      <c r="E1726" s="2" t="str">
        <f>HYPERLINK("https://old.ukr-mobil.com/displej_huawei_mediapad_t3_7_3g_t3-701_bg-u01_bg2-u01_s_tachskrinom_original_prc_black_9994", "Перейти")</f>
        <v>Перейти</v>
      </c>
      <c r="F1726" s="2">
        <v>9994</v>
      </c>
      <c r="G1726" s="4" t="s">
        <v>1838</v>
      </c>
      <c r="H1726" s="1">
        <v>0</v>
      </c>
      <c r="I1726" s="1">
        <v>0</v>
      </c>
      <c r="J1726" s="1">
        <v>0</v>
      </c>
      <c r="K1726" s="2">
        <v>18.5</v>
      </c>
    </row>
    <row r="1727" spans="1:12">
      <c r="A1727" s="3" t="s">
        <v>1750</v>
      </c>
      <c r="B1727" s="3" t="s">
        <v>1783</v>
      </c>
      <c r="C1727" s="3" t="s">
        <v>640</v>
      </c>
      <c r="D1727" s="3"/>
      <c r="E1727" s="2" t="str">
        <f>HYPERLINK("https://old.ukr-mobil.com/displej_huawei_mediapad_t3_7_wi-fi_bg2-w09_t3-701_s_tachskrinom_original_prc_black_9993", "Перейти")</f>
        <v>Перейти</v>
      </c>
      <c r="F1727" s="2">
        <v>9993</v>
      </c>
      <c r="G1727" s="4" t="s">
        <v>1839</v>
      </c>
      <c r="H1727" s="1">
        <v>13</v>
      </c>
      <c r="I1727" s="1">
        <v>5</v>
      </c>
      <c r="J1727" s="1">
        <v>4</v>
      </c>
      <c r="K1727" s="2">
        <v>13.0</v>
      </c>
    </row>
    <row r="1728" spans="1:12">
      <c r="A1728" s="3" t="s">
        <v>1750</v>
      </c>
      <c r="B1728" s="3" t="s">
        <v>1783</v>
      </c>
      <c r="C1728" s="3" t="s">
        <v>640</v>
      </c>
      <c r="D1728" s="3"/>
      <c r="E1728" s="2" t="str">
        <f>HYPERLINK("https://old.ukr-mobil.com/displej_huawei_mediapad_t3_8_0_kob-l09_kob-w09_s_tachskrinom_original_prc_black_10053", "Перейти")</f>
        <v>Перейти</v>
      </c>
      <c r="F1728" s="2">
        <v>10053</v>
      </c>
      <c r="G1728" s="4" t="s">
        <v>1840</v>
      </c>
      <c r="H1728" s="1">
        <v>1</v>
      </c>
      <c r="I1728" s="1">
        <v>0</v>
      </c>
      <c r="J1728" s="1">
        <v>0</v>
      </c>
      <c r="K1728" s="2">
        <v>17.0</v>
      </c>
    </row>
    <row r="1729" spans="1:12">
      <c r="A1729" s="3" t="s">
        <v>1750</v>
      </c>
      <c r="B1729" s="3" t="s">
        <v>1783</v>
      </c>
      <c r="C1729" s="3" t="s">
        <v>640</v>
      </c>
      <c r="D1729" s="3"/>
      <c r="E1729" s="2" t="str">
        <f>HYPERLINK("https://old.ukr-mobil.com/displej_huawei_mediapad_t3_8_0_kob-l09_kob-w09_s_tachskrinom_original_prc_white_10000719", "Перейти")</f>
        <v>Перейти</v>
      </c>
      <c r="F1729" s="2">
        <v>10000719</v>
      </c>
      <c r="G1729" s="4" t="s">
        <v>1841</v>
      </c>
      <c r="H1729" s="1">
        <v>0</v>
      </c>
      <c r="I1729" s="1">
        <v>0</v>
      </c>
      <c r="J1729" s="1">
        <v>0</v>
      </c>
      <c r="K1729" s="2">
        <v>34.0</v>
      </c>
    </row>
    <row r="1730" spans="1:12">
      <c r="A1730" s="3" t="s">
        <v>1750</v>
      </c>
      <c r="B1730" s="3" t="s">
        <v>1783</v>
      </c>
      <c r="C1730" s="3" t="s">
        <v>640</v>
      </c>
      <c r="D1730" s="3"/>
      <c r="E1730" s="2" t="str">
        <f>HYPERLINK("https://old.ukr-mobil.com/displej_huawei_mediapad_t5_10_ags2-l09_ags2-w09_s_tachskrinom_original_prc_black_11302", "Перейти")</f>
        <v>Перейти</v>
      </c>
      <c r="F1730" s="2">
        <v>11302</v>
      </c>
      <c r="G1730" s="4" t="s">
        <v>1842</v>
      </c>
      <c r="H1730" s="1">
        <v>1</v>
      </c>
      <c r="I1730" s="1">
        <v>0</v>
      </c>
      <c r="J1730" s="1">
        <v>0</v>
      </c>
      <c r="K1730" s="2">
        <v>23.0</v>
      </c>
    </row>
    <row r="1731" spans="1:12">
      <c r="A1731" s="3" t="s">
        <v>1750</v>
      </c>
      <c r="B1731" s="3" t="s">
        <v>1783</v>
      </c>
      <c r="C1731" s="3" t="s">
        <v>1048</v>
      </c>
      <c r="D1731" s="3"/>
      <c r="E1731" s="2" t="str">
        <f>HYPERLINK("https://old.ukr-mobil.com/displej_lenovo_a5500_ideatab_a8-50_tab_2_a8-50f_tab_2_a8-50l_tab_2_a8-50lc_tab_2_5998", "Перейти")</f>
        <v>Перейти</v>
      </c>
      <c r="F1731" s="2">
        <v>5998</v>
      </c>
      <c r="G1731" s="4" t="s">
        <v>1843</v>
      </c>
      <c r="H1731" s="1">
        <v>1</v>
      </c>
      <c r="I1731" s="1">
        <v>0</v>
      </c>
      <c r="J1731" s="1">
        <v>0</v>
      </c>
      <c r="K1731" s="2">
        <v>18.0</v>
      </c>
    </row>
    <row r="1732" spans="1:12">
      <c r="A1732" s="3" t="s">
        <v>1750</v>
      </c>
      <c r="B1732" s="3" t="s">
        <v>1783</v>
      </c>
      <c r="C1732" s="3" t="s">
        <v>1048</v>
      </c>
      <c r="D1732" s="3"/>
      <c r="E1732" s="2" t="str">
        <f>HYPERLINK("https://old.ukr-mobil.com/displej_lenovo_ideatab_a7600_a10-70_5895", "Перейти")</f>
        <v>Перейти</v>
      </c>
      <c r="F1732" s="2">
        <v>5895</v>
      </c>
      <c r="G1732" s="4" t="s">
        <v>1844</v>
      </c>
      <c r="H1732" s="1">
        <v>1</v>
      </c>
      <c r="I1732" s="1">
        <v>0</v>
      </c>
      <c r="J1732" s="1">
        <v>0</v>
      </c>
      <c r="K1732" s="2">
        <v>12.25</v>
      </c>
    </row>
    <row r="1733" spans="1:12">
      <c r="A1733" s="3" t="s">
        <v>1750</v>
      </c>
      <c r="B1733" s="3" t="s">
        <v>1783</v>
      </c>
      <c r="C1733" s="3" t="s">
        <v>1048</v>
      </c>
      <c r="D1733" s="3"/>
      <c r="E1733" s="2" t="str">
        <f>HYPERLINK("https://old.ukr-mobil.com/displej_lenovo_ideatab_a7600_a10-70_s_tachskrinom_ramkoj_black_8027", "Перейти")</f>
        <v>Перейти</v>
      </c>
      <c r="F1733" s="2">
        <v>8027</v>
      </c>
      <c r="G1733" s="4" t="s">
        <v>1845</v>
      </c>
      <c r="H1733" s="1">
        <v>0</v>
      </c>
      <c r="I1733" s="1">
        <v>0</v>
      </c>
      <c r="J1733" s="1">
        <v>0</v>
      </c>
      <c r="K1733" s="2">
        <v>38.0</v>
      </c>
    </row>
    <row r="1734" spans="1:12">
      <c r="A1734" s="3" t="s">
        <v>1750</v>
      </c>
      <c r="B1734" s="3" t="s">
        <v>1783</v>
      </c>
      <c r="C1734" s="3" t="s">
        <v>1048</v>
      </c>
      <c r="D1734" s="3"/>
      <c r="E1734" s="2" t="str">
        <f>HYPERLINK("https://old.ukr-mobil.com/displej_lenovo_miix_3-830_s_tachskrinom_ramkoj_black_8501", "Перейти")</f>
        <v>Перейти</v>
      </c>
      <c r="F1734" s="2">
        <v>8501</v>
      </c>
      <c r="G1734" s="4" t="s">
        <v>1846</v>
      </c>
      <c r="H1734" s="1">
        <v>1</v>
      </c>
      <c r="I1734" s="1">
        <v>2</v>
      </c>
      <c r="J1734" s="1">
        <v>0</v>
      </c>
      <c r="K1734" s="2">
        <v>18.0</v>
      </c>
    </row>
    <row r="1735" spans="1:12">
      <c r="A1735" s="3" t="s">
        <v>1750</v>
      </c>
      <c r="B1735" s="3" t="s">
        <v>1783</v>
      </c>
      <c r="C1735" s="3" t="s">
        <v>1048</v>
      </c>
      <c r="D1735" s="3"/>
      <c r="E1735" s="2" t="str">
        <f>HYPERLINK("https://old.ukr-mobil.com/displej_lenovo_pb1-750m_phab_s_tachskrinom_black_9592", "Перейти")</f>
        <v>Перейти</v>
      </c>
      <c r="F1735" s="2">
        <v>9592</v>
      </c>
      <c r="G1735" s="4" t="s">
        <v>1847</v>
      </c>
      <c r="H1735" s="1">
        <v>0</v>
      </c>
      <c r="I1735" s="1">
        <v>0</v>
      </c>
      <c r="J1735" s="1">
        <v>0</v>
      </c>
      <c r="K1735" s="2">
        <v>13.0</v>
      </c>
    </row>
    <row r="1736" spans="1:12">
      <c r="A1736" s="3" t="s">
        <v>1750</v>
      </c>
      <c r="B1736" s="3" t="s">
        <v>1783</v>
      </c>
      <c r="C1736" s="3" t="s">
        <v>1048</v>
      </c>
      <c r="D1736" s="3"/>
      <c r="E1736" s="2" t="str">
        <f>HYPERLINK("https://old.ukr-mobil.com/displej_lenovo_pb1-750m_phab_s_tachskrinom_white_9593", "Перейти")</f>
        <v>Перейти</v>
      </c>
      <c r="F1736" s="2">
        <v>9593</v>
      </c>
      <c r="G1736" s="4" t="s">
        <v>1848</v>
      </c>
      <c r="H1736" s="1">
        <v>0</v>
      </c>
      <c r="I1736" s="1">
        <v>0</v>
      </c>
      <c r="J1736" s="1">
        <v>0</v>
      </c>
      <c r="K1736" s="2">
        <v>13.0</v>
      </c>
    </row>
    <row r="1737" spans="1:12">
      <c r="A1737" s="3" t="s">
        <v>1750</v>
      </c>
      <c r="B1737" s="3" t="s">
        <v>1783</v>
      </c>
      <c r="C1737" s="3" t="s">
        <v>1048</v>
      </c>
      <c r="D1737" s="3"/>
      <c r="E1737" s="2" t="str">
        <f>HYPERLINK("https://old.ukr-mobil.com/displej_lenovo_pb1-770m_phab_plus_lte_s_tachskrinom_white_8022", "Перейти")</f>
        <v>Перейти</v>
      </c>
      <c r="F1737" s="2">
        <v>8022</v>
      </c>
      <c r="G1737" s="4" t="s">
        <v>1849</v>
      </c>
      <c r="H1737" s="1">
        <v>0</v>
      </c>
      <c r="I1737" s="1">
        <v>0</v>
      </c>
      <c r="J1737" s="1">
        <v>0</v>
      </c>
      <c r="K1737" s="2">
        <v>12.0</v>
      </c>
    </row>
    <row r="1738" spans="1:12">
      <c r="A1738" s="3" t="s">
        <v>1750</v>
      </c>
      <c r="B1738" s="3" t="s">
        <v>1783</v>
      </c>
      <c r="C1738" s="3" t="s">
        <v>1048</v>
      </c>
      <c r="D1738" s="3"/>
      <c r="E1738" s="2" t="str">
        <f>HYPERLINK("https://old.ukr-mobil.com/displej_lenovo_tab_10_tb-x103f_s_tachskrinom_black_10390", "Перейти")</f>
        <v>Перейти</v>
      </c>
      <c r="F1738" s="2">
        <v>10390</v>
      </c>
      <c r="G1738" s="4" t="s">
        <v>1850</v>
      </c>
      <c r="H1738" s="1">
        <v>3</v>
      </c>
      <c r="I1738" s="1">
        <v>0</v>
      </c>
      <c r="J1738" s="1">
        <v>0</v>
      </c>
      <c r="K1738" s="2">
        <v>23.0</v>
      </c>
    </row>
    <row r="1739" spans="1:12">
      <c r="A1739" s="3" t="s">
        <v>1750</v>
      </c>
      <c r="B1739" s="3" t="s">
        <v>1783</v>
      </c>
      <c r="C1739" s="3" t="s">
        <v>1048</v>
      </c>
      <c r="D1739" s="3"/>
      <c r="E1739" s="2" t="str">
        <f>HYPERLINK("https://old.ukr-mobil.com/displej_lenovo_tab_2_a10-70f_a10-70l_s_tachskrinom_white_12343", "Перейти")</f>
        <v>Перейти</v>
      </c>
      <c r="F1739" s="2">
        <v>12343</v>
      </c>
      <c r="G1739" s="4" t="s">
        <v>1851</v>
      </c>
      <c r="H1739" s="1">
        <v>0</v>
      </c>
      <c r="I1739" s="1">
        <v>0</v>
      </c>
      <c r="J1739" s="1">
        <v>0</v>
      </c>
      <c r="K1739" s="2">
        <v>40.0</v>
      </c>
    </row>
    <row r="1740" spans="1:12">
      <c r="A1740" s="3" t="s">
        <v>1750</v>
      </c>
      <c r="B1740" s="3" t="s">
        <v>1783</v>
      </c>
      <c r="C1740" s="3" t="s">
        <v>1048</v>
      </c>
      <c r="D1740" s="3"/>
      <c r="E1740" s="2" t="str">
        <f>HYPERLINK("https://old.ukr-mobil.com/displej_lenovo_tab_2_a10-70f_a10-70l_s_tachskrinom_black_8021", "Перейти")</f>
        <v>Перейти</v>
      </c>
      <c r="F1740" s="2">
        <v>8021</v>
      </c>
      <c r="G1740" s="4" t="s">
        <v>1852</v>
      </c>
      <c r="H1740" s="1">
        <v>0</v>
      </c>
      <c r="I1740" s="1">
        <v>0</v>
      </c>
      <c r="J1740" s="1">
        <v>0</v>
      </c>
      <c r="K1740" s="2">
        <v>29.0</v>
      </c>
    </row>
    <row r="1741" spans="1:12">
      <c r="A1741" s="3" t="s">
        <v>1750</v>
      </c>
      <c r="B1741" s="3" t="s">
        <v>1783</v>
      </c>
      <c r="C1741" s="3" t="s">
        <v>1048</v>
      </c>
      <c r="D1741" s="3"/>
      <c r="E1741" s="2" t="str">
        <f>HYPERLINK("https://old.ukr-mobil.com/displej_lenovo_tab_2_a7-10_a7-20_s_tachskrinom_black_6085", "Перейти")</f>
        <v>Перейти</v>
      </c>
      <c r="F1741" s="2">
        <v>6085</v>
      </c>
      <c r="G1741" s="4" t="s">
        <v>1853</v>
      </c>
      <c r="H1741" s="1">
        <v>0</v>
      </c>
      <c r="I1741" s="1">
        <v>0</v>
      </c>
      <c r="J1741" s="1">
        <v>0</v>
      </c>
      <c r="K1741" s="2">
        <v>21.17</v>
      </c>
    </row>
    <row r="1742" spans="1:12">
      <c r="A1742" s="3" t="s">
        <v>1750</v>
      </c>
      <c r="B1742" s="3" t="s">
        <v>1783</v>
      </c>
      <c r="C1742" s="3" t="s">
        <v>1048</v>
      </c>
      <c r="D1742" s="3"/>
      <c r="E1742" s="2" t="str">
        <f>HYPERLINK("https://old.ukr-mobil.com/displej_lenovo_tab_2_a7-30_tab_2_a7-30dc_tab_2_a7-30f_green_fpc_s_tachskrinom_black_11267", "Перейти")</f>
        <v>Перейти</v>
      </c>
      <c r="F1742" s="2">
        <v>11267</v>
      </c>
      <c r="G1742" s="4" t="s">
        <v>1854</v>
      </c>
      <c r="H1742" s="1">
        <v>0</v>
      </c>
      <c r="I1742" s="1">
        <v>0</v>
      </c>
      <c r="J1742" s="1">
        <v>0</v>
      </c>
      <c r="K1742" s="2">
        <v>24.19</v>
      </c>
    </row>
    <row r="1743" spans="1:12">
      <c r="A1743" s="3" t="s">
        <v>1750</v>
      </c>
      <c r="B1743" s="3" t="s">
        <v>1783</v>
      </c>
      <c r="C1743" s="3" t="s">
        <v>1048</v>
      </c>
      <c r="D1743" s="3"/>
      <c r="E1743" s="2" t="str">
        <f>HYPERLINK("https://old.ukr-mobil.com/displej_lenovo_tab_2_a7-30hc_yellow_fpc_s_tachskrinom_black_6211", "Перейти")</f>
        <v>Перейти</v>
      </c>
      <c r="F1743" s="2">
        <v>6211</v>
      </c>
      <c r="G1743" s="4" t="s">
        <v>1855</v>
      </c>
      <c r="H1743" s="1">
        <v>0</v>
      </c>
      <c r="I1743" s="1">
        <v>0</v>
      </c>
      <c r="J1743" s="1">
        <v>0</v>
      </c>
      <c r="K1743" s="2">
        <v>21.17</v>
      </c>
    </row>
    <row r="1744" spans="1:12">
      <c r="A1744" s="3" t="s">
        <v>1750</v>
      </c>
      <c r="B1744" s="3" t="s">
        <v>1783</v>
      </c>
      <c r="C1744" s="3" t="s">
        <v>1048</v>
      </c>
      <c r="D1744" s="3"/>
      <c r="E1744" s="2" t="str">
        <f>HYPERLINK("https://old.ukr-mobil.com/displej_lenovo_tab_3_plus_8703x_8_lte_tb-8703x_s_tachskrinom_black_10253", "Перейти")</f>
        <v>Перейти</v>
      </c>
      <c r="F1744" s="2">
        <v>10253</v>
      </c>
      <c r="G1744" s="4" t="s">
        <v>1856</v>
      </c>
      <c r="H1744" s="1">
        <v>0</v>
      </c>
      <c r="I1744" s="1">
        <v>0</v>
      </c>
      <c r="J1744" s="1">
        <v>0</v>
      </c>
      <c r="K1744" s="2">
        <v>26.0</v>
      </c>
    </row>
    <row r="1745" spans="1:12">
      <c r="A1745" s="3" t="s">
        <v>1750</v>
      </c>
      <c r="B1745" s="3" t="s">
        <v>1783</v>
      </c>
      <c r="C1745" s="3" t="s">
        <v>1048</v>
      </c>
      <c r="D1745" s="3"/>
      <c r="E1745" s="2" t="str">
        <f>HYPERLINK("https://old.ukr-mobil.com/displej_lenovo_tab_3_plus_tb-7703x_7_lte_s_tachskrinom_black_10252", "Перейти")</f>
        <v>Перейти</v>
      </c>
      <c r="F1745" s="2">
        <v>10252</v>
      </c>
      <c r="G1745" s="4" t="s">
        <v>1857</v>
      </c>
      <c r="H1745" s="1">
        <v>5</v>
      </c>
      <c r="I1745" s="1">
        <v>3</v>
      </c>
      <c r="J1745" s="1">
        <v>3</v>
      </c>
      <c r="K1745" s="2">
        <v>19.0</v>
      </c>
    </row>
    <row r="1746" spans="1:12">
      <c r="A1746" s="3" t="s">
        <v>1750</v>
      </c>
      <c r="B1746" s="3" t="s">
        <v>1783</v>
      </c>
      <c r="C1746" s="3" t="s">
        <v>1048</v>
      </c>
      <c r="D1746" s="3"/>
      <c r="E1746" s="2" t="str">
        <f>HYPERLINK("https://old.ukr-mobil.com/displej_lenovo_tab_3_plus_x70l_10_1_lte_s_tachskrinom_black_10254", "Перейти")</f>
        <v>Перейти</v>
      </c>
      <c r="F1746" s="2">
        <v>10254</v>
      </c>
      <c r="G1746" s="4" t="s">
        <v>1858</v>
      </c>
      <c r="H1746" s="1">
        <v>0</v>
      </c>
      <c r="I1746" s="1">
        <v>0</v>
      </c>
      <c r="J1746" s="1">
        <v>0</v>
      </c>
      <c r="K1746" s="2">
        <v>40.0</v>
      </c>
    </row>
    <row r="1747" spans="1:12">
      <c r="A1747" s="3" t="s">
        <v>1750</v>
      </c>
      <c r="B1747" s="3" t="s">
        <v>1783</v>
      </c>
      <c r="C1747" s="3" t="s">
        <v>1048</v>
      </c>
      <c r="D1747" s="3"/>
      <c r="E1747" s="2" t="str">
        <f>HYPERLINK("https://old.ukr-mobil.com/displej_lenovo_tab_3_plus_x70l_10_1_lte_s_tachskrinom_white_11805", "Перейти")</f>
        <v>Перейти</v>
      </c>
      <c r="F1747" s="2">
        <v>11805</v>
      </c>
      <c r="G1747" s="4" t="s">
        <v>1859</v>
      </c>
      <c r="H1747" s="1">
        <v>5</v>
      </c>
      <c r="I1747" s="1">
        <v>0</v>
      </c>
      <c r="J1747" s="1">
        <v>2</v>
      </c>
      <c r="K1747" s="2">
        <v>26.0</v>
      </c>
    </row>
    <row r="1748" spans="1:12">
      <c r="A1748" s="3" t="s">
        <v>1750</v>
      </c>
      <c r="B1748" s="3" t="s">
        <v>1783</v>
      </c>
      <c r="C1748" s="3" t="s">
        <v>1048</v>
      </c>
      <c r="D1748" s="3"/>
      <c r="E1748" s="2" t="str">
        <f>HYPERLINK("https://old.ukr-mobil.com/displej_lenovo_tab_3_tb3-710f_essential_tab_3_tb3-710l_essential_7532", "Перейти")</f>
        <v>Перейти</v>
      </c>
      <c r="F1748" s="2">
        <v>7532</v>
      </c>
      <c r="G1748" s="4" t="s">
        <v>1860</v>
      </c>
      <c r="H1748" s="1">
        <v>0</v>
      </c>
      <c r="I1748" s="1">
        <v>0</v>
      </c>
      <c r="J1748" s="1">
        <v>0</v>
      </c>
      <c r="K1748" s="2">
        <v>14.62</v>
      </c>
    </row>
    <row r="1749" spans="1:12">
      <c r="A1749" s="3" t="s">
        <v>1750</v>
      </c>
      <c r="B1749" s="3" t="s">
        <v>1783</v>
      </c>
      <c r="C1749" s="3" t="s">
        <v>1048</v>
      </c>
      <c r="D1749" s="3"/>
      <c r="E1749" s="2" t="str">
        <f>HYPERLINK("https://old.ukr-mobil.com/displej_lenovo_tab_3_tb3-850m_tb3-850f_s_tachskrinom_black_9145", "Перейти")</f>
        <v>Перейти</v>
      </c>
      <c r="F1749" s="2">
        <v>9145</v>
      </c>
      <c r="G1749" s="4" t="s">
        <v>1861</v>
      </c>
      <c r="H1749" s="1">
        <v>0</v>
      </c>
      <c r="I1749" s="1">
        <v>0</v>
      </c>
      <c r="J1749" s="1">
        <v>0</v>
      </c>
      <c r="K1749" s="2">
        <v>28.22</v>
      </c>
    </row>
    <row r="1750" spans="1:12">
      <c r="A1750" s="3" t="s">
        <v>1750</v>
      </c>
      <c r="B1750" s="3" t="s">
        <v>1783</v>
      </c>
      <c r="C1750" s="3" t="s">
        <v>1048</v>
      </c>
      <c r="D1750" s="3"/>
      <c r="E1750" s="2" t="str">
        <f>HYPERLINK("https://old.ukr-mobil.com/displej_lenovo_tab_3-710f_s_tachskrinom_black_9363", "Перейти")</f>
        <v>Перейти</v>
      </c>
      <c r="F1750" s="2">
        <v>9363</v>
      </c>
      <c r="G1750" s="4" t="s">
        <v>1862</v>
      </c>
      <c r="H1750" s="1">
        <v>0</v>
      </c>
      <c r="I1750" s="1">
        <v>0</v>
      </c>
      <c r="J1750" s="1">
        <v>0</v>
      </c>
      <c r="K1750" s="2">
        <v>19.15</v>
      </c>
    </row>
    <row r="1751" spans="1:12">
      <c r="A1751" s="3" t="s">
        <v>1750</v>
      </c>
      <c r="B1751" s="3" t="s">
        <v>1783</v>
      </c>
      <c r="C1751" s="3" t="s">
        <v>1048</v>
      </c>
      <c r="D1751" s="3"/>
      <c r="E1751" s="2" t="str">
        <f>HYPERLINK("https://old.ukr-mobil.com/displej_lenovo_tab_3-730_187_97mm_s_tachskrinom_black_8587", "Перейти")</f>
        <v>Перейти</v>
      </c>
      <c r="F1751" s="2">
        <v>8587</v>
      </c>
      <c r="G1751" s="4" t="s">
        <v>1863</v>
      </c>
      <c r="H1751" s="1">
        <v>0</v>
      </c>
      <c r="I1751" s="1">
        <v>0</v>
      </c>
      <c r="J1751" s="1">
        <v>0</v>
      </c>
      <c r="K1751" s="2">
        <v>20.0</v>
      </c>
    </row>
    <row r="1752" spans="1:12">
      <c r="A1752" s="3" t="s">
        <v>1750</v>
      </c>
      <c r="B1752" s="3" t="s">
        <v>1783</v>
      </c>
      <c r="C1752" s="3" t="s">
        <v>1048</v>
      </c>
      <c r="D1752" s="3"/>
      <c r="E1752" s="2" t="str">
        <f>HYPERLINK("https://old.ukr-mobil.com/displej_lenovo_tab_4_10_plus_x704l_s_tachskrinom_black_10395", "Перейти")</f>
        <v>Перейти</v>
      </c>
      <c r="F1752" s="2">
        <v>10395</v>
      </c>
      <c r="G1752" s="4" t="s">
        <v>1864</v>
      </c>
      <c r="H1752" s="1">
        <v>2</v>
      </c>
      <c r="I1752" s="1">
        <v>0</v>
      </c>
      <c r="J1752" s="1">
        <v>0</v>
      </c>
      <c r="K1752" s="2">
        <v>30.0</v>
      </c>
    </row>
    <row r="1753" spans="1:12">
      <c r="A1753" s="3" t="s">
        <v>1750</v>
      </c>
      <c r="B1753" s="3" t="s">
        <v>1783</v>
      </c>
      <c r="C1753" s="3" t="s">
        <v>1048</v>
      </c>
      <c r="D1753" s="3"/>
      <c r="E1753" s="2" t="str">
        <f>HYPERLINK("https://old.ukr-mobil.com/displej_lenovo_tab_4_10_tb-x304l_original_prc_10002266", "Перейти")</f>
        <v>Перейти</v>
      </c>
      <c r="F1753" s="2">
        <v>10002266</v>
      </c>
      <c r="G1753" s="4" t="s">
        <v>1865</v>
      </c>
      <c r="H1753" s="1">
        <v>0</v>
      </c>
      <c r="I1753" s="1">
        <v>0</v>
      </c>
      <c r="J1753" s="1">
        <v>1</v>
      </c>
      <c r="K1753" s="2">
        <v>40.0</v>
      </c>
    </row>
    <row r="1754" spans="1:12">
      <c r="A1754" s="3" t="s">
        <v>1750</v>
      </c>
      <c r="B1754" s="3" t="s">
        <v>1783</v>
      </c>
      <c r="C1754" s="3" t="s">
        <v>1048</v>
      </c>
      <c r="D1754" s="3"/>
      <c r="E1754" s="2" t="str">
        <f>HYPERLINK("https://old.ukr-mobil.com/displej_lenovo_tab_4_10_tb-x304l_s_tachskrinom_black_11466", "Перейти")</f>
        <v>Перейти</v>
      </c>
      <c r="F1754" s="2">
        <v>11466</v>
      </c>
      <c r="G1754" s="4" t="s">
        <v>1866</v>
      </c>
      <c r="H1754" s="1">
        <v>14</v>
      </c>
      <c r="I1754" s="1">
        <v>0</v>
      </c>
      <c r="J1754" s="1">
        <v>0</v>
      </c>
      <c r="K1754" s="2">
        <v>24.0</v>
      </c>
    </row>
    <row r="1755" spans="1:12">
      <c r="A1755" s="3" t="s">
        <v>1750</v>
      </c>
      <c r="B1755" s="3" t="s">
        <v>1783</v>
      </c>
      <c r="C1755" s="3" t="s">
        <v>1048</v>
      </c>
      <c r="D1755" s="3"/>
      <c r="E1755" s="2" t="str">
        <f>HYPERLINK("https://old.ukr-mobil.com/displej_lenovo_tab_4_10_tb-x304l_s_tachskrinom_white_11472", "Перейти")</f>
        <v>Перейти</v>
      </c>
      <c r="F1755" s="2">
        <v>11472</v>
      </c>
      <c r="G1755" s="4" t="s">
        <v>1867</v>
      </c>
      <c r="H1755" s="1">
        <v>0</v>
      </c>
      <c r="I1755" s="1">
        <v>0</v>
      </c>
      <c r="J1755" s="1">
        <v>0</v>
      </c>
      <c r="K1755" s="2">
        <v>39.31</v>
      </c>
    </row>
    <row r="1756" spans="1:12">
      <c r="A1756" s="3" t="s">
        <v>1750</v>
      </c>
      <c r="B1756" s="3" t="s">
        <v>1783</v>
      </c>
      <c r="C1756" s="3" t="s">
        <v>1048</v>
      </c>
      <c r="D1756" s="3"/>
      <c r="E1756" s="2" t="str">
        <f>HYPERLINK("https://old.ukr-mobil.com/displej_lenovo_tab_4_7_essential_tb-7304f_187_97mm_s_tachskrinom_black_10312", "Перейти")</f>
        <v>Перейти</v>
      </c>
      <c r="F1756" s="2">
        <v>10312</v>
      </c>
      <c r="G1756" s="4" t="s">
        <v>1868</v>
      </c>
      <c r="H1756" s="1">
        <v>0</v>
      </c>
      <c r="I1756" s="1">
        <v>0</v>
      </c>
      <c r="J1756" s="1">
        <v>0</v>
      </c>
      <c r="K1756" s="2">
        <v>20.0</v>
      </c>
    </row>
    <row r="1757" spans="1:12">
      <c r="A1757" s="3" t="s">
        <v>1750</v>
      </c>
      <c r="B1757" s="3" t="s">
        <v>1783</v>
      </c>
      <c r="C1757" s="3" t="s">
        <v>1048</v>
      </c>
      <c r="D1757" s="3"/>
      <c r="E1757" s="2" t="str">
        <f>HYPERLINK("https://old.ukr-mobil.com/displej_lenovo_tab_4_8_plus_tb-8704x_s_tachskrinom_black_10391", "Перейти")</f>
        <v>Перейти</v>
      </c>
      <c r="F1757" s="2">
        <v>10391</v>
      </c>
      <c r="G1757" s="4" t="s">
        <v>1869</v>
      </c>
      <c r="H1757" s="1">
        <v>7</v>
      </c>
      <c r="I1757" s="1">
        <v>4</v>
      </c>
      <c r="J1757" s="1">
        <v>1</v>
      </c>
      <c r="K1757" s="2">
        <v>24.0</v>
      </c>
    </row>
    <row r="1758" spans="1:12">
      <c r="A1758" s="3" t="s">
        <v>1750</v>
      </c>
      <c r="B1758" s="3" t="s">
        <v>1783</v>
      </c>
      <c r="C1758" s="3" t="s">
        <v>1048</v>
      </c>
      <c r="D1758" s="3"/>
      <c r="E1758" s="2" t="str">
        <f>HYPERLINK("https://old.ukr-mobil.com/displej_lenovo_tab_4_8_tb-8504f_s_tachskrinom_black_10392", "Перейти")</f>
        <v>Перейти</v>
      </c>
      <c r="F1758" s="2">
        <v>10392</v>
      </c>
      <c r="G1758" s="4" t="s">
        <v>1870</v>
      </c>
      <c r="H1758" s="1">
        <v>4</v>
      </c>
      <c r="I1758" s="1">
        <v>1</v>
      </c>
      <c r="J1758" s="1">
        <v>2</v>
      </c>
      <c r="K1758" s="2">
        <v>15.0</v>
      </c>
    </row>
    <row r="1759" spans="1:12">
      <c r="A1759" s="3" t="s">
        <v>1750</v>
      </c>
      <c r="B1759" s="3" t="s">
        <v>1783</v>
      </c>
      <c r="C1759" s="3" t="s">
        <v>1048</v>
      </c>
      <c r="D1759" s="3"/>
      <c r="E1759" s="2" t="str">
        <f>HYPERLINK("https://old.ukr-mobil.com/displej_lenovo_tab_4_tb-7504x_lte_s_tachskrinom_original_prc_black_11464", "Перейти")</f>
        <v>Перейти</v>
      </c>
      <c r="F1759" s="2">
        <v>11464</v>
      </c>
      <c r="G1759" s="4" t="s">
        <v>1871</v>
      </c>
      <c r="H1759" s="1">
        <v>4</v>
      </c>
      <c r="I1759" s="1">
        <v>1</v>
      </c>
      <c r="J1759" s="1">
        <v>2</v>
      </c>
      <c r="K1759" s="2">
        <v>16.0</v>
      </c>
    </row>
    <row r="1760" spans="1:12">
      <c r="A1760" s="3" t="s">
        <v>1750</v>
      </c>
      <c r="B1760" s="3" t="s">
        <v>1783</v>
      </c>
      <c r="C1760" s="3" t="s">
        <v>1048</v>
      </c>
      <c r="D1760" s="3"/>
      <c r="E1760" s="2" t="str">
        <f>HYPERLINK("https://old.ukr-mobil.com/displej_lenovo_tab_4_tb-7504x_lte_s_tachskrinom_original_prc_white_11473", "Перейти")</f>
        <v>Перейти</v>
      </c>
      <c r="F1760" s="2">
        <v>11473</v>
      </c>
      <c r="G1760" s="4" t="s">
        <v>1872</v>
      </c>
      <c r="H1760" s="1">
        <v>0</v>
      </c>
      <c r="I1760" s="1">
        <v>0</v>
      </c>
      <c r="J1760" s="1">
        <v>0</v>
      </c>
      <c r="K1760" s="2">
        <v>20.5</v>
      </c>
    </row>
    <row r="1761" spans="1:12">
      <c r="A1761" s="3" t="s">
        <v>1750</v>
      </c>
      <c r="B1761" s="3" t="s">
        <v>1783</v>
      </c>
      <c r="C1761" s="3" t="s">
        <v>1048</v>
      </c>
      <c r="D1761" s="3"/>
      <c r="E1761" s="2" t="str">
        <f>HYPERLINK("https://old.ukr-mobil.com/displej_lenovo_tab_m10_3rd_gen_tb328_s_tachskrinom_original_black_10003547", "Перейти")</f>
        <v>Перейти</v>
      </c>
      <c r="F1761" s="2">
        <v>10003547</v>
      </c>
      <c r="G1761" s="4" t="s">
        <v>1873</v>
      </c>
      <c r="H1761" s="1">
        <v>0</v>
      </c>
      <c r="I1761" s="1">
        <v>0</v>
      </c>
      <c r="J1761" s="1">
        <v>0</v>
      </c>
      <c r="K1761" s="2">
        <v>44.0</v>
      </c>
    </row>
    <row r="1762" spans="1:12">
      <c r="A1762" s="3" t="s">
        <v>1750</v>
      </c>
      <c r="B1762" s="3" t="s">
        <v>1783</v>
      </c>
      <c r="C1762" s="3" t="s">
        <v>1048</v>
      </c>
      <c r="D1762" s="3"/>
      <c r="E1762" s="2" t="str">
        <f>HYPERLINK("https://old.ukr-mobil.com/displej_lenovo_tab_m10_hd_2_gen_x306f_x306x_s_tachskrinom_original_prc_black_10003604", "Перейти")</f>
        <v>Перейти</v>
      </c>
      <c r="F1762" s="2">
        <v>10003604</v>
      </c>
      <c r="G1762" s="4" t="s">
        <v>1874</v>
      </c>
      <c r="H1762" s="1">
        <v>0</v>
      </c>
      <c r="I1762" s="1">
        <v>0</v>
      </c>
      <c r="J1762" s="1">
        <v>0</v>
      </c>
      <c r="K1762" s="2">
        <v>28.0</v>
      </c>
    </row>
    <row r="1763" spans="1:12">
      <c r="A1763" s="3" t="s">
        <v>1750</v>
      </c>
      <c r="B1763" s="3" t="s">
        <v>1783</v>
      </c>
      <c r="C1763" s="3" t="s">
        <v>1048</v>
      </c>
      <c r="D1763" s="3"/>
      <c r="E1763" s="2" t="str">
        <f>HYPERLINK("https://old.ukr-mobil.com/displej_lenovo_tab_m10_hd_2_gen_x306f_x306x_s_tachskrinom_original_black_10003548", "Перейти")</f>
        <v>Перейти</v>
      </c>
      <c r="F1763" s="2">
        <v>10003548</v>
      </c>
      <c r="G1763" s="4" t="s">
        <v>1875</v>
      </c>
      <c r="H1763" s="1">
        <v>0</v>
      </c>
      <c r="I1763" s="1">
        <v>0</v>
      </c>
      <c r="J1763" s="1">
        <v>0</v>
      </c>
      <c r="K1763" s="2">
        <v>36.0</v>
      </c>
    </row>
    <row r="1764" spans="1:12">
      <c r="A1764" s="3" t="s">
        <v>1750</v>
      </c>
      <c r="B1764" s="3" t="s">
        <v>1783</v>
      </c>
      <c r="C1764" s="3" t="s">
        <v>1048</v>
      </c>
      <c r="D1764" s="3"/>
      <c r="E1764" s="2" t="str">
        <f>HYPERLINK("https://old.ukr-mobil.com/displej_lenovo_tab_m10_plus_3rd_gen_tb125_tb128_s_tachskrinom_original_black_10003546", "Перейти")</f>
        <v>Перейти</v>
      </c>
      <c r="F1764" s="2">
        <v>10003546</v>
      </c>
      <c r="G1764" s="4" t="s">
        <v>1876</v>
      </c>
      <c r="H1764" s="1">
        <v>0</v>
      </c>
      <c r="I1764" s="1">
        <v>0</v>
      </c>
      <c r="J1764" s="1">
        <v>0</v>
      </c>
      <c r="K1764" s="2">
        <v>46.0</v>
      </c>
    </row>
    <row r="1765" spans="1:12">
      <c r="A1765" s="3" t="s">
        <v>1750</v>
      </c>
      <c r="B1765" s="3" t="s">
        <v>1783</v>
      </c>
      <c r="C1765" s="3" t="s">
        <v>1048</v>
      </c>
      <c r="D1765" s="3"/>
      <c r="E1765" s="2" t="str">
        <f>HYPERLINK("https://old.ukr-mobil.com/displej_lenovo_tab_m10_plus_fhd_tb-x606f_s_tachskrinom_original_black_10002241", "Перейти")</f>
        <v>Перейти</v>
      </c>
      <c r="F1765" s="2">
        <v>10002241</v>
      </c>
      <c r="G1765" s="4" t="s">
        <v>1877</v>
      </c>
      <c r="H1765" s="1">
        <v>0</v>
      </c>
      <c r="I1765" s="1">
        <v>0</v>
      </c>
      <c r="J1765" s="1">
        <v>0</v>
      </c>
      <c r="K1765" s="2">
        <v>23.0</v>
      </c>
    </row>
    <row r="1766" spans="1:12">
      <c r="A1766" s="3" t="s">
        <v>1750</v>
      </c>
      <c r="B1766" s="3" t="s">
        <v>1783</v>
      </c>
      <c r="C1766" s="3" t="s">
        <v>1048</v>
      </c>
      <c r="D1766" s="3"/>
      <c r="E1766" s="2" t="str">
        <f>HYPERLINK("https://old.ukr-mobil.com/displej_lenovo_tab_m10_tb-x605_s_tachskrinom_original_black_10001141", "Перейти")</f>
        <v>Перейти</v>
      </c>
      <c r="F1766" s="2">
        <v>10001141</v>
      </c>
      <c r="G1766" s="4" t="s">
        <v>1878</v>
      </c>
      <c r="H1766" s="1">
        <v>1</v>
      </c>
      <c r="I1766" s="1">
        <v>2</v>
      </c>
      <c r="J1766" s="1">
        <v>2</v>
      </c>
      <c r="K1766" s="2">
        <v>28.0</v>
      </c>
    </row>
    <row r="1767" spans="1:12">
      <c r="A1767" s="3" t="s">
        <v>1750</v>
      </c>
      <c r="B1767" s="3" t="s">
        <v>1783</v>
      </c>
      <c r="C1767" s="3" t="s">
        <v>1048</v>
      </c>
      <c r="D1767" s="3"/>
      <c r="E1767" s="2" t="str">
        <f>HYPERLINK("https://old.ukr-mobil.com/displej_lenovo_tab_m7_7305_s_tachskrinom_original_black_10001140", "Перейти")</f>
        <v>Перейти</v>
      </c>
      <c r="F1767" s="2">
        <v>10001140</v>
      </c>
      <c r="G1767" s="4" t="s">
        <v>1879</v>
      </c>
      <c r="H1767" s="1">
        <v>5</v>
      </c>
      <c r="I1767" s="1">
        <v>1</v>
      </c>
      <c r="J1767" s="1">
        <v>1</v>
      </c>
      <c r="K1767" s="2">
        <v>16.0</v>
      </c>
    </row>
    <row r="1768" spans="1:12">
      <c r="A1768" s="3" t="s">
        <v>1750</v>
      </c>
      <c r="B1768" s="3" t="s">
        <v>1783</v>
      </c>
      <c r="C1768" s="3" t="s">
        <v>1048</v>
      </c>
      <c r="D1768" s="3"/>
      <c r="E1768" s="2" t="str">
        <f>HYPERLINK("https://old.ukr-mobil.com/displej_lenovo_tab_m8_tb-8505f_tb-8505x_s_tachskrinom_original_black_10002242", "Перейти")</f>
        <v>Перейти</v>
      </c>
      <c r="F1768" s="2">
        <v>10002242</v>
      </c>
      <c r="G1768" s="4" t="s">
        <v>1880</v>
      </c>
      <c r="H1768" s="1">
        <v>0</v>
      </c>
      <c r="I1768" s="1">
        <v>0</v>
      </c>
      <c r="J1768" s="1">
        <v>0</v>
      </c>
      <c r="K1768" s="2">
        <v>17.0</v>
      </c>
    </row>
    <row r="1769" spans="1:12">
      <c r="A1769" s="3" t="s">
        <v>1750</v>
      </c>
      <c r="B1769" s="3" t="s">
        <v>1783</v>
      </c>
      <c r="C1769" s="3" t="s">
        <v>1048</v>
      </c>
      <c r="D1769" s="3"/>
      <c r="E1769" s="2" t="str">
        <f>HYPERLINK("https://old.ukr-mobil.com/displej_lenovo_tab_m8_fhd_tb-8705f_s_tachskrinom_original_black_10002261", "Перейти")</f>
        <v>Перейти</v>
      </c>
      <c r="F1769" s="2">
        <v>10002261</v>
      </c>
      <c r="G1769" s="4" t="s">
        <v>1881</v>
      </c>
      <c r="H1769" s="1">
        <v>4</v>
      </c>
      <c r="I1769" s="1">
        <v>3</v>
      </c>
      <c r="J1769" s="1">
        <v>1</v>
      </c>
      <c r="K1769" s="2">
        <v>22.0</v>
      </c>
    </row>
    <row r="1770" spans="1:12">
      <c r="A1770" s="3" t="s">
        <v>1750</v>
      </c>
      <c r="B1770" s="3" t="s">
        <v>1783</v>
      </c>
      <c r="C1770" s="3" t="s">
        <v>1048</v>
      </c>
      <c r="D1770" s="3"/>
      <c r="E1770" s="2" t="str">
        <f>HYPERLINK("https://old.ukr-mobil.com/displej_lenovo_tab_p10_tb-x705_s_tachskrinom_original_black_10003550", "Перейти")</f>
        <v>Перейти</v>
      </c>
      <c r="F1770" s="2">
        <v>10003550</v>
      </c>
      <c r="G1770" s="4" t="s">
        <v>1882</v>
      </c>
      <c r="H1770" s="1">
        <v>9</v>
      </c>
      <c r="I1770" s="1">
        <v>5</v>
      </c>
      <c r="J1770" s="1">
        <v>2</v>
      </c>
      <c r="K1770" s="2">
        <v>26.0</v>
      </c>
    </row>
    <row r="1771" spans="1:12">
      <c r="A1771" s="3" t="s">
        <v>1750</v>
      </c>
      <c r="B1771" s="3" t="s">
        <v>1783</v>
      </c>
      <c r="C1771" s="3" t="s">
        <v>1048</v>
      </c>
      <c r="D1771" s="3"/>
      <c r="E1771" s="2" t="str">
        <f>HYPERLINK("https://old.ukr-mobil.com/displej_lenovo_tab_p11_tb-j606f_tab_p11_plus_tb-j616f_s_tachskrinom_original_black_10003549", "Перейти")</f>
        <v>Перейти</v>
      </c>
      <c r="F1771" s="2">
        <v>10003549</v>
      </c>
      <c r="G1771" s="4" t="s">
        <v>1883</v>
      </c>
      <c r="H1771" s="1">
        <v>0</v>
      </c>
      <c r="I1771" s="1">
        <v>0</v>
      </c>
      <c r="J1771" s="1">
        <v>0</v>
      </c>
      <c r="K1771" s="2">
        <v>50.0</v>
      </c>
    </row>
    <row r="1772" spans="1:12">
      <c r="A1772" s="3" t="s">
        <v>1750</v>
      </c>
      <c r="B1772" s="3" t="s">
        <v>1783</v>
      </c>
      <c r="C1772" s="3" t="s">
        <v>1048</v>
      </c>
      <c r="D1772" s="3"/>
      <c r="E1772" s="2" t="str">
        <f>HYPERLINK("https://old.ukr-mobil.com/displej_lenovo_tab_s8-50_s_tachskrinom_black_7172", "Перейти")</f>
        <v>Перейти</v>
      </c>
      <c r="F1772" s="2">
        <v>7172</v>
      </c>
      <c r="G1772" s="4" t="s">
        <v>1884</v>
      </c>
      <c r="H1772" s="1">
        <v>1</v>
      </c>
      <c r="I1772" s="1">
        <v>0</v>
      </c>
      <c r="J1772" s="1">
        <v>0</v>
      </c>
      <c r="K1772" s="2">
        <v>20.0</v>
      </c>
    </row>
    <row r="1773" spans="1:12">
      <c r="A1773" s="3" t="s">
        <v>1750</v>
      </c>
      <c r="B1773" s="3" t="s">
        <v>1783</v>
      </c>
      <c r="C1773" s="3" t="s">
        <v>1048</v>
      </c>
      <c r="D1773" s="3"/>
      <c r="E1773" s="2" t="str">
        <f>HYPERLINK("https://old.ukr-mobil.com/displej_lenovo_tab_s8-50f_5757", "Перейти")</f>
        <v>Перейти</v>
      </c>
      <c r="F1773" s="2">
        <v>5757</v>
      </c>
      <c r="G1773" s="4" t="s">
        <v>1885</v>
      </c>
      <c r="H1773" s="1">
        <v>0</v>
      </c>
      <c r="I1773" s="1">
        <v>0</v>
      </c>
      <c r="J1773" s="1">
        <v>0</v>
      </c>
      <c r="K1773" s="2">
        <v>28.22</v>
      </c>
    </row>
    <row r="1774" spans="1:12">
      <c r="A1774" s="3" t="s">
        <v>1750</v>
      </c>
      <c r="B1774" s="3" t="s">
        <v>1783</v>
      </c>
      <c r="C1774" s="3" t="s">
        <v>1048</v>
      </c>
      <c r="D1774" s="3"/>
      <c r="E1774" s="2" t="str">
        <f>HYPERLINK("https://old.ukr-mobil.com/displej_lenovo_yoga_tablet_2_1050l_s_tachskrinom_black_7171", "Перейти")</f>
        <v>Перейти</v>
      </c>
      <c r="F1774" s="2">
        <v>7171</v>
      </c>
      <c r="G1774" s="4" t="s">
        <v>1886</v>
      </c>
      <c r="H1774" s="1">
        <v>0</v>
      </c>
      <c r="I1774" s="1">
        <v>0</v>
      </c>
      <c r="J1774" s="1">
        <v>0</v>
      </c>
      <c r="K1774" s="2">
        <v>44.0</v>
      </c>
    </row>
    <row r="1775" spans="1:12">
      <c r="A1775" s="3" t="s">
        <v>1750</v>
      </c>
      <c r="B1775" s="3" t="s">
        <v>1783</v>
      </c>
      <c r="C1775" s="3" t="s">
        <v>1048</v>
      </c>
      <c r="D1775" s="3"/>
      <c r="E1775" s="2" t="str">
        <f>HYPERLINK("https://old.ukr-mobil.com/displej_lenovo_yoga_tablet_3_pro_yt3-x90l_yt3-x90f_yt3-x90x_x90l_s_tachskrinom_black_10057", "Перейти")</f>
        <v>Перейти</v>
      </c>
      <c r="F1775" s="2">
        <v>10057</v>
      </c>
      <c r="G1775" s="4" t="s">
        <v>1887</v>
      </c>
      <c r="H1775" s="1">
        <v>1</v>
      </c>
      <c r="I1775" s="1">
        <v>0</v>
      </c>
      <c r="J1775" s="1">
        <v>0</v>
      </c>
      <c r="K1775" s="2">
        <v>27.0</v>
      </c>
    </row>
    <row r="1776" spans="1:12">
      <c r="A1776" s="3" t="s">
        <v>1750</v>
      </c>
      <c r="B1776" s="3" t="s">
        <v>1783</v>
      </c>
      <c r="C1776" s="3" t="s">
        <v>1048</v>
      </c>
      <c r="D1776" s="3"/>
      <c r="E1776" s="2" t="str">
        <f>HYPERLINK("https://old.ukr-mobil.com/displej_lenovo_yoga_tablet_3-850f_s_tachskrinom_black_8509", "Перейти")</f>
        <v>Перейти</v>
      </c>
      <c r="F1776" s="2">
        <v>8509</v>
      </c>
      <c r="G1776" s="4" t="s">
        <v>1888</v>
      </c>
      <c r="H1776" s="1">
        <v>0</v>
      </c>
      <c r="I1776" s="1">
        <v>0</v>
      </c>
      <c r="J1776" s="1">
        <v>0</v>
      </c>
      <c r="K1776" s="2">
        <v>32.26</v>
      </c>
    </row>
    <row r="1777" spans="1:12">
      <c r="A1777" s="3" t="s">
        <v>1750</v>
      </c>
      <c r="B1777" s="3" t="s">
        <v>1783</v>
      </c>
      <c r="C1777" s="3" t="s">
        <v>1048</v>
      </c>
      <c r="D1777" s="3"/>
      <c r="E1777" s="2" t="str">
        <f>HYPERLINK("https://old.ukr-mobil.com/displej_lenovo_yoga_tablet_b6000_s_tachskrinom_black_4899", "Перейти")</f>
        <v>Перейти</v>
      </c>
      <c r="F1777" s="2">
        <v>4899</v>
      </c>
      <c r="G1777" s="4" t="s">
        <v>1889</v>
      </c>
      <c r="H1777" s="1">
        <v>0</v>
      </c>
      <c r="I1777" s="1">
        <v>0</v>
      </c>
      <c r="J1777" s="1">
        <v>0</v>
      </c>
      <c r="K1777" s="2">
        <v>36.29</v>
      </c>
    </row>
    <row r="1778" spans="1:12">
      <c r="A1778" s="3" t="s">
        <v>1750</v>
      </c>
      <c r="B1778" s="3" t="s">
        <v>1783</v>
      </c>
      <c r="C1778" s="3" t="s">
        <v>1048</v>
      </c>
      <c r="D1778" s="3"/>
      <c r="E1778" s="2" t="str">
        <f>HYPERLINK("https://old.ukr-mobil.com/displej_lenovo_yoga_tablet_b8000_s_tachskrinom_black_4900", "Перейти")</f>
        <v>Перейти</v>
      </c>
      <c r="F1778" s="2">
        <v>4900</v>
      </c>
      <c r="G1778" s="4" t="s">
        <v>1890</v>
      </c>
      <c r="H1778" s="1">
        <v>1</v>
      </c>
      <c r="I1778" s="1">
        <v>0</v>
      </c>
      <c r="J1778" s="1">
        <v>0</v>
      </c>
      <c r="K1778" s="2">
        <v>21.6</v>
      </c>
    </row>
    <row r="1779" spans="1:12">
      <c r="A1779" s="3" t="s">
        <v>1750</v>
      </c>
      <c r="B1779" s="3" t="s">
        <v>1783</v>
      </c>
      <c r="C1779" s="3" t="s">
        <v>1056</v>
      </c>
      <c r="D1779" s="3"/>
      <c r="E1779" s="2" t="str">
        <f>HYPERLINK("https://old.ukr-mobil.com/displej_lg_v400_g_pad_7_0_s_tachskrinom_5467", "Перейти")</f>
        <v>Перейти</v>
      </c>
      <c r="F1779" s="2">
        <v>5467</v>
      </c>
      <c r="G1779" s="4" t="s">
        <v>1891</v>
      </c>
      <c r="H1779" s="1">
        <v>0</v>
      </c>
      <c r="I1779" s="1">
        <v>0</v>
      </c>
      <c r="J1779" s="1">
        <v>0</v>
      </c>
      <c r="K1779" s="2">
        <v>27.22</v>
      </c>
    </row>
    <row r="1780" spans="1:12">
      <c r="A1780" s="3" t="s">
        <v>1750</v>
      </c>
      <c r="B1780" s="3" t="s">
        <v>1783</v>
      </c>
      <c r="C1780" s="3" t="s">
        <v>1056</v>
      </c>
      <c r="D1780" s="3"/>
      <c r="E1780" s="2" t="str">
        <f>HYPERLINK("https://old.ukr-mobil.com/displej_lg_v480_v490_g_pad_8_0_s_tachskrinom_black_5737", "Перейти")</f>
        <v>Перейти</v>
      </c>
      <c r="F1780" s="2">
        <v>5737</v>
      </c>
      <c r="G1780" s="4" t="s">
        <v>1892</v>
      </c>
      <c r="H1780" s="1">
        <v>0</v>
      </c>
      <c r="I1780" s="1">
        <v>0</v>
      </c>
      <c r="J1780" s="1">
        <v>0</v>
      </c>
      <c r="K1780" s="2">
        <v>30.0</v>
      </c>
    </row>
    <row r="1781" spans="1:12">
      <c r="A1781" s="3" t="s">
        <v>1750</v>
      </c>
      <c r="B1781" s="3" t="s">
        <v>1783</v>
      </c>
      <c r="C1781" s="3" t="s">
        <v>1056</v>
      </c>
      <c r="D1781" s="3"/>
      <c r="E1781" s="2" t="str">
        <f>HYPERLINK("https://old.ukr-mobil.com/displej_lg_v500_g_pad_8_3_3g_s_tachskrinom_white_5679", "Перейти")</f>
        <v>Перейти</v>
      </c>
      <c r="F1781" s="2">
        <v>5679</v>
      </c>
      <c r="G1781" s="4" t="s">
        <v>1893</v>
      </c>
      <c r="H1781" s="1">
        <v>0</v>
      </c>
      <c r="I1781" s="1">
        <v>0</v>
      </c>
      <c r="J1781" s="1">
        <v>0</v>
      </c>
      <c r="K1781" s="2">
        <v>46.37</v>
      </c>
    </row>
    <row r="1782" spans="1:12">
      <c r="A1782" s="3" t="s">
        <v>1750</v>
      </c>
      <c r="B1782" s="3" t="s">
        <v>1783</v>
      </c>
      <c r="C1782" s="3" t="s">
        <v>1056</v>
      </c>
      <c r="D1782" s="3"/>
      <c r="E1782" s="2" t="str">
        <f>HYPERLINK("https://old.ukr-mobil.com/displej_lg_v500_g_pad_8_3_wi-fi_s_tachskrinom_black_verizon_5466", "Перейти")</f>
        <v>Перейти</v>
      </c>
      <c r="F1782" s="2">
        <v>5466</v>
      </c>
      <c r="G1782" s="4" t="s">
        <v>1894</v>
      </c>
      <c r="H1782" s="1">
        <v>0</v>
      </c>
      <c r="I1782" s="1">
        <v>0</v>
      </c>
      <c r="J1782" s="1">
        <v>0</v>
      </c>
      <c r="K1782" s="2">
        <v>42.34</v>
      </c>
    </row>
    <row r="1783" spans="1:12">
      <c r="A1783" s="3" t="s">
        <v>1750</v>
      </c>
      <c r="B1783" s="3" t="s">
        <v>1783</v>
      </c>
      <c r="C1783" s="3" t="s">
        <v>1056</v>
      </c>
      <c r="D1783" s="3"/>
      <c r="E1783" s="2" t="str">
        <f>HYPERLINK("https://old.ukr-mobil.com/displej_lg_v500_g_pad_8_3_wi-fi_s_tachskrinom_ramkoj_white_6219", "Перейти")</f>
        <v>Перейти</v>
      </c>
      <c r="F1783" s="2">
        <v>6219</v>
      </c>
      <c r="G1783" s="4" t="s">
        <v>1895</v>
      </c>
      <c r="H1783" s="1">
        <v>0</v>
      </c>
      <c r="I1783" s="1">
        <v>0</v>
      </c>
      <c r="J1783" s="1">
        <v>0</v>
      </c>
      <c r="K1783" s="2">
        <v>50.4</v>
      </c>
    </row>
    <row r="1784" spans="1:12">
      <c r="A1784" s="3" t="s">
        <v>1750</v>
      </c>
      <c r="B1784" s="3" t="s">
        <v>1783</v>
      </c>
      <c r="C1784" s="3" t="s">
        <v>1056</v>
      </c>
      <c r="D1784" s="3"/>
      <c r="E1784" s="2" t="str">
        <f>HYPERLINK("https://old.ukr-mobil.com/displej_lg_v700_g_pad_10_1_s_tachskrinom_black_6178", "Перейти")</f>
        <v>Перейти</v>
      </c>
      <c r="F1784" s="2">
        <v>6178</v>
      </c>
      <c r="G1784" s="4" t="s">
        <v>1896</v>
      </c>
      <c r="H1784" s="1">
        <v>0</v>
      </c>
      <c r="I1784" s="1">
        <v>0</v>
      </c>
      <c r="J1784" s="1">
        <v>0</v>
      </c>
      <c r="K1784" s="2">
        <v>96.77</v>
      </c>
    </row>
    <row r="1785" spans="1:12">
      <c r="A1785" s="3" t="s">
        <v>1750</v>
      </c>
      <c r="B1785" s="3" t="s">
        <v>1783</v>
      </c>
      <c r="C1785" s="3" t="s">
        <v>1066</v>
      </c>
      <c r="D1785" s="3"/>
      <c r="E1785" s="2" t="str">
        <f>HYPERLINK("https://old.ukr-mobil.com/displej_microsoft_surface_pro_1_5760", "Перейти")</f>
        <v>Перейти</v>
      </c>
      <c r="F1785" s="2">
        <v>5760</v>
      </c>
      <c r="G1785" s="4" t="s">
        <v>1897</v>
      </c>
      <c r="H1785" s="1">
        <v>0</v>
      </c>
      <c r="I1785" s="1">
        <v>0</v>
      </c>
      <c r="J1785" s="1">
        <v>0</v>
      </c>
      <c r="K1785" s="2">
        <v>64.51</v>
      </c>
    </row>
    <row r="1786" spans="1:12">
      <c r="A1786" s="3" t="s">
        <v>1750</v>
      </c>
      <c r="B1786" s="3" t="s">
        <v>1783</v>
      </c>
      <c r="C1786" s="3" t="s">
        <v>1066</v>
      </c>
      <c r="D1786" s="3"/>
      <c r="E1786" s="2" t="str">
        <f>HYPERLINK("https://old.ukr-mobil.com/displej_microsoft_surface_pro_2_5761", "Перейти")</f>
        <v>Перейти</v>
      </c>
      <c r="F1786" s="2">
        <v>5761</v>
      </c>
      <c r="G1786" s="4" t="s">
        <v>1898</v>
      </c>
      <c r="H1786" s="1">
        <v>0</v>
      </c>
      <c r="I1786" s="1">
        <v>0</v>
      </c>
      <c r="J1786" s="1">
        <v>0</v>
      </c>
      <c r="K1786" s="2">
        <v>75.6</v>
      </c>
    </row>
    <row r="1787" spans="1:12">
      <c r="A1787" s="3" t="s">
        <v>1750</v>
      </c>
      <c r="B1787" s="3" t="s">
        <v>1783</v>
      </c>
      <c r="C1787" s="3" t="s">
        <v>1066</v>
      </c>
      <c r="D1787" s="3"/>
      <c r="E1787" s="2" t="str">
        <f>HYPERLINK("https://old.ukr-mobil.com/displej_microsoft_surface_pro_3_s_tachskrinom_9445", "Перейти")</f>
        <v>Перейти</v>
      </c>
      <c r="F1787" s="2">
        <v>9445</v>
      </c>
      <c r="G1787" s="4" t="s">
        <v>1899</v>
      </c>
      <c r="H1787" s="1">
        <v>0</v>
      </c>
      <c r="I1787" s="1">
        <v>0</v>
      </c>
      <c r="J1787" s="1">
        <v>0</v>
      </c>
      <c r="K1787" s="2">
        <v>125.66</v>
      </c>
    </row>
    <row r="1788" spans="1:12">
      <c r="A1788" s="3" t="s">
        <v>1750</v>
      </c>
      <c r="B1788" s="3" t="s">
        <v>1783</v>
      </c>
      <c r="C1788" s="3" t="s">
        <v>1066</v>
      </c>
      <c r="D1788" s="3"/>
      <c r="E1788" s="2" t="str">
        <f>HYPERLINK("https://old.ukr-mobil.com/displej_microsoft_surface_pro_4_s_tachskrinom_11936", "Перейти")</f>
        <v>Перейти</v>
      </c>
      <c r="F1788" s="2">
        <v>11936</v>
      </c>
      <c r="G1788" s="4" t="s">
        <v>1900</v>
      </c>
      <c r="H1788" s="1">
        <v>0</v>
      </c>
      <c r="I1788" s="1">
        <v>0</v>
      </c>
      <c r="J1788" s="1">
        <v>0</v>
      </c>
      <c r="K1788" s="2">
        <v>106.26</v>
      </c>
    </row>
    <row r="1789" spans="1:12">
      <c r="A1789" s="3" t="s">
        <v>1750</v>
      </c>
      <c r="B1789" s="3" t="s">
        <v>1783</v>
      </c>
      <c r="C1789" s="3" t="s">
        <v>1066</v>
      </c>
      <c r="D1789" s="3"/>
      <c r="E1789" s="2" t="str">
        <f>HYPERLINK("https://old.ukr-mobil.com/displej_microsoft_surface_rt1_5759", "Перейти")</f>
        <v>Перейти</v>
      </c>
      <c r="F1789" s="2">
        <v>5759</v>
      </c>
      <c r="G1789" s="4" t="s">
        <v>1901</v>
      </c>
      <c r="H1789" s="1">
        <v>2</v>
      </c>
      <c r="I1789" s="1">
        <v>0</v>
      </c>
      <c r="J1789" s="1">
        <v>0</v>
      </c>
      <c r="K1789" s="2">
        <v>25.5</v>
      </c>
    </row>
    <row r="1790" spans="1:12">
      <c r="A1790" s="3" t="s">
        <v>1750</v>
      </c>
      <c r="B1790" s="3" t="s">
        <v>1783</v>
      </c>
      <c r="C1790" s="3" t="s">
        <v>1902</v>
      </c>
      <c r="D1790" s="3"/>
      <c r="E1790" s="2" t="str">
        <f>HYPERLINK("https://old.ukr-mobil.com/displej_nomi_nomi_c070010_corsa_7_3g_1280x720_162_mm_103_mm_31_pin_n070ice-gb2_rev_b1_7936", "Перейти")</f>
        <v>Перейти</v>
      </c>
      <c r="F1790" s="2">
        <v>7936</v>
      </c>
      <c r="G1790" s="4" t="s">
        <v>1903</v>
      </c>
      <c r="H1790" s="1">
        <v>0</v>
      </c>
      <c r="I1790" s="1">
        <v>0</v>
      </c>
      <c r="J1790" s="1">
        <v>0</v>
      </c>
      <c r="K1790" s="2">
        <v>20.16</v>
      </c>
    </row>
    <row r="1791" spans="1:12">
      <c r="A1791" s="3" t="s">
        <v>1750</v>
      </c>
      <c r="B1791" s="3" t="s">
        <v>1783</v>
      </c>
      <c r="C1791" s="3" t="s">
        <v>1902</v>
      </c>
      <c r="D1791" s="3"/>
      <c r="E1791" s="2" t="str">
        <f>HYPERLINK("https://old.ukr-mobil.com/displej_nomi_c10104_terra_s_7593", "Перейти")</f>
        <v>Перейти</v>
      </c>
      <c r="F1791" s="2">
        <v>7593</v>
      </c>
      <c r="G1791" s="4" t="s">
        <v>1904</v>
      </c>
      <c r="H1791" s="1">
        <v>0</v>
      </c>
      <c r="I1791" s="1">
        <v>0</v>
      </c>
      <c r="J1791" s="1">
        <v>0</v>
      </c>
      <c r="K1791" s="2">
        <v>25.2</v>
      </c>
    </row>
    <row r="1792" spans="1:12">
      <c r="A1792" s="3" t="s">
        <v>1750</v>
      </c>
      <c r="B1792" s="3" t="s">
        <v>1783</v>
      </c>
      <c r="C1792" s="3" t="s">
        <v>1905</v>
      </c>
      <c r="D1792" s="3"/>
      <c r="E1792" s="2" t="str">
        <f>HYPERLINK("https://old.ukr-mobil.com/displej_realme_pad_mini_8_7_s_tachskrinom_original_black_10003553", "Перейти")</f>
        <v>Перейти</v>
      </c>
      <c r="F1792" s="2">
        <v>10003553</v>
      </c>
      <c r="G1792" s="4" t="s">
        <v>1906</v>
      </c>
      <c r="H1792" s="1">
        <v>0</v>
      </c>
      <c r="I1792" s="1">
        <v>0</v>
      </c>
      <c r="J1792" s="1">
        <v>0</v>
      </c>
      <c r="K1792" s="2">
        <v>29.0</v>
      </c>
    </row>
    <row r="1793" spans="1:12">
      <c r="A1793" s="3" t="s">
        <v>1750</v>
      </c>
      <c r="B1793" s="3" t="s">
        <v>1783</v>
      </c>
      <c r="C1793" s="3" t="s">
        <v>653</v>
      </c>
      <c r="D1793" s="3"/>
      <c r="E1793" s="2" t="str">
        <f>HYPERLINK("https://old.ukr-mobil.com/displej_samsung_a3000_p1000_p3100_p3110_p3200_p6200_t211_galaxy_tab_3_7_0_4514", "Перейти")</f>
        <v>Перейти</v>
      </c>
      <c r="F1793" s="2">
        <v>4514</v>
      </c>
      <c r="G1793" s="4" t="s">
        <v>1907</v>
      </c>
      <c r="H1793" s="1">
        <v>5</v>
      </c>
      <c r="I1793" s="1">
        <v>7</v>
      </c>
      <c r="J1793" s="1">
        <v>1</v>
      </c>
      <c r="K1793" s="2">
        <v>8.0</v>
      </c>
    </row>
    <row r="1794" spans="1:12">
      <c r="A1794" s="3" t="s">
        <v>1750</v>
      </c>
      <c r="B1794" s="3" t="s">
        <v>1783</v>
      </c>
      <c r="C1794" s="3" t="s">
        <v>653</v>
      </c>
      <c r="D1794" s="3"/>
      <c r="E1794" s="2" t="str">
        <f>HYPERLINK("https://old.ukr-mobil.com/displej_samsung_n8000_galaxy_note_n8010_galaxy_note_7715", "Перейти")</f>
        <v>Перейти</v>
      </c>
      <c r="F1794" s="2">
        <v>7715</v>
      </c>
      <c r="G1794" s="4" t="s">
        <v>1908</v>
      </c>
      <c r="H1794" s="1">
        <v>1</v>
      </c>
      <c r="I1794" s="1">
        <v>0</v>
      </c>
      <c r="J1794" s="1">
        <v>0</v>
      </c>
      <c r="K1794" s="2">
        <v>19.0</v>
      </c>
    </row>
    <row r="1795" spans="1:12">
      <c r="A1795" s="3" t="s">
        <v>1750</v>
      </c>
      <c r="B1795" s="3" t="s">
        <v>1783</v>
      </c>
      <c r="C1795" s="3" t="s">
        <v>653</v>
      </c>
      <c r="D1795" s="3"/>
      <c r="E1795" s="2" t="str">
        <f>HYPERLINK("https://old.ukr-mobil.com/displej_samsung_p355_galaxy_tab_a_8_0_s_tachskrinom_black_6182", "Перейти")</f>
        <v>Перейти</v>
      </c>
      <c r="F1795" s="2">
        <v>6182</v>
      </c>
      <c r="G1795" s="4" t="s">
        <v>1909</v>
      </c>
      <c r="H1795" s="1">
        <v>0</v>
      </c>
      <c r="I1795" s="1">
        <v>1</v>
      </c>
      <c r="J1795" s="1">
        <v>0</v>
      </c>
      <c r="K1795" s="2">
        <v>46.37</v>
      </c>
    </row>
    <row r="1796" spans="1:12">
      <c r="A1796" s="3" t="s">
        <v>1750</v>
      </c>
      <c r="B1796" s="3" t="s">
        <v>1783</v>
      </c>
      <c r="C1796" s="3" t="s">
        <v>653</v>
      </c>
      <c r="D1796" s="3"/>
      <c r="E1796" s="2" t="str">
        <f>HYPERLINK("https://old.ukr-mobil.com/displej_samsung_p5100_galaxy_tab2_p5110_galaxy_tab2_p5200_galaxy_tab3_p5210_galaxy_tab3_p7500_galaxy_tab_p7510_galaxy_tab_t530_galaxy_tab_4_1_9787", "Перейти")</f>
        <v>Перейти</v>
      </c>
      <c r="F1796" s="2">
        <v>9787</v>
      </c>
      <c r="G1796" s="4" t="s">
        <v>1910</v>
      </c>
      <c r="H1796" s="1">
        <v>1</v>
      </c>
      <c r="I1796" s="1">
        <v>1</v>
      </c>
      <c r="J1796" s="1">
        <v>0</v>
      </c>
      <c r="K1796" s="2">
        <v>22.0</v>
      </c>
    </row>
    <row r="1797" spans="1:12">
      <c r="A1797" s="3" t="s">
        <v>1750</v>
      </c>
      <c r="B1797" s="3" t="s">
        <v>1783</v>
      </c>
      <c r="C1797" s="3" t="s">
        <v>653</v>
      </c>
      <c r="D1797" s="3"/>
      <c r="E1797" s="2" t="str">
        <f>HYPERLINK("https://old.ukr-mobil.com/displej_samsung_p600_p605_galaxy_note_10_1_s_tachskrinom_black_4648", "Перейти")</f>
        <v>Перейти</v>
      </c>
      <c r="F1797" s="2">
        <v>4648</v>
      </c>
      <c r="G1797" s="4" t="s">
        <v>1911</v>
      </c>
      <c r="H1797" s="1">
        <v>4</v>
      </c>
      <c r="I1797" s="1">
        <v>0</v>
      </c>
      <c r="J1797" s="1">
        <v>0</v>
      </c>
      <c r="K1797" s="2">
        <v>40.0</v>
      </c>
    </row>
    <row r="1798" spans="1:12">
      <c r="A1798" s="3" t="s">
        <v>1750</v>
      </c>
      <c r="B1798" s="3" t="s">
        <v>1783</v>
      </c>
      <c r="C1798" s="3" t="s">
        <v>653</v>
      </c>
      <c r="D1798" s="3"/>
      <c r="E1798" s="2" t="str">
        <f>HYPERLINK("https://old.ukr-mobil.com/displej_samsung_p600_p605_galaxy_note_10_1_s_tachskrinom_white_4688", "Перейти")</f>
        <v>Перейти</v>
      </c>
      <c r="F1798" s="2">
        <v>4688</v>
      </c>
      <c r="G1798" s="4" t="s">
        <v>1912</v>
      </c>
      <c r="H1798" s="1">
        <v>0</v>
      </c>
      <c r="I1798" s="1">
        <v>0</v>
      </c>
      <c r="J1798" s="1">
        <v>0</v>
      </c>
      <c r="K1798" s="2">
        <v>107.18</v>
      </c>
    </row>
    <row r="1799" spans="1:12">
      <c r="A1799" s="3" t="s">
        <v>1750</v>
      </c>
      <c r="B1799" s="3" t="s">
        <v>1783</v>
      </c>
      <c r="C1799" s="3" t="s">
        <v>653</v>
      </c>
      <c r="D1799" s="3"/>
      <c r="E1799" s="2" t="str">
        <f>HYPERLINK("https://old.ukr-mobil.com/displej_samsung_p610_galaxy_tab_s6_lite_s_tachskrinom_black_original_10001143", "Перейти")</f>
        <v>Перейти</v>
      </c>
      <c r="F1799" s="2">
        <v>10001143</v>
      </c>
      <c r="G1799" s="4" t="s">
        <v>1913</v>
      </c>
      <c r="H1799" s="1">
        <v>0</v>
      </c>
      <c r="I1799" s="1">
        <v>0</v>
      </c>
      <c r="J1799" s="1">
        <v>0</v>
      </c>
      <c r="K1799" s="2">
        <v>24.0</v>
      </c>
    </row>
    <row r="1800" spans="1:12">
      <c r="A1800" s="3" t="s">
        <v>1750</v>
      </c>
      <c r="B1800" s="3" t="s">
        <v>1783</v>
      </c>
      <c r="C1800" s="3" t="s">
        <v>653</v>
      </c>
      <c r="D1800" s="3"/>
      <c r="E1800" s="2" t="str">
        <f>HYPERLINK("https://old.ukr-mobil.com/displej_samsung_p610_p613_p615_p617_p619_galaxy_tab_s6_lite_s_tachskrinom_original_black_10003545", "Перейти")</f>
        <v>Перейти</v>
      </c>
      <c r="F1800" s="2">
        <v>10003545</v>
      </c>
      <c r="G1800" s="4" t="s">
        <v>1914</v>
      </c>
      <c r="H1800" s="1">
        <v>0</v>
      </c>
      <c r="I1800" s="1">
        <v>0</v>
      </c>
      <c r="J1800" s="1">
        <v>0</v>
      </c>
      <c r="K1800" s="2">
        <v>57.0</v>
      </c>
    </row>
    <row r="1801" spans="1:12">
      <c r="A1801" s="3" t="s">
        <v>1750</v>
      </c>
      <c r="B1801" s="3" t="s">
        <v>1783</v>
      </c>
      <c r="C1801" s="3" t="s">
        <v>653</v>
      </c>
      <c r="D1801" s="3"/>
      <c r="E1801" s="2" t="str">
        <f>HYPERLINK("https://old.ukr-mobil.com/displej_samsung_t220_galaxy_tab_a7_lite_wi-fi_s_tachskrinom_original_prc_black_10002256", "Перейти")</f>
        <v>Перейти</v>
      </c>
      <c r="F1801" s="2">
        <v>10002256</v>
      </c>
      <c r="G1801" s="4" t="s">
        <v>1915</v>
      </c>
      <c r="H1801" s="1">
        <v>0</v>
      </c>
      <c r="I1801" s="1">
        <v>0</v>
      </c>
      <c r="J1801" s="1">
        <v>0</v>
      </c>
      <c r="K1801" s="2">
        <v>20.9</v>
      </c>
    </row>
    <row r="1802" spans="1:12">
      <c r="A1802" s="3" t="s">
        <v>1750</v>
      </c>
      <c r="B1802" s="3" t="s">
        <v>1783</v>
      </c>
      <c r="C1802" s="3" t="s">
        <v>653</v>
      </c>
      <c r="D1802" s="3"/>
      <c r="E1802" s="2" t="str">
        <f>HYPERLINK("https://old.ukr-mobil.com/displej_samsung_t225_galaxy_tab_a7_lite_lte_s_tachskrinom_original_prc_black_10002255", "Перейти")</f>
        <v>Перейти</v>
      </c>
      <c r="F1802" s="2">
        <v>10002255</v>
      </c>
      <c r="G1802" s="4" t="s">
        <v>1916</v>
      </c>
      <c r="H1802" s="1">
        <v>0</v>
      </c>
      <c r="I1802" s="1">
        <v>1</v>
      </c>
      <c r="J1802" s="1">
        <v>0</v>
      </c>
      <c r="K1802" s="2">
        <v>19.0</v>
      </c>
    </row>
    <row r="1803" spans="1:12">
      <c r="A1803" s="3" t="s">
        <v>1750</v>
      </c>
      <c r="B1803" s="3" t="s">
        <v>1783</v>
      </c>
      <c r="C1803" s="3" t="s">
        <v>653</v>
      </c>
      <c r="D1803" s="3"/>
      <c r="E1803" s="2" t="str">
        <f>HYPERLINK("https://old.ukr-mobil.com/displej_samsung_t230_galaxy_tab_4_7_0_t231_galaxy_tab_4_7_0_3g_t235_galaxy_tab_4_7_0_lte_7716", "Перейти")</f>
        <v>Перейти</v>
      </c>
      <c r="F1803" s="2">
        <v>7716</v>
      </c>
      <c r="G1803" s="4" t="s">
        <v>1917</v>
      </c>
      <c r="H1803" s="1">
        <v>0</v>
      </c>
      <c r="I1803" s="1">
        <v>0</v>
      </c>
      <c r="J1803" s="1">
        <v>0</v>
      </c>
      <c r="K1803" s="2">
        <v>25.0</v>
      </c>
    </row>
    <row r="1804" spans="1:12">
      <c r="A1804" s="3" t="s">
        <v>1750</v>
      </c>
      <c r="B1804" s="3" t="s">
        <v>1783</v>
      </c>
      <c r="C1804" s="3" t="s">
        <v>653</v>
      </c>
      <c r="D1804" s="3"/>
      <c r="E1804" s="2" t="str">
        <f>HYPERLINK("https://old.ukr-mobil.com/displej_samsung_t231_galaxy_tab_4_7_0_wi-fi_3g_s_tachskrinom_black_5753", "Перейти")</f>
        <v>Перейти</v>
      </c>
      <c r="F1804" s="2">
        <v>5753</v>
      </c>
      <c r="G1804" s="4" t="s">
        <v>1918</v>
      </c>
      <c r="H1804" s="1">
        <v>0</v>
      </c>
      <c r="I1804" s="1">
        <v>0</v>
      </c>
      <c r="J1804" s="1">
        <v>0</v>
      </c>
      <c r="K1804" s="2">
        <v>31.25</v>
      </c>
    </row>
    <row r="1805" spans="1:12">
      <c r="A1805" s="3" t="s">
        <v>1750</v>
      </c>
      <c r="B1805" s="3" t="s">
        <v>1783</v>
      </c>
      <c r="C1805" s="3" t="s">
        <v>653</v>
      </c>
      <c r="D1805" s="3"/>
      <c r="E1805" s="2" t="str">
        <f>HYPERLINK("https://old.ukr-mobil.com/displej_samsung_t231_galaxy_tab_4_7_0_wi-fi_3g_s_tachskrinom_white_5754", "Перейти")</f>
        <v>Перейти</v>
      </c>
      <c r="F1805" s="2">
        <v>5754</v>
      </c>
      <c r="G1805" s="4" t="s">
        <v>1919</v>
      </c>
      <c r="H1805" s="1">
        <v>0</v>
      </c>
      <c r="I1805" s="1">
        <v>0</v>
      </c>
      <c r="J1805" s="1">
        <v>0</v>
      </c>
      <c r="K1805" s="2">
        <v>38.0</v>
      </c>
    </row>
    <row r="1806" spans="1:12">
      <c r="A1806" s="3" t="s">
        <v>1750</v>
      </c>
      <c r="B1806" s="3" t="s">
        <v>1783</v>
      </c>
      <c r="C1806" s="3" t="s">
        <v>653</v>
      </c>
      <c r="D1806" s="3"/>
      <c r="E1806" s="2" t="str">
        <f>HYPERLINK("https://old.ukr-mobil.com/displej_samsung_t280_galaxy_tab_a_7_0_wifi_s_tachskrinom_black_9126", "Перейти")</f>
        <v>Перейти</v>
      </c>
      <c r="F1806" s="2">
        <v>9126</v>
      </c>
      <c r="G1806" s="4" t="s">
        <v>1920</v>
      </c>
      <c r="H1806" s="1">
        <v>6</v>
      </c>
      <c r="I1806" s="1">
        <v>0</v>
      </c>
      <c r="J1806" s="1">
        <v>2</v>
      </c>
      <c r="K1806" s="2">
        <v>9.0</v>
      </c>
    </row>
    <row r="1807" spans="1:12">
      <c r="A1807" s="3" t="s">
        <v>1750</v>
      </c>
      <c r="B1807" s="3" t="s">
        <v>1783</v>
      </c>
      <c r="C1807" s="3" t="s">
        <v>653</v>
      </c>
      <c r="D1807" s="3"/>
      <c r="E1807" s="2" t="str">
        <f>HYPERLINK("https://old.ukr-mobil.com/displej_samsung_t285_galaxy_tab_a_7_0_lte_s_tachskrinom_original_prc_black_7085", "Перейти")</f>
        <v>Перейти</v>
      </c>
      <c r="F1807" s="2">
        <v>7085</v>
      </c>
      <c r="G1807" s="4" t="s">
        <v>1921</v>
      </c>
      <c r="H1807" s="1">
        <v>14</v>
      </c>
      <c r="I1807" s="1">
        <v>5</v>
      </c>
      <c r="J1807" s="1">
        <v>5</v>
      </c>
      <c r="K1807" s="2">
        <v>19.0</v>
      </c>
    </row>
    <row r="1808" spans="1:12">
      <c r="A1808" s="3" t="s">
        <v>1750</v>
      </c>
      <c r="B1808" s="3" t="s">
        <v>1783</v>
      </c>
      <c r="C1808" s="3" t="s">
        <v>653</v>
      </c>
      <c r="D1808" s="3"/>
      <c r="E1808" s="2" t="str">
        <f>HYPERLINK("https://old.ukr-mobil.com/displej_samsung_t285_galaxy_tab_a_7_0_lte_s_tachskrinom_original_prc_white_7086", "Перейти")</f>
        <v>Перейти</v>
      </c>
      <c r="F1808" s="2">
        <v>7086</v>
      </c>
      <c r="G1808" s="4" t="s">
        <v>1922</v>
      </c>
      <c r="H1808" s="1">
        <v>2</v>
      </c>
      <c r="I1808" s="1">
        <v>0</v>
      </c>
      <c r="J1808" s="1">
        <v>0</v>
      </c>
      <c r="K1808" s="2">
        <v>18.0</v>
      </c>
    </row>
    <row r="1809" spans="1:12">
      <c r="A1809" s="3" t="s">
        <v>1750</v>
      </c>
      <c r="B1809" s="3" t="s">
        <v>1783</v>
      </c>
      <c r="C1809" s="3" t="s">
        <v>653</v>
      </c>
      <c r="D1809" s="3"/>
      <c r="E1809" s="2" t="str">
        <f>HYPERLINK("https://old.ukr-mobil.com/displej_samsung_t310_galaxy_tab_3_8_0_t3100_t311_t3110_t315_lte_versiya_wifi_s_tachskrinom_black_6740", "Перейти")</f>
        <v>Перейти</v>
      </c>
      <c r="F1809" s="2">
        <v>6740</v>
      </c>
      <c r="G1809" s="4" t="s">
        <v>1923</v>
      </c>
      <c r="H1809" s="1">
        <v>3</v>
      </c>
      <c r="I1809" s="1">
        <v>0</v>
      </c>
      <c r="J1809" s="1">
        <v>1</v>
      </c>
      <c r="K1809" s="2">
        <v>17.0</v>
      </c>
    </row>
    <row r="1810" spans="1:12">
      <c r="A1810" s="3" t="s">
        <v>1750</v>
      </c>
      <c r="B1810" s="3" t="s">
        <v>1783</v>
      </c>
      <c r="C1810" s="3" t="s">
        <v>653</v>
      </c>
      <c r="D1810" s="3"/>
      <c r="E1810" s="2" t="str">
        <f>HYPERLINK("https://old.ukr-mobil.com/displej_samsung_t310_galaxy_tab_3_8_0_t3100_t311_t3110_t315_lte_versiya_wifi_s_tachskrinom_white_4705", "Перейти")</f>
        <v>Перейти</v>
      </c>
      <c r="F1810" s="2">
        <v>4705</v>
      </c>
      <c r="G1810" s="4" t="s">
        <v>1924</v>
      </c>
      <c r="H1810" s="1">
        <v>3</v>
      </c>
      <c r="I1810" s="1">
        <v>2</v>
      </c>
      <c r="J1810" s="1">
        <v>2</v>
      </c>
      <c r="K1810" s="2">
        <v>12.65</v>
      </c>
    </row>
    <row r="1811" spans="1:12">
      <c r="A1811" s="3" t="s">
        <v>1750</v>
      </c>
      <c r="B1811" s="3" t="s">
        <v>1783</v>
      </c>
      <c r="C1811" s="3" t="s">
        <v>653</v>
      </c>
      <c r="D1811" s="3"/>
      <c r="E1811" s="2" t="str">
        <f>HYPERLINK("https://old.ukr-mobil.com/displej_samsung_t310_galaxy_tab_3_8_0_t3100_t311_t3110_t315_lte_versiya_3g_s_tachskrinom_black_4815", "Перейти")</f>
        <v>Перейти</v>
      </c>
      <c r="F1811" s="2">
        <v>4815</v>
      </c>
      <c r="G1811" s="4" t="s">
        <v>1925</v>
      </c>
      <c r="H1811" s="1">
        <v>1</v>
      </c>
      <c r="I1811" s="1">
        <v>0</v>
      </c>
      <c r="J1811" s="1">
        <v>0</v>
      </c>
      <c r="K1811" s="2">
        <v>23.85</v>
      </c>
    </row>
    <row r="1812" spans="1:12">
      <c r="A1812" s="3" t="s">
        <v>1750</v>
      </c>
      <c r="B1812" s="3" t="s">
        <v>1783</v>
      </c>
      <c r="C1812" s="3" t="s">
        <v>653</v>
      </c>
      <c r="D1812" s="3"/>
      <c r="E1812" s="2" t="str">
        <f>HYPERLINK("https://old.ukr-mobil.com/displej_samsung_t310_galaxy_tab_3_8_0_t3100_t311_t3110_t315_lte_versiya_3g_s_tachskrinom_white_4814", "Перейти")</f>
        <v>Перейти</v>
      </c>
      <c r="F1812" s="2">
        <v>4814</v>
      </c>
      <c r="G1812" s="4" t="s">
        <v>1926</v>
      </c>
      <c r="H1812" s="1">
        <v>1</v>
      </c>
      <c r="I1812" s="1">
        <v>0</v>
      </c>
      <c r="J1812" s="1">
        <v>0</v>
      </c>
      <c r="K1812" s="2">
        <v>25.0</v>
      </c>
    </row>
    <row r="1813" spans="1:12">
      <c r="A1813" s="3" t="s">
        <v>1750</v>
      </c>
      <c r="B1813" s="3" t="s">
        <v>1783</v>
      </c>
      <c r="C1813" s="3" t="s">
        <v>653</v>
      </c>
      <c r="D1813" s="3"/>
      <c r="E1813" s="2" t="str">
        <f>HYPERLINK("https://old.ukr-mobil.com/displej_samsung_t320_galaxy_tab_pro_8_4_wi-fi_s_tachskrinom_black_11303", "Перейти")</f>
        <v>Перейти</v>
      </c>
      <c r="F1813" s="2">
        <v>11303</v>
      </c>
      <c r="G1813" s="4" t="s">
        <v>1927</v>
      </c>
      <c r="H1813" s="1">
        <v>0</v>
      </c>
      <c r="I1813" s="1">
        <v>0</v>
      </c>
      <c r="J1813" s="1">
        <v>0</v>
      </c>
      <c r="K1813" s="2">
        <v>38.3</v>
      </c>
    </row>
    <row r="1814" spans="1:12">
      <c r="A1814" s="3" t="s">
        <v>1750</v>
      </c>
      <c r="B1814" s="3" t="s">
        <v>1783</v>
      </c>
      <c r="C1814" s="3" t="s">
        <v>653</v>
      </c>
      <c r="D1814" s="3"/>
      <c r="E1814" s="2" t="str">
        <f>HYPERLINK("https://old.ukr-mobil.com/displej_samsung_t321_galaxy_tab_pro_8_4_3g_t325_galaxy_tab_pro_8_4_lte_s_tachskrinom_original_prc_black_11470", "Перейти")</f>
        <v>Перейти</v>
      </c>
      <c r="F1814" s="2">
        <v>11470</v>
      </c>
      <c r="G1814" s="4" t="s">
        <v>1928</v>
      </c>
      <c r="H1814" s="1">
        <v>5</v>
      </c>
      <c r="I1814" s="1">
        <v>2</v>
      </c>
      <c r="J1814" s="1">
        <v>2</v>
      </c>
      <c r="K1814" s="2">
        <v>30.0</v>
      </c>
    </row>
    <row r="1815" spans="1:12">
      <c r="A1815" s="3" t="s">
        <v>1750</v>
      </c>
      <c r="B1815" s="3" t="s">
        <v>1783</v>
      </c>
      <c r="C1815" s="3" t="s">
        <v>653</v>
      </c>
      <c r="D1815" s="3"/>
      <c r="E1815" s="2" t="str">
        <f>HYPERLINK("https://old.ukr-mobil.com/displej_samsung_t321_galaxy_tab_pro_8_4_3g_t325_galaxy_tab_pro_8_4_lte_s_tachskrinom_original_prc_white_11471", "Перейти")</f>
        <v>Перейти</v>
      </c>
      <c r="F1815" s="2">
        <v>11471</v>
      </c>
      <c r="G1815" s="4" t="s">
        <v>1929</v>
      </c>
      <c r="H1815" s="1">
        <v>1</v>
      </c>
      <c r="I1815" s="1">
        <v>1</v>
      </c>
      <c r="J1815" s="1">
        <v>0</v>
      </c>
      <c r="K1815" s="2">
        <v>29.0</v>
      </c>
    </row>
    <row r="1816" spans="1:12">
      <c r="A1816" s="3" t="s">
        <v>1750</v>
      </c>
      <c r="B1816" s="3" t="s">
        <v>1783</v>
      </c>
      <c r="C1816" s="3" t="s">
        <v>653</v>
      </c>
      <c r="D1816" s="3"/>
      <c r="E1816" s="2" t="str">
        <f>HYPERLINK("https://old.ukr-mobil.com/displej_samsung_t330_galaxy_tab_4_8_0_wi-fi_s_tachskrinom_black_6191", "Перейти")</f>
        <v>Перейти</v>
      </c>
      <c r="F1816" s="2">
        <v>6191</v>
      </c>
      <c r="G1816" s="4" t="s">
        <v>1930</v>
      </c>
      <c r="H1816" s="1">
        <v>1</v>
      </c>
      <c r="I1816" s="1">
        <v>0</v>
      </c>
      <c r="J1816" s="1">
        <v>0</v>
      </c>
      <c r="K1816" s="2">
        <v>25.0</v>
      </c>
    </row>
    <row r="1817" spans="1:12">
      <c r="A1817" s="3" t="s">
        <v>1750</v>
      </c>
      <c r="B1817" s="3" t="s">
        <v>1783</v>
      </c>
      <c r="C1817" s="3" t="s">
        <v>653</v>
      </c>
      <c r="D1817" s="3"/>
      <c r="E1817" s="2" t="str">
        <f>HYPERLINK("https://old.ukr-mobil.com/displej_samsung_t330_galaxy_tab_4_8_0_wi-fi_s_tachskrinom_white_6192", "Перейти")</f>
        <v>Перейти</v>
      </c>
      <c r="F1817" s="2">
        <v>6192</v>
      </c>
      <c r="G1817" s="4" t="s">
        <v>1931</v>
      </c>
      <c r="H1817" s="1">
        <v>1</v>
      </c>
      <c r="I1817" s="1">
        <v>0</v>
      </c>
      <c r="J1817" s="1">
        <v>0</v>
      </c>
      <c r="K1817" s="2">
        <v>25.0</v>
      </c>
    </row>
    <row r="1818" spans="1:12">
      <c r="A1818" s="3" t="s">
        <v>1750</v>
      </c>
      <c r="B1818" s="3" t="s">
        <v>1783</v>
      </c>
      <c r="C1818" s="3" t="s">
        <v>653</v>
      </c>
      <c r="D1818" s="3"/>
      <c r="E1818" s="2" t="str">
        <f>HYPERLINK("https://old.ukr-mobil.com/displej_samsung_t335_galaxy_tab_4_8_0_3g_s_tachskrinom_black_6193", "Перейти")</f>
        <v>Перейти</v>
      </c>
      <c r="F1818" s="2">
        <v>6193</v>
      </c>
      <c r="G1818" s="4" t="s">
        <v>1932</v>
      </c>
      <c r="H1818" s="1">
        <v>1</v>
      </c>
      <c r="I1818" s="1">
        <v>0</v>
      </c>
      <c r="J1818" s="1">
        <v>0</v>
      </c>
      <c r="K1818" s="2">
        <v>25.0</v>
      </c>
    </row>
    <row r="1819" spans="1:12">
      <c r="A1819" s="3" t="s">
        <v>1750</v>
      </c>
      <c r="B1819" s="3" t="s">
        <v>1783</v>
      </c>
      <c r="C1819" s="3" t="s">
        <v>653</v>
      </c>
      <c r="D1819" s="3"/>
      <c r="E1819" s="2" t="str">
        <f>HYPERLINK("https://old.ukr-mobil.com/displej_samsung_t335_galaxy_tab_4_8_0_3g_s_tachskrinom_white_6194", "Перейти")</f>
        <v>Перейти</v>
      </c>
      <c r="F1819" s="2">
        <v>6194</v>
      </c>
      <c r="G1819" s="4" t="s">
        <v>1933</v>
      </c>
      <c r="H1819" s="1">
        <v>1</v>
      </c>
      <c r="I1819" s="1">
        <v>0</v>
      </c>
      <c r="J1819" s="1">
        <v>1</v>
      </c>
      <c r="K1819" s="2">
        <v>25.5</v>
      </c>
    </row>
    <row r="1820" spans="1:12">
      <c r="A1820" s="3" t="s">
        <v>1750</v>
      </c>
      <c r="B1820" s="3" t="s">
        <v>1783</v>
      </c>
      <c r="C1820" s="3" t="s">
        <v>653</v>
      </c>
      <c r="D1820" s="3"/>
      <c r="E1820" s="2" t="str">
        <f>HYPERLINK("https://old.ukr-mobil.com/displej_samsung_t380_galaxy_tab_a_8_0_versiya_wi-fi_s_tachskrinom_black_12215", "Перейти")</f>
        <v>Перейти</v>
      </c>
      <c r="F1820" s="2">
        <v>12215</v>
      </c>
      <c r="G1820" s="4" t="s">
        <v>1934</v>
      </c>
      <c r="H1820" s="1">
        <v>0</v>
      </c>
      <c r="I1820" s="1">
        <v>0</v>
      </c>
      <c r="J1820" s="1">
        <v>0</v>
      </c>
      <c r="K1820" s="2">
        <v>36.29</v>
      </c>
    </row>
    <row r="1821" spans="1:12">
      <c r="A1821" s="3" t="s">
        <v>1750</v>
      </c>
      <c r="B1821" s="3" t="s">
        <v>1783</v>
      </c>
      <c r="C1821" s="3" t="s">
        <v>653</v>
      </c>
      <c r="D1821" s="3"/>
      <c r="E1821" s="2" t="str">
        <f>HYPERLINK("https://old.ukr-mobil.com/displej_samsung_t385_galaxy_tab_a_8_0_lte_s_tachskrinom_original_prc_black_11481", "Перейти")</f>
        <v>Перейти</v>
      </c>
      <c r="F1821" s="2">
        <v>11481</v>
      </c>
      <c r="G1821" s="4" t="s">
        <v>1935</v>
      </c>
      <c r="H1821" s="1">
        <v>1</v>
      </c>
      <c r="I1821" s="1">
        <v>0</v>
      </c>
      <c r="J1821" s="1">
        <v>0</v>
      </c>
      <c r="K1821" s="2">
        <v>26.5</v>
      </c>
    </row>
    <row r="1822" spans="1:12">
      <c r="A1822" s="3" t="s">
        <v>1750</v>
      </c>
      <c r="B1822" s="3" t="s">
        <v>1783</v>
      </c>
      <c r="C1822" s="3" t="s">
        <v>653</v>
      </c>
      <c r="D1822" s="3"/>
      <c r="E1822" s="2" t="str">
        <f>HYPERLINK("https://old.ukr-mobil.com/displej_samsung_t385_galaxy_tab_a_8_0_lte_s_tachskrinom_original_prc_white_11482", "Перейти")</f>
        <v>Перейти</v>
      </c>
      <c r="F1822" s="2">
        <v>11482</v>
      </c>
      <c r="G1822" s="4" t="s">
        <v>1936</v>
      </c>
      <c r="H1822" s="1">
        <v>1</v>
      </c>
      <c r="I1822" s="1">
        <v>0</v>
      </c>
      <c r="J1822" s="1">
        <v>0</v>
      </c>
      <c r="K1822" s="2">
        <v>25.5</v>
      </c>
    </row>
    <row r="1823" spans="1:12">
      <c r="A1823" s="3" t="s">
        <v>1750</v>
      </c>
      <c r="B1823" s="3" t="s">
        <v>1783</v>
      </c>
      <c r="C1823" s="3" t="s">
        <v>653</v>
      </c>
      <c r="D1823" s="3"/>
      <c r="E1823" s="2" t="str">
        <f>HYPERLINK("https://old.ukr-mobil.com/displej_samsung_t395_galaxy_active_2_8_0_lte_s_tachskrinom_original_prc_black_10056", "Перейти")</f>
        <v>Перейти</v>
      </c>
      <c r="F1823" s="2">
        <v>10056</v>
      </c>
      <c r="G1823" s="4" t="s">
        <v>1937</v>
      </c>
      <c r="H1823" s="1">
        <v>0</v>
      </c>
      <c r="I1823" s="1">
        <v>0</v>
      </c>
      <c r="J1823" s="1">
        <v>0</v>
      </c>
      <c r="K1823" s="2">
        <v>62.0</v>
      </c>
    </row>
    <row r="1824" spans="1:12">
      <c r="A1824" s="3" t="s">
        <v>1750</v>
      </c>
      <c r="B1824" s="3" t="s">
        <v>1783</v>
      </c>
      <c r="C1824" s="3" t="s">
        <v>653</v>
      </c>
      <c r="D1824" s="3"/>
      <c r="E1824" s="2" t="str">
        <f>HYPERLINK("https://old.ukr-mobil.com/displej_samsung_t395_galaxy_active_2_8_0_lte_s_tachskrinom_original_prc_white_12100", "Перейти")</f>
        <v>Перейти</v>
      </c>
      <c r="F1824" s="2">
        <v>12100</v>
      </c>
      <c r="G1824" s="4" t="s">
        <v>1938</v>
      </c>
      <c r="H1824" s="1">
        <v>0</v>
      </c>
      <c r="I1824" s="1">
        <v>0</v>
      </c>
      <c r="J1824" s="1">
        <v>0</v>
      </c>
      <c r="K1824" s="2">
        <v>62.0</v>
      </c>
    </row>
    <row r="1825" spans="1:12">
      <c r="A1825" s="3" t="s">
        <v>1750</v>
      </c>
      <c r="B1825" s="3" t="s">
        <v>1783</v>
      </c>
      <c r="C1825" s="3" t="s">
        <v>653</v>
      </c>
      <c r="D1825" s="3"/>
      <c r="E1825" s="2" t="str">
        <f>HYPERLINK("https://old.ukr-mobil.com/displej_samsung_t500_galaxy_tab_a7_10_4_s_tachskrinom_black_original_10001145", "Перейти")</f>
        <v>Перейти</v>
      </c>
      <c r="F1825" s="2">
        <v>10001145</v>
      </c>
      <c r="G1825" s="4" t="s">
        <v>1939</v>
      </c>
      <c r="H1825" s="1">
        <v>0</v>
      </c>
      <c r="I1825" s="1">
        <v>0</v>
      </c>
      <c r="J1825" s="1">
        <v>0</v>
      </c>
      <c r="K1825" s="2">
        <v>26.0</v>
      </c>
    </row>
    <row r="1826" spans="1:12">
      <c r="A1826" s="3" t="s">
        <v>1750</v>
      </c>
      <c r="B1826" s="3" t="s">
        <v>1783</v>
      </c>
      <c r="C1826" s="3" t="s">
        <v>653</v>
      </c>
      <c r="D1826" s="3"/>
      <c r="E1826" s="2" t="str">
        <f>HYPERLINK("https://old.ukr-mobil.com/displej_samsung_t510_galaxy_tab_a_10_1_wi-fi_t515_galaxy_tab_a_10_1_lte_s_tachskrinom_high_copy_black_10003228", "Перейти")</f>
        <v>Перейти</v>
      </c>
      <c r="F1826" s="2">
        <v>10003228</v>
      </c>
      <c r="G1826" s="4" t="s">
        <v>1940</v>
      </c>
      <c r="H1826" s="1">
        <v>0</v>
      </c>
      <c r="I1826" s="1">
        <v>0</v>
      </c>
      <c r="J1826" s="1">
        <v>0</v>
      </c>
      <c r="K1826" s="2">
        <v>21.0</v>
      </c>
    </row>
    <row r="1827" spans="1:12">
      <c r="A1827" s="3" t="s">
        <v>1750</v>
      </c>
      <c r="B1827" s="3" t="s">
        <v>1783</v>
      </c>
      <c r="C1827" s="3" t="s">
        <v>653</v>
      </c>
      <c r="D1827" s="3"/>
      <c r="E1827" s="2" t="str">
        <f>HYPERLINK("https://old.ukr-mobil.com/displej_samsung_t510_galaxy_tab_a_10_1_wi-fi_t515_galaxy_tab_a_10_1_lte_s_tachskrinom_original_black_10000356", "Перейти")</f>
        <v>Перейти</v>
      </c>
      <c r="F1827" s="2">
        <v>10000356</v>
      </c>
      <c r="G1827" s="4" t="s">
        <v>1941</v>
      </c>
      <c r="H1827" s="1">
        <v>0</v>
      </c>
      <c r="I1827" s="1">
        <v>0</v>
      </c>
      <c r="J1827" s="1">
        <v>0</v>
      </c>
      <c r="K1827" s="2">
        <v>26.0</v>
      </c>
    </row>
    <row r="1828" spans="1:12">
      <c r="A1828" s="3" t="s">
        <v>1750</v>
      </c>
      <c r="B1828" s="3" t="s">
        <v>1783</v>
      </c>
      <c r="C1828" s="3" t="s">
        <v>653</v>
      </c>
      <c r="D1828" s="3"/>
      <c r="E1828" s="2" t="str">
        <f>HYPERLINK("https://old.ukr-mobil.com/displej_samsung_t530_t531_galaxy_tab_4_10_1_s_tachskrinom_black_6070", "Перейти")</f>
        <v>Перейти</v>
      </c>
      <c r="F1828" s="2">
        <v>6070</v>
      </c>
      <c r="G1828" s="4" t="s">
        <v>1942</v>
      </c>
      <c r="H1828" s="1">
        <v>0</v>
      </c>
      <c r="I1828" s="1">
        <v>0</v>
      </c>
      <c r="J1828" s="1">
        <v>0</v>
      </c>
      <c r="K1828" s="2">
        <v>50.0</v>
      </c>
    </row>
    <row r="1829" spans="1:12">
      <c r="A1829" s="3" t="s">
        <v>1750</v>
      </c>
      <c r="B1829" s="3" t="s">
        <v>1783</v>
      </c>
      <c r="C1829" s="3" t="s">
        <v>653</v>
      </c>
      <c r="D1829" s="3"/>
      <c r="E1829" s="2" t="str">
        <f>HYPERLINK("https://old.ukr-mobil.com/displej_samsung_t530_t531_galaxy_tab_4_10_1_s_tachskrinom_white_6069", "Перейти")</f>
        <v>Перейти</v>
      </c>
      <c r="F1829" s="2">
        <v>6069</v>
      </c>
      <c r="G1829" s="4" t="s">
        <v>1943</v>
      </c>
      <c r="H1829" s="1">
        <v>0</v>
      </c>
      <c r="I1829" s="1">
        <v>0</v>
      </c>
      <c r="J1829" s="1">
        <v>0</v>
      </c>
      <c r="K1829" s="2">
        <v>62.5</v>
      </c>
    </row>
    <row r="1830" spans="1:12">
      <c r="A1830" s="3" t="s">
        <v>1750</v>
      </c>
      <c r="B1830" s="3" t="s">
        <v>1783</v>
      </c>
      <c r="C1830" s="3" t="s">
        <v>653</v>
      </c>
      <c r="D1830" s="3"/>
      <c r="E1830" s="2" t="str">
        <f>HYPERLINK("https://old.ukr-mobil.com/displej_samsung_t550_galaxy_tab_a_9_7_t555_galaxy_tab_a_9_7_lte_11477", "Перейти")</f>
        <v>Перейти</v>
      </c>
      <c r="F1830" s="2">
        <v>11477</v>
      </c>
      <c r="G1830" s="4" t="s">
        <v>1944</v>
      </c>
      <c r="H1830" s="1">
        <v>0</v>
      </c>
      <c r="I1830" s="1">
        <v>0</v>
      </c>
      <c r="J1830" s="1">
        <v>0</v>
      </c>
      <c r="K1830" s="2">
        <v>29.74</v>
      </c>
    </row>
    <row r="1831" spans="1:12">
      <c r="A1831" s="3" t="s">
        <v>1750</v>
      </c>
      <c r="B1831" s="3" t="s">
        <v>1783</v>
      </c>
      <c r="C1831" s="3" t="s">
        <v>653</v>
      </c>
      <c r="D1831" s="3"/>
      <c r="E1831" s="2" t="str">
        <f>HYPERLINK("https://old.ukr-mobil.com/displej_samsung_t550_galaxy_tab_a_9_7_t555_galaxy_tab_a_9_7_lte_s_tachskrinom_black_9338", "Перейти")</f>
        <v>Перейти</v>
      </c>
      <c r="F1831" s="2">
        <v>9338</v>
      </c>
      <c r="G1831" s="4" t="s">
        <v>1945</v>
      </c>
      <c r="H1831" s="1">
        <v>0</v>
      </c>
      <c r="I1831" s="1">
        <v>0</v>
      </c>
      <c r="J1831" s="1">
        <v>0</v>
      </c>
      <c r="K1831" s="2">
        <v>54.43</v>
      </c>
    </row>
    <row r="1832" spans="1:12">
      <c r="A1832" s="3" t="s">
        <v>1750</v>
      </c>
      <c r="B1832" s="3" t="s">
        <v>1783</v>
      </c>
      <c r="C1832" s="3" t="s">
        <v>653</v>
      </c>
      <c r="D1832" s="3"/>
      <c r="E1832" s="2" t="str">
        <f>HYPERLINK("https://old.ukr-mobil.com/displej_samsung_t560_galaxy_tab_e_9_6_t561_galaxy_tab_e_9_6_original_prc_11296", "Перейти")</f>
        <v>Перейти</v>
      </c>
      <c r="F1832" s="2">
        <v>11296</v>
      </c>
      <c r="G1832" s="4" t="s">
        <v>1946</v>
      </c>
      <c r="H1832" s="1">
        <v>8</v>
      </c>
      <c r="I1832" s="1">
        <v>2</v>
      </c>
      <c r="J1832" s="1">
        <v>4</v>
      </c>
      <c r="K1832" s="2">
        <v>19.0</v>
      </c>
    </row>
    <row r="1833" spans="1:12">
      <c r="A1833" s="3" t="s">
        <v>1750</v>
      </c>
      <c r="B1833" s="3" t="s">
        <v>1783</v>
      </c>
      <c r="C1833" s="3" t="s">
        <v>653</v>
      </c>
      <c r="D1833" s="3"/>
      <c r="E1833" s="2" t="str">
        <f>HYPERLINK("https://old.ukr-mobil.com/displej_samsung_t560_galaxy_tab_e_9_6_t561_galaxy_tab_e_9_6_s_tachskrinom_original_prc_black_6068", "Перейти")</f>
        <v>Перейти</v>
      </c>
      <c r="F1833" s="2">
        <v>6068</v>
      </c>
      <c r="G1833" s="4" t="s">
        <v>1947</v>
      </c>
      <c r="H1833" s="1">
        <v>0</v>
      </c>
      <c r="I1833" s="1">
        <v>0</v>
      </c>
      <c r="J1833" s="1">
        <v>0</v>
      </c>
      <c r="K1833" s="2">
        <v>44.35</v>
      </c>
    </row>
    <row r="1834" spans="1:12">
      <c r="A1834" s="3" t="s">
        <v>1750</v>
      </c>
      <c r="B1834" s="3" t="s">
        <v>1783</v>
      </c>
      <c r="C1834" s="3" t="s">
        <v>653</v>
      </c>
      <c r="D1834" s="3"/>
      <c r="E1834" s="2" t="str">
        <f>HYPERLINK("https://old.ukr-mobil.com/displej_samsung_t560_galaxy_tab_e_9_6_t561_galaxy_tab_e_9_6_s_tachskrinom_original_prc_white_6067", "Перейти")</f>
        <v>Перейти</v>
      </c>
      <c r="F1834" s="2">
        <v>6067</v>
      </c>
      <c r="G1834" s="4" t="s">
        <v>1948</v>
      </c>
      <c r="H1834" s="1">
        <v>0</v>
      </c>
      <c r="I1834" s="1">
        <v>0</v>
      </c>
      <c r="J1834" s="1">
        <v>0</v>
      </c>
      <c r="K1834" s="2">
        <v>44.35</v>
      </c>
    </row>
    <row r="1835" spans="1:12">
      <c r="A1835" s="3" t="s">
        <v>1750</v>
      </c>
      <c r="B1835" s="3" t="s">
        <v>1783</v>
      </c>
      <c r="C1835" s="3" t="s">
        <v>653</v>
      </c>
      <c r="D1835" s="3"/>
      <c r="E1835" s="2" t="str">
        <f>HYPERLINK("https://old.ukr-mobil.com/displej_samsung_t580_galaxy_tab_a_10_1_wifi_t585_galaxy_tab_a_10_1_lte_original_11478", "Перейти")</f>
        <v>Перейти</v>
      </c>
      <c r="F1835" s="2">
        <v>11478</v>
      </c>
      <c r="G1835" s="4" t="s">
        <v>1949</v>
      </c>
      <c r="H1835" s="1">
        <v>11</v>
      </c>
      <c r="I1835" s="1">
        <v>3</v>
      </c>
      <c r="J1835" s="1">
        <v>0</v>
      </c>
      <c r="K1835" s="2">
        <v>21.0</v>
      </c>
    </row>
    <row r="1836" spans="1:12">
      <c r="A1836" s="3" t="s">
        <v>1750</v>
      </c>
      <c r="B1836" s="3" t="s">
        <v>1783</v>
      </c>
      <c r="C1836" s="3" t="s">
        <v>653</v>
      </c>
      <c r="D1836" s="3"/>
      <c r="E1836" s="2" t="str">
        <f>HYPERLINK("https://old.ukr-mobil.com/displej_samsung_t580_galaxy_tab_a_10_1_wifi_t585_galaxy_tab_a_10_1_lte_s_tachskrinom_original_black_7081", "Перейти")</f>
        <v>Перейти</v>
      </c>
      <c r="F1836" s="2">
        <v>7081</v>
      </c>
      <c r="G1836" s="4" t="s">
        <v>1950</v>
      </c>
      <c r="H1836" s="1">
        <v>0</v>
      </c>
      <c r="I1836" s="1">
        <v>0</v>
      </c>
      <c r="J1836" s="1">
        <v>0</v>
      </c>
      <c r="K1836" s="2">
        <v>50.0</v>
      </c>
    </row>
    <row r="1837" spans="1:12">
      <c r="A1837" s="3" t="s">
        <v>1750</v>
      </c>
      <c r="B1837" s="3" t="s">
        <v>1783</v>
      </c>
      <c r="C1837" s="3" t="s">
        <v>653</v>
      </c>
      <c r="D1837" s="3"/>
      <c r="E1837" s="2" t="str">
        <f>HYPERLINK("https://old.ukr-mobil.com/displej_samsung_t580_galaxy_tab_a_10_1_wifi_t585_galaxy_tab_a_10_1_lte_s_tachskrinom_original_white_7082", "Перейти")</f>
        <v>Перейти</v>
      </c>
      <c r="F1837" s="2">
        <v>7082</v>
      </c>
      <c r="G1837" s="4" t="s">
        <v>1951</v>
      </c>
      <c r="H1837" s="1">
        <v>0</v>
      </c>
      <c r="I1837" s="1">
        <v>0</v>
      </c>
      <c r="J1837" s="1">
        <v>0</v>
      </c>
      <c r="K1837" s="2">
        <v>56.45</v>
      </c>
    </row>
    <row r="1838" spans="1:12">
      <c r="A1838" s="3" t="s">
        <v>1750</v>
      </c>
      <c r="B1838" s="3" t="s">
        <v>1783</v>
      </c>
      <c r="C1838" s="3" t="s">
        <v>653</v>
      </c>
      <c r="D1838" s="3"/>
      <c r="E1838" s="2" t="str">
        <f>HYPERLINK("https://old.ukr-mobil.com/displej_samsung_t590_galaxy_tab_a_10_5_wi-fi_t595_galaxy_tab_a_10_5_lte_s_tachskrinom_original_black_11483", "Перейти")</f>
        <v>Перейти</v>
      </c>
      <c r="F1838" s="2">
        <v>11483</v>
      </c>
      <c r="G1838" s="4" t="s">
        <v>1952</v>
      </c>
      <c r="H1838" s="1">
        <v>1</v>
      </c>
      <c r="I1838" s="1">
        <v>0</v>
      </c>
      <c r="J1838" s="1">
        <v>0</v>
      </c>
      <c r="K1838" s="2">
        <v>32.0</v>
      </c>
    </row>
    <row r="1839" spans="1:12">
      <c r="A1839" s="3" t="s">
        <v>1750</v>
      </c>
      <c r="B1839" s="3" t="s">
        <v>1783</v>
      </c>
      <c r="C1839" s="3" t="s">
        <v>653</v>
      </c>
      <c r="D1839" s="3"/>
      <c r="E1839" s="2" t="str">
        <f>HYPERLINK("https://old.ukr-mobil.com/displej_samsung_t700_galaxy_tab_s_8_4_versiya_wifi_s_tachskrinom_bronze_6846", "Перейти")</f>
        <v>Перейти</v>
      </c>
      <c r="F1839" s="2">
        <v>6846</v>
      </c>
      <c r="G1839" s="4" t="s">
        <v>1953</v>
      </c>
      <c r="H1839" s="1">
        <v>2</v>
      </c>
      <c r="I1839" s="1">
        <v>2</v>
      </c>
      <c r="J1839" s="1">
        <v>0</v>
      </c>
      <c r="K1839" s="2">
        <v>70.0</v>
      </c>
    </row>
    <row r="1840" spans="1:12">
      <c r="A1840" s="3" t="s">
        <v>1750</v>
      </c>
      <c r="B1840" s="3" t="s">
        <v>1783</v>
      </c>
      <c r="C1840" s="3" t="s">
        <v>653</v>
      </c>
      <c r="D1840" s="3"/>
      <c r="E1840" s="2" t="str">
        <f>HYPERLINK("https://old.ukr-mobil.com/displej_samsung_t700_galaxy_tab_s_8_4_versiya_wifi_s_tachskrinom_white_6847", "Перейти")</f>
        <v>Перейти</v>
      </c>
      <c r="F1840" s="2">
        <v>6847</v>
      </c>
      <c r="G1840" s="4" t="s">
        <v>1954</v>
      </c>
      <c r="H1840" s="1">
        <v>0</v>
      </c>
      <c r="I1840" s="1">
        <v>1</v>
      </c>
      <c r="J1840" s="1">
        <v>0</v>
      </c>
      <c r="K1840" s="2">
        <v>135.0</v>
      </c>
    </row>
    <row r="1841" spans="1:12">
      <c r="A1841" s="3" t="s">
        <v>1750</v>
      </c>
      <c r="B1841" s="3" t="s">
        <v>1783</v>
      </c>
      <c r="C1841" s="3" t="s">
        <v>653</v>
      </c>
      <c r="D1841" s="3"/>
      <c r="E1841" s="2" t="str">
        <f>HYPERLINK("https://old.ukr-mobil.com/displej_samsung_t705_galaxy_tab_s_8_4_versiya_3g_s_tachskrinom_bronze_11479", "Перейти")</f>
        <v>Перейти</v>
      </c>
      <c r="F1841" s="2">
        <v>11479</v>
      </c>
      <c r="G1841" s="4" t="s">
        <v>1955</v>
      </c>
      <c r="H1841" s="1">
        <v>3</v>
      </c>
      <c r="I1841" s="1">
        <v>0</v>
      </c>
      <c r="J1841" s="1">
        <v>1</v>
      </c>
      <c r="K1841" s="2">
        <v>76.0</v>
      </c>
    </row>
    <row r="1842" spans="1:12">
      <c r="A1842" s="3" t="s">
        <v>1750</v>
      </c>
      <c r="B1842" s="3" t="s">
        <v>1783</v>
      </c>
      <c r="C1842" s="3" t="s">
        <v>653</v>
      </c>
      <c r="D1842" s="3"/>
      <c r="E1842" s="2" t="str">
        <f>HYPERLINK("https://old.ukr-mobil.com/displej_samsung_t720_galaxy_tab_s5e_10_5_2019_t725_galaxy_tab_s5e_10_5_2019_lte_s_tachskrinom_black_11937", "Перейти")</f>
        <v>Перейти</v>
      </c>
      <c r="F1842" s="2">
        <v>11937</v>
      </c>
      <c r="G1842" s="4" t="s">
        <v>1956</v>
      </c>
      <c r="H1842" s="1">
        <v>0</v>
      </c>
      <c r="I1842" s="1">
        <v>0</v>
      </c>
      <c r="J1842" s="1">
        <v>0</v>
      </c>
      <c r="K1842" s="2">
        <v>277.0</v>
      </c>
    </row>
    <row r="1843" spans="1:12">
      <c r="A1843" s="3" t="s">
        <v>1750</v>
      </c>
      <c r="B1843" s="3" t="s">
        <v>1783</v>
      </c>
      <c r="C1843" s="3" t="s">
        <v>653</v>
      </c>
      <c r="D1843" s="3"/>
      <c r="E1843" s="2" t="str">
        <f>HYPERLINK("https://old.ukr-mobil.com/index.php?route=product&amp;product_id=10004590", "Перейти")</f>
        <v>Перейти</v>
      </c>
      <c r="F1843" s="2">
        <v>10004590</v>
      </c>
      <c r="G1843" s="4" t="s">
        <v>1957</v>
      </c>
      <c r="H1843" s="1">
        <v>0</v>
      </c>
      <c r="I1843" s="1">
        <v>0</v>
      </c>
      <c r="J1843" s="1">
        <v>0</v>
      </c>
      <c r="K1843" s="2">
        <v>72.0</v>
      </c>
    </row>
    <row r="1844" spans="1:12">
      <c r="A1844" s="3" t="s">
        <v>1750</v>
      </c>
      <c r="B1844" s="3" t="s">
        <v>1783</v>
      </c>
      <c r="C1844" s="3" t="s">
        <v>653</v>
      </c>
      <c r="D1844" s="3"/>
      <c r="E1844" s="2" t="str">
        <f>HYPERLINK("https://old.ukr-mobil.com/displej_samsung_t800_galaxy_tab_s_10_5_t805_galaxy_tab_s_10_5_lte_s_tachskrinom_bronze_9650", "Перейти")</f>
        <v>Перейти</v>
      </c>
      <c r="F1844" s="2">
        <v>9650</v>
      </c>
      <c r="G1844" s="4" t="s">
        <v>1958</v>
      </c>
      <c r="H1844" s="1">
        <v>2</v>
      </c>
      <c r="I1844" s="1">
        <v>0</v>
      </c>
      <c r="J1844" s="1">
        <v>0</v>
      </c>
      <c r="K1844" s="2">
        <v>71.5</v>
      </c>
    </row>
    <row r="1845" spans="1:12">
      <c r="A1845" s="3" t="s">
        <v>1750</v>
      </c>
      <c r="B1845" s="3" t="s">
        <v>1783</v>
      </c>
      <c r="C1845" s="3" t="s">
        <v>653</v>
      </c>
      <c r="D1845" s="3"/>
      <c r="E1845" s="2" t="str">
        <f>HYPERLINK("https://old.ukr-mobil.com/displej_samsung_t810_galaxy_tab_s2_t815_galaxy_tab_s2_lte_s_tachskrinom_black_7084", "Перейти")</f>
        <v>Перейти</v>
      </c>
      <c r="F1845" s="2">
        <v>7084</v>
      </c>
      <c r="G1845" s="4" t="s">
        <v>1959</v>
      </c>
      <c r="H1845" s="1">
        <v>1</v>
      </c>
      <c r="I1845" s="1">
        <v>0</v>
      </c>
      <c r="J1845" s="1">
        <v>0</v>
      </c>
      <c r="K1845" s="2">
        <v>130.0</v>
      </c>
    </row>
    <row r="1846" spans="1:12">
      <c r="A1846" s="3" t="s">
        <v>1750</v>
      </c>
      <c r="B1846" s="3" t="s">
        <v>1783</v>
      </c>
      <c r="C1846" s="3" t="s">
        <v>653</v>
      </c>
      <c r="D1846" s="3"/>
      <c r="E1846" s="2" t="str">
        <f>HYPERLINK("https://old.ukr-mobil.com/displej_samsung_t830_galaxy_tab_s4_10_5_t835_galaxy_tab_s4_10_5_lte_s_tachskrinom_black_original_10001144", "Перейти")</f>
        <v>Перейти</v>
      </c>
      <c r="F1846" s="2">
        <v>10001144</v>
      </c>
      <c r="G1846" s="4" t="s">
        <v>1960</v>
      </c>
      <c r="H1846" s="1">
        <v>2</v>
      </c>
      <c r="I1846" s="1">
        <v>1</v>
      </c>
      <c r="J1846" s="1">
        <v>0</v>
      </c>
      <c r="K1846" s="2">
        <v>245.0</v>
      </c>
    </row>
    <row r="1847" spans="1:12">
      <c r="A1847" s="3" t="s">
        <v>1750</v>
      </c>
      <c r="B1847" s="3" t="s">
        <v>1783</v>
      </c>
      <c r="C1847" s="3" t="s">
        <v>653</v>
      </c>
      <c r="D1847" s="3"/>
      <c r="E1847" s="2" t="str">
        <f>HYPERLINK("https://old.ukr-mobil.com/displej_samsung_t860_t865_galaxy_tab_s6_s_tachskrinom_black_original_10001187", "Перейти")</f>
        <v>Перейти</v>
      </c>
      <c r="F1847" s="2">
        <v>10001187</v>
      </c>
      <c r="G1847" s="4" t="s">
        <v>1961</v>
      </c>
      <c r="H1847" s="1">
        <v>0</v>
      </c>
      <c r="I1847" s="1">
        <v>0</v>
      </c>
      <c r="J1847" s="1">
        <v>1</v>
      </c>
      <c r="K1847" s="2">
        <v>320.0</v>
      </c>
    </row>
    <row r="1848" spans="1:12">
      <c r="A1848" s="3" t="s">
        <v>1750</v>
      </c>
      <c r="B1848" s="3" t="s">
        <v>1783</v>
      </c>
      <c r="C1848" s="3" t="s">
        <v>653</v>
      </c>
      <c r="D1848" s="3"/>
      <c r="E1848" s="2" t="str">
        <f>HYPERLINK("https://old.ukr-mobil.com/index.php?route=product&amp;product_id=10004589", "Перейти")</f>
        <v>Перейти</v>
      </c>
      <c r="F1848" s="2">
        <v>10004589</v>
      </c>
      <c r="G1848" s="4" t="s">
        <v>1962</v>
      </c>
      <c r="H1848" s="1">
        <v>0</v>
      </c>
      <c r="I1848" s="1">
        <v>0</v>
      </c>
      <c r="J1848" s="1">
        <v>0</v>
      </c>
      <c r="K1848" s="2">
        <v>31.6</v>
      </c>
    </row>
    <row r="1849" spans="1:12">
      <c r="A1849" s="3" t="s">
        <v>1750</v>
      </c>
      <c r="B1849" s="3" t="s">
        <v>1783</v>
      </c>
      <c r="C1849" s="3" t="s">
        <v>653</v>
      </c>
      <c r="D1849" s="3"/>
      <c r="E1849" s="2" t="str">
        <f>HYPERLINK("https://old.ukr-mobil.com/displej_samsung_x200_galaxy_tab_a8_wi-fi_x205_galaxy_tab_a8_lte_s_tachskrinom_original_black_10002942", "Перейти")</f>
        <v>Перейти</v>
      </c>
      <c r="F1849" s="2">
        <v>10002942</v>
      </c>
      <c r="G1849" s="4" t="s">
        <v>1963</v>
      </c>
      <c r="H1849" s="1">
        <v>0</v>
      </c>
      <c r="I1849" s="1">
        <v>0</v>
      </c>
      <c r="J1849" s="1">
        <v>0</v>
      </c>
      <c r="K1849" s="2">
        <v>33.0</v>
      </c>
    </row>
    <row r="1850" spans="1:12">
      <c r="A1850" s="3" t="s">
        <v>1750</v>
      </c>
      <c r="B1850" s="3" t="s">
        <v>1783</v>
      </c>
      <c r="C1850" s="3" t="s">
        <v>653</v>
      </c>
      <c r="D1850" s="3"/>
      <c r="E1850" s="2" t="str">
        <f>HYPERLINK("https://old.ukr-mobil.com/displej_samsung_x706_galaxy_tab_s8_5g_s_tachskrinom_original_10002926", "Перейти")</f>
        <v>Перейти</v>
      </c>
      <c r="F1850" s="2">
        <v>10002926</v>
      </c>
      <c r="G1850" s="4" t="s">
        <v>1964</v>
      </c>
      <c r="H1850" s="1">
        <v>0</v>
      </c>
      <c r="I1850" s="1">
        <v>1</v>
      </c>
      <c r="J1850" s="1">
        <v>1</v>
      </c>
      <c r="K1850" s="2">
        <v>195.0</v>
      </c>
    </row>
    <row r="1851" spans="1:12">
      <c r="A1851" s="3" t="s">
        <v>1750</v>
      </c>
      <c r="B1851" s="3" t="s">
        <v>1783</v>
      </c>
      <c r="C1851" s="3" t="s">
        <v>653</v>
      </c>
      <c r="D1851" s="3"/>
      <c r="E1851" s="2" t="str">
        <f>HYPERLINK("https://old.ukr-mobil.com/displej_samsung_x806_galaxy_tab_s8_plus_5g_s_tachskrinom_original_10002927", "Перейти")</f>
        <v>Перейти</v>
      </c>
      <c r="F1851" s="2">
        <v>10002927</v>
      </c>
      <c r="G1851" s="4" t="s">
        <v>1965</v>
      </c>
      <c r="H1851" s="1">
        <v>0</v>
      </c>
      <c r="I1851" s="1">
        <v>0</v>
      </c>
      <c r="J1851" s="1">
        <v>0</v>
      </c>
      <c r="K1851" s="2">
        <v>400.0</v>
      </c>
    </row>
    <row r="1852" spans="1:12">
      <c r="A1852" s="3" t="s">
        <v>1750</v>
      </c>
      <c r="B1852" s="3" t="s">
        <v>1783</v>
      </c>
      <c r="C1852" s="3" t="s">
        <v>653</v>
      </c>
      <c r="D1852" s="3"/>
      <c r="E1852" s="2" t="str">
        <f>HYPERLINK("https://old.ukr-mobil.com/displej_samsung_x906_galaxy_tab_s8_ultra_5g_s_tachskrinom_original_10002928", "Перейти")</f>
        <v>Перейти</v>
      </c>
      <c r="F1852" s="2">
        <v>10002928</v>
      </c>
      <c r="G1852" s="4" t="s">
        <v>1966</v>
      </c>
      <c r="H1852" s="1">
        <v>1</v>
      </c>
      <c r="I1852" s="1">
        <v>1</v>
      </c>
      <c r="J1852" s="1">
        <v>0</v>
      </c>
      <c r="K1852" s="2">
        <v>489.0</v>
      </c>
    </row>
    <row r="1853" spans="1:12">
      <c r="A1853" s="3" t="s">
        <v>1750</v>
      </c>
      <c r="B1853" s="3" t="s">
        <v>1783</v>
      </c>
      <c r="C1853" s="3" t="s">
        <v>676</v>
      </c>
      <c r="D1853" s="3"/>
      <c r="E1853" s="2" t="str">
        <f>HYPERLINK("https://old.ukr-mobil.com/displej_sony_xperia_tablet_z_sgp311_sgp312_s_tachskrinom_4816", "Перейти")</f>
        <v>Перейти</v>
      </c>
      <c r="F1853" s="2">
        <v>4816</v>
      </c>
      <c r="G1853" s="4" t="s">
        <v>1967</v>
      </c>
      <c r="H1853" s="1">
        <v>0</v>
      </c>
      <c r="I1853" s="1">
        <v>0</v>
      </c>
      <c r="J1853" s="1">
        <v>0</v>
      </c>
      <c r="K1853" s="2">
        <v>78.62</v>
      </c>
    </row>
    <row r="1854" spans="1:12">
      <c r="A1854" s="3" t="s">
        <v>1750</v>
      </c>
      <c r="B1854" s="3" t="s">
        <v>1783</v>
      </c>
      <c r="C1854" s="3" t="s">
        <v>676</v>
      </c>
      <c r="D1854" s="3"/>
      <c r="E1854" s="2" t="str">
        <f>HYPERLINK("https://old.ukr-mobil.com/displej_sony_xperia_tablet_z2_sgp511_sgp512_sgp521_sgp541_s_tachskrinom_4817", "Перейти")</f>
        <v>Перейти</v>
      </c>
      <c r="F1854" s="2">
        <v>4817</v>
      </c>
      <c r="G1854" s="4" t="s">
        <v>1968</v>
      </c>
      <c r="H1854" s="1">
        <v>0</v>
      </c>
      <c r="I1854" s="1">
        <v>0</v>
      </c>
      <c r="J1854" s="1">
        <v>0</v>
      </c>
      <c r="K1854" s="2">
        <v>71.57</v>
      </c>
    </row>
    <row r="1855" spans="1:12">
      <c r="A1855" s="3" t="s">
        <v>1750</v>
      </c>
      <c r="B1855" s="3" t="s">
        <v>1783</v>
      </c>
      <c r="C1855" s="3" t="s">
        <v>814</v>
      </c>
      <c r="D1855" s="3"/>
      <c r="E1855" s="2" t="str">
        <f>HYPERLINK("https://old.ukr-mobil.com/displej_xiaomi_mi_pad_2_mi_pad_3_s_tachskrinom_black_11933", "Перейти")</f>
        <v>Перейти</v>
      </c>
      <c r="F1855" s="2">
        <v>11933</v>
      </c>
      <c r="G1855" s="4" t="s">
        <v>1969</v>
      </c>
      <c r="H1855" s="1">
        <v>2</v>
      </c>
      <c r="I1855" s="1">
        <v>2</v>
      </c>
      <c r="J1855" s="1">
        <v>0</v>
      </c>
      <c r="K1855" s="2">
        <v>21.0</v>
      </c>
    </row>
    <row r="1856" spans="1:12">
      <c r="A1856" s="3" t="s">
        <v>1750</v>
      </c>
      <c r="B1856" s="3" t="s">
        <v>1783</v>
      </c>
      <c r="C1856" s="3" t="s">
        <v>814</v>
      </c>
      <c r="D1856" s="3"/>
      <c r="E1856" s="2" t="str">
        <f>HYPERLINK("https://old.ukr-mobil.com/displej_xiaomi_mi_pad_4_plus_s_tachskrinom_black_11934", "Перейти")</f>
        <v>Перейти</v>
      </c>
      <c r="F1856" s="2">
        <v>11934</v>
      </c>
      <c r="G1856" s="4" t="s">
        <v>1970</v>
      </c>
      <c r="H1856" s="1">
        <v>3</v>
      </c>
      <c r="I1856" s="1">
        <v>2</v>
      </c>
      <c r="J1856" s="1">
        <v>1</v>
      </c>
      <c r="K1856" s="2">
        <v>32.0</v>
      </c>
    </row>
    <row r="1857" spans="1:12">
      <c r="A1857" s="3" t="s">
        <v>1750</v>
      </c>
      <c r="B1857" s="3" t="s">
        <v>1783</v>
      </c>
      <c r="C1857" s="3" t="s">
        <v>814</v>
      </c>
      <c r="D1857" s="3"/>
      <c r="E1857" s="2" t="str">
        <f>HYPERLINK("https://old.ukr-mobil.com/displej_xiaomi_mi_pad_4_plus_s_tachskrinom_white_11935", "Перейти")</f>
        <v>Перейти</v>
      </c>
      <c r="F1857" s="2">
        <v>11935</v>
      </c>
      <c r="G1857" s="4" t="s">
        <v>1971</v>
      </c>
      <c r="H1857" s="1">
        <v>0</v>
      </c>
      <c r="I1857" s="1">
        <v>0</v>
      </c>
      <c r="J1857" s="1">
        <v>0</v>
      </c>
      <c r="K1857" s="2">
        <v>72.58</v>
      </c>
    </row>
    <row r="1858" spans="1:12">
      <c r="A1858" s="3" t="s">
        <v>1750</v>
      </c>
      <c r="B1858" s="3" t="s">
        <v>1783</v>
      </c>
      <c r="C1858" s="3" t="s">
        <v>814</v>
      </c>
      <c r="D1858" s="3"/>
      <c r="E1858" s="2" t="str">
        <f>HYPERLINK("https://old.ukr-mobil.com/displej_xiaomi_mi_pad_4_s_tachskrinom_black_11931", "Перейти")</f>
        <v>Перейти</v>
      </c>
      <c r="F1858" s="2">
        <v>11931</v>
      </c>
      <c r="G1858" s="4" t="s">
        <v>1972</v>
      </c>
      <c r="H1858" s="1">
        <v>0</v>
      </c>
      <c r="I1858" s="1">
        <v>0</v>
      </c>
      <c r="J1858" s="1">
        <v>0</v>
      </c>
      <c r="K1858" s="2">
        <v>30.0</v>
      </c>
    </row>
    <row r="1859" spans="1:12">
      <c r="A1859" s="3" t="s">
        <v>1750</v>
      </c>
      <c r="B1859" s="3" t="s">
        <v>1783</v>
      </c>
      <c r="C1859" s="3" t="s">
        <v>814</v>
      </c>
      <c r="D1859" s="3"/>
      <c r="E1859" s="2" t="str">
        <f>HYPERLINK("https://old.ukr-mobil.com/displej_xiaomi_mi_pad_4_s_tachskrinom_white_11932", "Перейти")</f>
        <v>Перейти</v>
      </c>
      <c r="F1859" s="2">
        <v>11932</v>
      </c>
      <c r="G1859" s="4" t="s">
        <v>1973</v>
      </c>
      <c r="H1859" s="1">
        <v>0</v>
      </c>
      <c r="I1859" s="1">
        <v>0</v>
      </c>
      <c r="J1859" s="1">
        <v>0</v>
      </c>
      <c r="K1859" s="2">
        <v>19.18</v>
      </c>
    </row>
    <row r="1860" spans="1:12">
      <c r="A1860" s="3" t="s">
        <v>1750</v>
      </c>
      <c r="B1860" s="3" t="s">
        <v>1783</v>
      </c>
      <c r="C1860" s="3" t="s">
        <v>814</v>
      </c>
      <c r="D1860" s="3"/>
      <c r="E1860" s="2" t="str">
        <f>HYPERLINK("https://old.ukr-mobil.com/displej_xiaomi_mi_pad_5_mi_pad_5_pro_s_tachskrinom_original_prc_black_10002257", "Перейти")</f>
        <v>Перейти</v>
      </c>
      <c r="F1860" s="2">
        <v>10002257</v>
      </c>
      <c r="G1860" s="4" t="s">
        <v>1974</v>
      </c>
      <c r="H1860" s="1">
        <v>1</v>
      </c>
      <c r="I1860" s="1">
        <v>0</v>
      </c>
      <c r="J1860" s="1">
        <v>0</v>
      </c>
      <c r="K1860" s="2">
        <v>44.0</v>
      </c>
    </row>
    <row r="1861" spans="1:12">
      <c r="A1861" s="3" t="s">
        <v>1750</v>
      </c>
      <c r="B1861" s="3" t="s">
        <v>1783</v>
      </c>
      <c r="C1861" s="3" t="s">
        <v>1975</v>
      </c>
      <c r="D1861" s="3"/>
      <c r="E1861" s="2" t="str">
        <f>HYPERLINK("https://old.ukr-mobil.com/displej_10_1_inch_30pins_size_234mm_137mm_1024_600_mf1011683002a_9168", "Перейти")</f>
        <v>Перейти</v>
      </c>
      <c r="F1861" s="2">
        <v>9168</v>
      </c>
      <c r="G1861" s="4" t="s">
        <v>1976</v>
      </c>
      <c r="H1861" s="1">
        <v>1</v>
      </c>
      <c r="I1861" s="1">
        <v>1</v>
      </c>
      <c r="J1861" s="1">
        <v>0</v>
      </c>
      <c r="K1861" s="2">
        <v>16.0</v>
      </c>
    </row>
    <row r="1862" spans="1:12">
      <c r="A1862" s="3" t="s">
        <v>1750</v>
      </c>
      <c r="B1862" s="3" t="s">
        <v>1977</v>
      </c>
      <c r="C1862" s="3" t="s">
        <v>1978</v>
      </c>
      <c r="D1862" s="3"/>
      <c r="E1862" s="2" t="str">
        <f>HYPERLINK("https://old.ukr-mobil.com/korpus_ipad_4_3g_a1460_white_zadnyaya_kryshka_5597", "Перейти")</f>
        <v>Перейти</v>
      </c>
      <c r="F1862" s="2">
        <v>5597</v>
      </c>
      <c r="G1862" s="4" t="s">
        <v>1979</v>
      </c>
      <c r="H1862" s="1">
        <v>0</v>
      </c>
      <c r="I1862" s="1">
        <v>0</v>
      </c>
      <c r="J1862" s="1">
        <v>0</v>
      </c>
      <c r="K1862" s="2">
        <v>38.3</v>
      </c>
    </row>
    <row r="1863" spans="1:12">
      <c r="A1863" s="3" t="s">
        <v>1750</v>
      </c>
      <c r="B1863" s="3" t="s">
        <v>1980</v>
      </c>
      <c r="C1863" s="3" t="s">
        <v>1981</v>
      </c>
      <c r="D1863" s="3"/>
      <c r="E1863" s="2" t="str">
        <f>HYPERLINK("https://old.ukr-mobil.com/razem_na_zaryadku_asus_me170_memo_pad_hd7_dual_sim_me175kg_k00s_lenovo_tab_2_a7-30_explay_a500_5_pin_micro-usb_tip-b_5620", "Перейти")</f>
        <v>Перейти</v>
      </c>
      <c r="F1863" s="2">
        <v>5620</v>
      </c>
      <c r="G1863" s="4" t="s">
        <v>1982</v>
      </c>
      <c r="H1863" s="1">
        <v>35</v>
      </c>
      <c r="I1863" s="1">
        <v>23</v>
      </c>
      <c r="J1863" s="1">
        <v>94</v>
      </c>
      <c r="K1863" s="2">
        <v>0.35</v>
      </c>
    </row>
    <row r="1864" spans="1:12">
      <c r="A1864" s="3" t="s">
        <v>1750</v>
      </c>
      <c r="B1864" s="3" t="s">
        <v>1983</v>
      </c>
      <c r="C1864" s="3"/>
      <c r="D1864" s="3"/>
      <c r="E1864" s="2" t="str">
        <f>HYPERLINK("https://old.ukr-mobil.com/ramka_sensora_ipad_2_ipad_3_black_106", "Перейти")</f>
        <v>Перейти</v>
      </c>
      <c r="F1864" s="2">
        <v>106</v>
      </c>
      <c r="G1864" s="4" t="s">
        <v>1984</v>
      </c>
      <c r="H1864" s="1">
        <v>0</v>
      </c>
      <c r="I1864" s="1">
        <v>0</v>
      </c>
      <c r="J1864" s="1">
        <v>0</v>
      </c>
      <c r="K1864" s="2">
        <v>1.26</v>
      </c>
    </row>
    <row r="1865" spans="1:12">
      <c r="A1865" s="3" t="s">
        <v>1750</v>
      </c>
      <c r="B1865" s="3" t="s">
        <v>1983</v>
      </c>
      <c r="C1865" s="3"/>
      <c r="D1865" s="3"/>
      <c r="E1865" s="2" t="str">
        <f>HYPERLINK("https://old.ukr-mobil.com/ramka_sensora_ipad_2_ipad_3_white_107", "Перейти")</f>
        <v>Перейти</v>
      </c>
      <c r="F1865" s="2">
        <v>107</v>
      </c>
      <c r="G1865" s="4" t="s">
        <v>1985</v>
      </c>
      <c r="H1865" s="1">
        <v>0</v>
      </c>
      <c r="I1865" s="1">
        <v>0</v>
      </c>
      <c r="J1865" s="1">
        <v>0</v>
      </c>
      <c r="K1865" s="2">
        <v>1.26</v>
      </c>
    </row>
    <row r="1866" spans="1:12">
      <c r="A1866" s="3" t="s">
        <v>1750</v>
      </c>
      <c r="B1866" s="3" t="s">
        <v>1986</v>
      </c>
      <c r="C1866" s="3" t="s">
        <v>54</v>
      </c>
      <c r="D1866" s="3"/>
      <c r="E1866" s="2" t="str">
        <f>HYPERLINK("https://old.ukr-mobil.com/sensor_tachskrin_apple_ipad_10_2_2019_a2197_a2198_a2200_original_black_10001197", "Перейти")</f>
        <v>Перейти</v>
      </c>
      <c r="F1866" s="2">
        <v>10001197</v>
      </c>
      <c r="G1866" s="4" t="s">
        <v>1987</v>
      </c>
      <c r="H1866" s="1">
        <v>1</v>
      </c>
      <c r="I1866" s="1">
        <v>0</v>
      </c>
      <c r="J1866" s="1">
        <v>1</v>
      </c>
      <c r="K1866" s="2">
        <v>5.0</v>
      </c>
    </row>
    <row r="1867" spans="1:12">
      <c r="A1867" s="3" t="s">
        <v>1750</v>
      </c>
      <c r="B1867" s="3" t="s">
        <v>1986</v>
      </c>
      <c r="C1867" s="3" t="s">
        <v>54</v>
      </c>
      <c r="D1867" s="3"/>
      <c r="E1867" s="2" t="str">
        <f>HYPERLINK("https://old.ukr-mobil.com/sensor_tachskrin_apple_ipad_10_2_2019_a2197_a2198_a2200_original_white_10001198", "Перейти")</f>
        <v>Перейти</v>
      </c>
      <c r="F1867" s="2">
        <v>10001198</v>
      </c>
      <c r="G1867" s="4" t="s">
        <v>1988</v>
      </c>
      <c r="H1867" s="1">
        <v>0</v>
      </c>
      <c r="I1867" s="1">
        <v>0</v>
      </c>
      <c r="J1867" s="1">
        <v>0</v>
      </c>
      <c r="K1867" s="2">
        <v>7.45</v>
      </c>
    </row>
    <row r="1868" spans="1:12">
      <c r="A1868" s="3" t="s">
        <v>1750</v>
      </c>
      <c r="B1868" s="3" t="s">
        <v>1986</v>
      </c>
      <c r="C1868" s="3" t="s">
        <v>54</v>
      </c>
      <c r="D1868" s="3"/>
      <c r="E1868" s="2" t="str">
        <f>HYPERLINK("https://old.ukr-mobil.com/sensor_tachskrin_apple_ipad_10_2_2021_a2602_a2603_a2604_a2605_original_black_10002481", "Перейти")</f>
        <v>Перейти</v>
      </c>
      <c r="F1868" s="2">
        <v>10002481</v>
      </c>
      <c r="G1868" s="4" t="s">
        <v>1989</v>
      </c>
      <c r="H1868" s="1">
        <v>0</v>
      </c>
      <c r="I1868" s="1">
        <v>0</v>
      </c>
      <c r="J1868" s="1">
        <v>0</v>
      </c>
      <c r="K1868" s="2">
        <v>5.0</v>
      </c>
    </row>
    <row r="1869" spans="1:12">
      <c r="A1869" s="3" t="s">
        <v>1750</v>
      </c>
      <c r="B1869" s="3" t="s">
        <v>1986</v>
      </c>
      <c r="C1869" s="3" t="s">
        <v>54</v>
      </c>
      <c r="D1869" s="3"/>
      <c r="E1869" s="2" t="str">
        <f>HYPERLINK("https://old.ukr-mobil.com/sensor_tachskrin_apple_ipad_10_2_2021_a2602_a2603_a2604_a2605_original_white_10002482", "Перейти")</f>
        <v>Перейти</v>
      </c>
      <c r="F1869" s="2">
        <v>10002482</v>
      </c>
      <c r="G1869" s="4" t="s">
        <v>1990</v>
      </c>
      <c r="H1869" s="1">
        <v>13</v>
      </c>
      <c r="I1869" s="1">
        <v>5</v>
      </c>
      <c r="J1869" s="1">
        <v>7</v>
      </c>
      <c r="K1869" s="2">
        <v>8.85</v>
      </c>
    </row>
    <row r="1870" spans="1:12">
      <c r="A1870" s="3" t="s">
        <v>1750</v>
      </c>
      <c r="B1870" s="3" t="s">
        <v>1986</v>
      </c>
      <c r="C1870" s="3" t="s">
        <v>54</v>
      </c>
      <c r="D1870" s="3"/>
      <c r="E1870" s="2" t="str">
        <f>HYPERLINK("https://old.ukr-mobil.com/sensor_tachskrin_apple_ipad_10_9_2022_10_gen_original_black_10003893", "Перейти")</f>
        <v>Перейти</v>
      </c>
      <c r="F1870" s="2">
        <v>10003893</v>
      </c>
      <c r="G1870" s="4" t="s">
        <v>1991</v>
      </c>
      <c r="H1870" s="1">
        <v>4</v>
      </c>
      <c r="I1870" s="1">
        <v>0</v>
      </c>
      <c r="J1870" s="1">
        <v>0</v>
      </c>
      <c r="K1870" s="2">
        <v>15.75</v>
      </c>
    </row>
    <row r="1871" spans="1:12">
      <c r="A1871" s="3" t="s">
        <v>1750</v>
      </c>
      <c r="B1871" s="3" t="s">
        <v>1986</v>
      </c>
      <c r="C1871" s="3" t="s">
        <v>54</v>
      </c>
      <c r="D1871" s="3"/>
      <c r="E1871" s="2" t="str">
        <f>HYPERLINK("https://old.ukr-mobil.com/sensor_tachskrin_ipad_5_air_ipad_air_ipad_9_7_2017_a1822_a1823_original_prc_black_11967", "Перейти")</f>
        <v>Перейти</v>
      </c>
      <c r="F1871" s="2">
        <v>11967</v>
      </c>
      <c r="G1871" s="4" t="s">
        <v>1992</v>
      </c>
      <c r="H1871" s="1">
        <v>0</v>
      </c>
      <c r="I1871" s="1">
        <v>0</v>
      </c>
      <c r="J1871" s="1">
        <v>0</v>
      </c>
      <c r="K1871" s="2">
        <v>5.0</v>
      </c>
    </row>
    <row r="1872" spans="1:12">
      <c r="A1872" s="3" t="s">
        <v>1750</v>
      </c>
      <c r="B1872" s="3" t="s">
        <v>1986</v>
      </c>
      <c r="C1872" s="3" t="s">
        <v>54</v>
      </c>
      <c r="D1872" s="3"/>
      <c r="E1872" s="2" t="str">
        <f>HYPERLINK("https://old.ukr-mobil.com/sensor_tachskrin_ipad_5_air_ipad_air_ipad_9_7_2017_a1822_a1823_original_prc_white_11968", "Перейти")</f>
        <v>Перейти</v>
      </c>
      <c r="F1872" s="2">
        <v>11968</v>
      </c>
      <c r="G1872" s="4" t="s">
        <v>1993</v>
      </c>
      <c r="H1872" s="1">
        <v>0</v>
      </c>
      <c r="I1872" s="1">
        <v>0</v>
      </c>
      <c r="J1872" s="1">
        <v>0</v>
      </c>
      <c r="K1872" s="2">
        <v>10.0</v>
      </c>
    </row>
    <row r="1873" spans="1:12">
      <c r="A1873" s="3" t="s">
        <v>1750</v>
      </c>
      <c r="B1873" s="3" t="s">
        <v>1986</v>
      </c>
      <c r="C1873" s="3" t="s">
        <v>54</v>
      </c>
      <c r="D1873" s="3"/>
      <c r="E1873" s="2" t="str">
        <f>HYPERLINK("https://old.ukr-mobil.com/sensor_tachskrin_ipad_5_air_ipad_air_ipad_9_7_2017_a1822_a1823_high_copy_black_4523", "Перейти")</f>
        <v>Перейти</v>
      </c>
      <c r="F1873" s="2">
        <v>4523</v>
      </c>
      <c r="G1873" s="4" t="s">
        <v>1994</v>
      </c>
      <c r="H1873" s="1">
        <v>0</v>
      </c>
      <c r="I1873" s="1">
        <v>0</v>
      </c>
      <c r="J1873" s="1">
        <v>0</v>
      </c>
      <c r="K1873" s="2">
        <v>4.0</v>
      </c>
    </row>
    <row r="1874" spans="1:12">
      <c r="A1874" s="3" t="s">
        <v>1750</v>
      </c>
      <c r="B1874" s="3" t="s">
        <v>1986</v>
      </c>
      <c r="C1874" s="3" t="s">
        <v>54</v>
      </c>
      <c r="D1874" s="3"/>
      <c r="E1874" s="2" t="str">
        <f>HYPERLINK("https://old.ukr-mobil.com/sensor_tachskrin_apple_ipad_5_air_ipad_air_ipad_9_7_2017_a1822_a1823_s_knopkoj_home_original_prc_black_10002460", "Перейти")</f>
        <v>Перейти</v>
      </c>
      <c r="F1874" s="2">
        <v>10002460</v>
      </c>
      <c r="G1874" s="4" t="s">
        <v>1995</v>
      </c>
      <c r="H1874" s="1">
        <v>1</v>
      </c>
      <c r="I1874" s="1">
        <v>0</v>
      </c>
      <c r="J1874" s="1">
        <v>0</v>
      </c>
      <c r="K1874" s="2">
        <v>5.0</v>
      </c>
    </row>
    <row r="1875" spans="1:12">
      <c r="A1875" s="3" t="s">
        <v>1750</v>
      </c>
      <c r="B1875" s="3" t="s">
        <v>1986</v>
      </c>
      <c r="C1875" s="3" t="s">
        <v>54</v>
      </c>
      <c r="D1875" s="3"/>
      <c r="E1875" s="2" t="str">
        <f>HYPERLINK("https://old.ukr-mobil.com/sensor_tachskrin_apple_ipad_5_air_ipad_air_ipad_9_7_2017_a1822_a1823_s_knopkoj_home_original_prc_white_10002461", "Перейти")</f>
        <v>Перейти</v>
      </c>
      <c r="F1875" s="2">
        <v>10002461</v>
      </c>
      <c r="G1875" s="4" t="s">
        <v>1996</v>
      </c>
      <c r="H1875" s="1">
        <v>0</v>
      </c>
      <c r="I1875" s="1">
        <v>0</v>
      </c>
      <c r="J1875" s="1">
        <v>0</v>
      </c>
      <c r="K1875" s="2">
        <v>8.35</v>
      </c>
    </row>
    <row r="1876" spans="1:12">
      <c r="A1876" s="3" t="s">
        <v>1750</v>
      </c>
      <c r="B1876" s="3" t="s">
        <v>1986</v>
      </c>
      <c r="C1876" s="3" t="s">
        <v>54</v>
      </c>
      <c r="D1876" s="3"/>
      <c r="E1876" s="2" t="str">
        <f>HYPERLINK("https://old.ukr-mobil.com/sensor_tachskrin_ipad_9_7_2018_a1893_a1954_original_white_11390", "Перейти")</f>
        <v>Перейти</v>
      </c>
      <c r="F1876" s="2">
        <v>11390</v>
      </c>
      <c r="G1876" s="4" t="s">
        <v>1997</v>
      </c>
      <c r="H1876" s="1">
        <v>0</v>
      </c>
      <c r="I1876" s="1">
        <v>0</v>
      </c>
      <c r="J1876" s="1">
        <v>0</v>
      </c>
      <c r="K1876" s="2">
        <v>9.5</v>
      </c>
    </row>
    <row r="1877" spans="1:12">
      <c r="A1877" s="3" t="s">
        <v>1750</v>
      </c>
      <c r="B1877" s="3" t="s">
        <v>1986</v>
      </c>
      <c r="C1877" s="3" t="s">
        <v>54</v>
      </c>
      <c r="D1877" s="3"/>
      <c r="E1877" s="2" t="str">
        <f>HYPERLINK("https://old.ukr-mobil.com/sensor_tachskrin_ipad_2018_a1893_a1954_original_s_knopkoj_home_black_11926", "Перейти")</f>
        <v>Перейти</v>
      </c>
      <c r="F1877" s="2">
        <v>11926</v>
      </c>
      <c r="G1877" s="4" t="s">
        <v>1998</v>
      </c>
      <c r="H1877" s="1">
        <v>0</v>
      </c>
      <c r="I1877" s="1">
        <v>0</v>
      </c>
      <c r="J1877" s="1">
        <v>0</v>
      </c>
      <c r="K1877" s="2">
        <v>4.0</v>
      </c>
    </row>
    <row r="1878" spans="1:12">
      <c r="A1878" s="3" t="s">
        <v>1750</v>
      </c>
      <c r="B1878" s="3" t="s">
        <v>1986</v>
      </c>
      <c r="C1878" s="3" t="s">
        <v>54</v>
      </c>
      <c r="D1878" s="3"/>
      <c r="E1878" s="2" t="str">
        <f>HYPERLINK("https://old.ukr-mobil.com/sensor_tachskrin_ipad_2018_a1893_a1954_original_s_knopkoj_home_white_10000403", "Перейти")</f>
        <v>Перейти</v>
      </c>
      <c r="F1878" s="2">
        <v>10000403</v>
      </c>
      <c r="G1878" s="4" t="s">
        <v>1999</v>
      </c>
      <c r="H1878" s="1">
        <v>0</v>
      </c>
      <c r="I1878" s="1">
        <v>0</v>
      </c>
      <c r="J1878" s="1">
        <v>0</v>
      </c>
      <c r="K1878" s="2">
        <v>5.0</v>
      </c>
    </row>
    <row r="1879" spans="1:12">
      <c r="A1879" s="3" t="s">
        <v>1750</v>
      </c>
      <c r="B1879" s="3" t="s">
        <v>1986</v>
      </c>
      <c r="C1879" s="3" t="s">
        <v>54</v>
      </c>
      <c r="D1879" s="3"/>
      <c r="E1879" s="2" t="str">
        <f>HYPERLINK("https://old.ukr-mobil.com/sensor_tachskrin_ipad_air_2_a1566_a1567_black_5594", "Перейти")</f>
        <v>Перейти</v>
      </c>
      <c r="F1879" s="2">
        <v>5594</v>
      </c>
      <c r="G1879" s="4" t="s">
        <v>2000</v>
      </c>
      <c r="H1879" s="1">
        <v>9</v>
      </c>
      <c r="I1879" s="1">
        <v>3</v>
      </c>
      <c r="J1879" s="1">
        <v>4</v>
      </c>
      <c r="K1879" s="2">
        <v>9.0</v>
      </c>
    </row>
    <row r="1880" spans="1:12">
      <c r="A1880" s="3" t="s">
        <v>1750</v>
      </c>
      <c r="B1880" s="3" t="s">
        <v>1986</v>
      </c>
      <c r="C1880" s="3" t="s">
        <v>54</v>
      </c>
      <c r="D1880" s="3"/>
      <c r="E1880" s="2" t="str">
        <f>HYPERLINK("https://old.ukr-mobil.com/sensor_tachskrin_ipad_air_2_a1566_a1567_white_5593", "Перейти")</f>
        <v>Перейти</v>
      </c>
      <c r="F1880" s="2">
        <v>5593</v>
      </c>
      <c r="G1880" s="4" t="s">
        <v>2001</v>
      </c>
      <c r="H1880" s="1">
        <v>9</v>
      </c>
      <c r="I1880" s="1">
        <v>3</v>
      </c>
      <c r="J1880" s="1">
        <v>4</v>
      </c>
      <c r="K1880" s="2">
        <v>7.0</v>
      </c>
    </row>
    <row r="1881" spans="1:12">
      <c r="A1881" s="3" t="s">
        <v>1750</v>
      </c>
      <c r="B1881" s="3" t="s">
        <v>1986</v>
      </c>
      <c r="C1881" s="3" t="s">
        <v>54</v>
      </c>
      <c r="D1881" s="3"/>
      <c r="E1881" s="2" t="str">
        <f>HYPERLINK("https://old.ukr-mobil.com/sensor_tachskrin_apple_ipad_air_2_a1566_a1567_s_knopkoj_home_original_black_10002530", "Перейти")</f>
        <v>Перейти</v>
      </c>
      <c r="F1881" s="2">
        <v>10002530</v>
      </c>
      <c r="G1881" s="4" t="s">
        <v>2002</v>
      </c>
      <c r="H1881" s="1">
        <v>1</v>
      </c>
      <c r="I1881" s="1">
        <v>0</v>
      </c>
      <c r="J1881" s="1">
        <v>0</v>
      </c>
      <c r="K1881" s="2">
        <v>22.0</v>
      </c>
    </row>
    <row r="1882" spans="1:12">
      <c r="A1882" s="3" t="s">
        <v>1750</v>
      </c>
      <c r="B1882" s="3" t="s">
        <v>1986</v>
      </c>
      <c r="C1882" s="3" t="s">
        <v>54</v>
      </c>
      <c r="D1882" s="3"/>
      <c r="E1882" s="2" t="str">
        <f>HYPERLINK("https://old.ukr-mobil.com/sensor_tachskrin_apple_ipad_air_2_a1566_a1567_s_knopkoj_home_original_white_10002531", "Перейти")</f>
        <v>Перейти</v>
      </c>
      <c r="F1882" s="2">
        <v>10002531</v>
      </c>
      <c r="G1882" s="4" t="s">
        <v>2003</v>
      </c>
      <c r="H1882" s="1">
        <v>0</v>
      </c>
      <c r="I1882" s="1">
        <v>0</v>
      </c>
      <c r="J1882" s="1">
        <v>0</v>
      </c>
      <c r="K1882" s="2">
        <v>22.0</v>
      </c>
    </row>
    <row r="1883" spans="1:12">
      <c r="A1883" s="3" t="s">
        <v>1750</v>
      </c>
      <c r="B1883" s="3" t="s">
        <v>1986</v>
      </c>
      <c r="C1883" s="3" t="s">
        <v>54</v>
      </c>
      <c r="D1883" s="3"/>
      <c r="E1883" s="2" t="str">
        <f>HYPERLINK("https://old.ukr-mobil.com/sensor_tachskrin_apple_ipad_air_3_2019_a2123_a2152_a2153_original_prc_black_10002017", "Перейти")</f>
        <v>Перейти</v>
      </c>
      <c r="F1883" s="2">
        <v>10002017</v>
      </c>
      <c r="G1883" s="4" t="s">
        <v>2004</v>
      </c>
      <c r="H1883" s="1">
        <v>0</v>
      </c>
      <c r="I1883" s="1">
        <v>1</v>
      </c>
      <c r="J1883" s="1">
        <v>2</v>
      </c>
      <c r="K1883" s="2">
        <v>18.0</v>
      </c>
    </row>
    <row r="1884" spans="1:12">
      <c r="A1884" s="3" t="s">
        <v>1750</v>
      </c>
      <c r="B1884" s="3" t="s">
        <v>1986</v>
      </c>
      <c r="C1884" s="3" t="s">
        <v>54</v>
      </c>
      <c r="D1884" s="3"/>
      <c r="E1884" s="2" t="str">
        <f>HYPERLINK("https://old.ukr-mobil.com/sensor_tachskrin_ipad_mini_a1432_a1454_a1455_ipad_mini_2_retina_a1489_a1490_a1491_s_knopkoj_home_high_copy_black_4010", "Перейти")</f>
        <v>Перейти</v>
      </c>
      <c r="F1884" s="2">
        <v>4010</v>
      </c>
      <c r="G1884" s="4" t="s">
        <v>2005</v>
      </c>
      <c r="H1884" s="1">
        <v>3</v>
      </c>
      <c r="I1884" s="1">
        <v>0</v>
      </c>
      <c r="J1884" s="1">
        <v>0</v>
      </c>
      <c r="K1884" s="2">
        <v>6.0</v>
      </c>
    </row>
    <row r="1885" spans="1:12">
      <c r="A1885" s="3" t="s">
        <v>1750</v>
      </c>
      <c r="B1885" s="3" t="s">
        <v>1986</v>
      </c>
      <c r="C1885" s="3" t="s">
        <v>54</v>
      </c>
      <c r="D1885" s="3"/>
      <c r="E1885" s="2" t="str">
        <f>HYPERLINK("https://old.ukr-mobil.com/sensor_tachskrin_ipad_mini_a1432_a1454_a1455_ipad_mini_2_retina_a1489_a1490_a1491_s_knopkoj_home_high_copy_white_4009", "Перейти")</f>
        <v>Перейти</v>
      </c>
      <c r="F1885" s="2">
        <v>4009</v>
      </c>
      <c r="G1885" s="4" t="s">
        <v>2006</v>
      </c>
      <c r="H1885" s="1">
        <v>2</v>
      </c>
      <c r="I1885" s="1">
        <v>0</v>
      </c>
      <c r="J1885" s="1">
        <v>0</v>
      </c>
      <c r="K1885" s="2">
        <v>8.0</v>
      </c>
    </row>
    <row r="1886" spans="1:12">
      <c r="A1886" s="3" t="s">
        <v>1750</v>
      </c>
      <c r="B1886" s="3" t="s">
        <v>1986</v>
      </c>
      <c r="C1886" s="3" t="s">
        <v>54</v>
      </c>
      <c r="D1886" s="3"/>
      <c r="E1886" s="2" t="str">
        <f>HYPERLINK("https://old.ukr-mobil.com/sensor_tachskrin_ipad_mini_a1432_a1454_a1455_ipad_mini_2_retina_a1489_a1490_a1491_s_knopkoj_home_original_prc_black_5908", "Перейти")</f>
        <v>Перейти</v>
      </c>
      <c r="F1886" s="2">
        <v>5908</v>
      </c>
      <c r="G1886" s="4" t="s">
        <v>2007</v>
      </c>
      <c r="H1886" s="1">
        <v>0</v>
      </c>
      <c r="I1886" s="1">
        <v>1</v>
      </c>
      <c r="J1886" s="1">
        <v>0</v>
      </c>
      <c r="K1886" s="2">
        <v>11.0</v>
      </c>
    </row>
    <row r="1887" spans="1:12">
      <c r="A1887" s="3" t="s">
        <v>1750</v>
      </c>
      <c r="B1887" s="3" t="s">
        <v>1986</v>
      </c>
      <c r="C1887" s="3" t="s">
        <v>54</v>
      </c>
      <c r="D1887" s="3"/>
      <c r="E1887" s="2" t="str">
        <f>HYPERLINK("https://old.ukr-mobil.com/sensor_tachskrin_ipad_mini_a1432_a1454_a1455_ipad_mini_2_retina_a1489_a1490_a1491_s_knopkoj_home_original_prc_white_5907", "Перейти")</f>
        <v>Перейти</v>
      </c>
      <c r="F1887" s="2">
        <v>5907</v>
      </c>
      <c r="G1887" s="4" t="s">
        <v>2008</v>
      </c>
      <c r="H1887" s="1">
        <v>4</v>
      </c>
      <c r="I1887" s="1">
        <v>5</v>
      </c>
      <c r="J1887" s="1">
        <v>6</v>
      </c>
      <c r="K1887" s="2">
        <v>7.0</v>
      </c>
    </row>
    <row r="1888" spans="1:12">
      <c r="A1888" s="3" t="s">
        <v>1750</v>
      </c>
      <c r="B1888" s="3" t="s">
        <v>1986</v>
      </c>
      <c r="C1888" s="3" t="s">
        <v>54</v>
      </c>
      <c r="D1888" s="3"/>
      <c r="E1888" s="2" t="str">
        <f>HYPERLINK("https://old.ukr-mobil.com/sensor_tachskrin_ipad_mini_3_a1599_a1600_black_7316", "Перейти")</f>
        <v>Перейти</v>
      </c>
      <c r="F1888" s="2">
        <v>7316</v>
      </c>
      <c r="G1888" s="4" t="s">
        <v>2009</v>
      </c>
      <c r="H1888" s="1">
        <v>5</v>
      </c>
      <c r="I1888" s="1">
        <v>3</v>
      </c>
      <c r="J1888" s="1">
        <v>4</v>
      </c>
      <c r="K1888" s="2">
        <v>5.0</v>
      </c>
    </row>
    <row r="1889" spans="1:12">
      <c r="A1889" s="3" t="s">
        <v>1750</v>
      </c>
      <c r="B1889" s="3" t="s">
        <v>1986</v>
      </c>
      <c r="C1889" s="3" t="s">
        <v>54</v>
      </c>
      <c r="D1889" s="3"/>
      <c r="E1889" s="2" t="str">
        <f>HYPERLINK("https://old.ukr-mobil.com/sensor_tachskrin_ipad_mini_3_a1599_a1600_white_7317", "Перейти")</f>
        <v>Перейти</v>
      </c>
      <c r="F1889" s="2">
        <v>7317</v>
      </c>
      <c r="G1889" s="4" t="s">
        <v>2010</v>
      </c>
      <c r="H1889" s="1">
        <v>0</v>
      </c>
      <c r="I1889" s="1">
        <v>0</v>
      </c>
      <c r="J1889" s="1">
        <v>0</v>
      </c>
      <c r="K1889" s="2">
        <v>8.8</v>
      </c>
    </row>
    <row r="1890" spans="1:12">
      <c r="A1890" s="3" t="s">
        <v>1750</v>
      </c>
      <c r="B1890" s="3" t="s">
        <v>1986</v>
      </c>
      <c r="C1890" s="3" t="s">
        <v>54</v>
      </c>
      <c r="D1890" s="3"/>
      <c r="E1890" s="2" t="str">
        <f>HYPERLINK("https://old.ukr-mobil.com/sensor_tachskrin_apple_ipad_mini_5_a2124_a2126_a2133_original_prc_black_10002018", "Перейти")</f>
        <v>Перейти</v>
      </c>
      <c r="F1890" s="2">
        <v>10002018</v>
      </c>
      <c r="G1890" s="4" t="s">
        <v>2011</v>
      </c>
      <c r="H1890" s="1">
        <v>0</v>
      </c>
      <c r="I1890" s="1">
        <v>1</v>
      </c>
      <c r="J1890" s="1">
        <v>1</v>
      </c>
      <c r="K1890" s="2">
        <v>12.0</v>
      </c>
    </row>
    <row r="1891" spans="1:12">
      <c r="A1891" s="3" t="s">
        <v>1750</v>
      </c>
      <c r="B1891" s="3" t="s">
        <v>1986</v>
      </c>
      <c r="C1891" s="3" t="s">
        <v>54</v>
      </c>
      <c r="D1891" s="3"/>
      <c r="E1891" s="2" t="str">
        <f>HYPERLINK("https://old.ukr-mobil.com/sensor_tachskrin_apple_ipad_mini_5_a2124_a2126_a2133_original_prc_white_10002019", "Перейти")</f>
        <v>Перейти</v>
      </c>
      <c r="F1891" s="2">
        <v>10002019</v>
      </c>
      <c r="G1891" s="4" t="s">
        <v>2012</v>
      </c>
      <c r="H1891" s="1">
        <v>3</v>
      </c>
      <c r="I1891" s="1">
        <v>0</v>
      </c>
      <c r="J1891" s="1">
        <v>0</v>
      </c>
      <c r="K1891" s="2">
        <v>12.0</v>
      </c>
    </row>
    <row r="1892" spans="1:12">
      <c r="A1892" s="3" t="s">
        <v>1750</v>
      </c>
      <c r="B1892" s="3" t="s">
        <v>1986</v>
      </c>
      <c r="C1892" s="3" t="s">
        <v>54</v>
      </c>
      <c r="D1892" s="3"/>
      <c r="E1892" s="2" t="str">
        <f>HYPERLINK("https://old.ukr-mobil.com/sensor_tachskrin_apple_ipad_mini_2021_a2567_a2568_a2569_original_10002423", "Перейти")</f>
        <v>Перейти</v>
      </c>
      <c r="F1892" s="2">
        <v>10002423</v>
      </c>
      <c r="G1892" s="4" t="s">
        <v>2013</v>
      </c>
      <c r="H1892" s="1">
        <v>4</v>
      </c>
      <c r="I1892" s="1">
        <v>1</v>
      </c>
      <c r="J1892" s="1">
        <v>1</v>
      </c>
      <c r="K1892" s="2">
        <v>20.3</v>
      </c>
    </row>
    <row r="1893" spans="1:12">
      <c r="A1893" s="3" t="s">
        <v>1750</v>
      </c>
      <c r="B1893" s="3" t="s">
        <v>1986</v>
      </c>
      <c r="C1893" s="3" t="s">
        <v>54</v>
      </c>
      <c r="D1893" s="3"/>
      <c r="E1893" s="2" t="str">
        <f>HYPERLINK("https://old.ukr-mobil.com/sensor_tachskrin_ipad_pro_10_5_a1701_a1709_a1852_black_11928", "Перейти")</f>
        <v>Перейти</v>
      </c>
      <c r="F1893" s="2">
        <v>11928</v>
      </c>
      <c r="G1893" s="4" t="s">
        <v>2014</v>
      </c>
      <c r="H1893" s="1">
        <v>2</v>
      </c>
      <c r="I1893" s="1">
        <v>0</v>
      </c>
      <c r="J1893" s="1">
        <v>1</v>
      </c>
      <c r="K1893" s="2">
        <v>12.0</v>
      </c>
    </row>
    <row r="1894" spans="1:12">
      <c r="A1894" s="3" t="s">
        <v>1750</v>
      </c>
      <c r="B1894" s="3" t="s">
        <v>1986</v>
      </c>
      <c r="C1894" s="3" t="s">
        <v>54</v>
      </c>
      <c r="D1894" s="3"/>
      <c r="E1894" s="2" t="str">
        <f>HYPERLINK("https://old.ukr-mobil.com/sensor_tachskrin_ipad_pro_10_5_a1701_a1709_a1852_white_11929", "Перейти")</f>
        <v>Перейти</v>
      </c>
      <c r="F1894" s="2">
        <v>11929</v>
      </c>
      <c r="G1894" s="4" t="s">
        <v>2015</v>
      </c>
      <c r="H1894" s="1">
        <v>2</v>
      </c>
      <c r="I1894" s="1">
        <v>2</v>
      </c>
      <c r="J1894" s="1">
        <v>2</v>
      </c>
      <c r="K1894" s="2">
        <v>16.0</v>
      </c>
    </row>
    <row r="1895" spans="1:12">
      <c r="A1895" s="3" t="s">
        <v>1750</v>
      </c>
      <c r="B1895" s="3" t="s">
        <v>1986</v>
      </c>
      <c r="C1895" s="3" t="s">
        <v>54</v>
      </c>
      <c r="D1895" s="3"/>
      <c r="E1895" s="2" t="str">
        <f>HYPERLINK("https://old.ukr-mobil.com/sensor_tachskrin_apple_ipad_pro_11_2018_ipad_pro_11_2020_original_10002424", "Перейти")</f>
        <v>Перейти</v>
      </c>
      <c r="F1895" s="2">
        <v>10002424</v>
      </c>
      <c r="G1895" s="4" t="s">
        <v>2016</v>
      </c>
      <c r="H1895" s="1">
        <v>4</v>
      </c>
      <c r="I1895" s="1">
        <v>0</v>
      </c>
      <c r="J1895" s="1">
        <v>1</v>
      </c>
      <c r="K1895" s="2">
        <v>30.0</v>
      </c>
    </row>
    <row r="1896" spans="1:12">
      <c r="A1896" s="3" t="s">
        <v>1750</v>
      </c>
      <c r="B1896" s="3" t="s">
        <v>1986</v>
      </c>
      <c r="C1896" s="3" t="s">
        <v>54</v>
      </c>
      <c r="D1896" s="3"/>
      <c r="E1896" s="2" t="str">
        <f>HYPERLINK("https://old.ukr-mobil.com/sensor_tachskrin_apple_ipad_pro_11_2021_original_10002425", "Перейти")</f>
        <v>Перейти</v>
      </c>
      <c r="F1896" s="2">
        <v>10002425</v>
      </c>
      <c r="G1896" s="4" t="s">
        <v>2017</v>
      </c>
      <c r="H1896" s="1">
        <v>4</v>
      </c>
      <c r="I1896" s="1">
        <v>1</v>
      </c>
      <c r="J1896" s="1">
        <v>1</v>
      </c>
      <c r="K1896" s="2">
        <v>33.5</v>
      </c>
    </row>
    <row r="1897" spans="1:12">
      <c r="A1897" s="3" t="s">
        <v>1750</v>
      </c>
      <c r="B1897" s="3" t="s">
        <v>1986</v>
      </c>
      <c r="C1897" s="3" t="s">
        <v>54</v>
      </c>
      <c r="D1897" s="3"/>
      <c r="E1897" s="2" t="str">
        <f>HYPERLINK("https://old.ukr-mobil.com/sensor_tachskrin_apple_ipad_pro_12_9_2018_ipad_pro_12_9_2020_original_10002422", "Перейти")</f>
        <v>Перейти</v>
      </c>
      <c r="F1897" s="2">
        <v>10002422</v>
      </c>
      <c r="G1897" s="4" t="s">
        <v>2018</v>
      </c>
      <c r="H1897" s="1">
        <v>4</v>
      </c>
      <c r="I1897" s="1">
        <v>1</v>
      </c>
      <c r="J1897" s="1">
        <v>1</v>
      </c>
      <c r="K1897" s="2">
        <v>34.0</v>
      </c>
    </row>
    <row r="1898" spans="1:12">
      <c r="A1898" s="3" t="s">
        <v>1750</v>
      </c>
      <c r="B1898" s="3" t="s">
        <v>1986</v>
      </c>
      <c r="C1898" s="3" t="s">
        <v>54</v>
      </c>
      <c r="D1898" s="3"/>
      <c r="E1898" s="2" t="str">
        <f>HYPERLINK("https://old.ukr-mobil.com/sensor_tachskrin_ipad_pro_9_7_a1673_a1674_a1675_black_7957", "Перейти")</f>
        <v>Перейти</v>
      </c>
      <c r="F1898" s="2">
        <v>7957</v>
      </c>
      <c r="G1898" s="4" t="s">
        <v>2019</v>
      </c>
      <c r="H1898" s="1">
        <v>1</v>
      </c>
      <c r="I1898" s="1">
        <v>0</v>
      </c>
      <c r="J1898" s="1">
        <v>0</v>
      </c>
      <c r="K1898" s="2">
        <v>12.0</v>
      </c>
    </row>
    <row r="1899" spans="1:12">
      <c r="A1899" s="3" t="s">
        <v>1750</v>
      </c>
      <c r="B1899" s="3" t="s">
        <v>1986</v>
      </c>
      <c r="C1899" s="3" t="s">
        <v>54</v>
      </c>
      <c r="D1899" s="3"/>
      <c r="E1899" s="2" t="str">
        <f>HYPERLINK("https://old.ukr-mobil.com/sensor_tachskrin_ipad_pro_9_7_a1673_a1674_a1675_white_11927", "Перейти")</f>
        <v>Перейти</v>
      </c>
      <c r="F1899" s="2">
        <v>11927</v>
      </c>
      <c r="G1899" s="4" t="s">
        <v>2020</v>
      </c>
      <c r="H1899" s="1">
        <v>0</v>
      </c>
      <c r="I1899" s="1">
        <v>0</v>
      </c>
      <c r="J1899" s="1">
        <v>0</v>
      </c>
      <c r="K1899" s="2">
        <v>20.0</v>
      </c>
    </row>
    <row r="1900" spans="1:12">
      <c r="A1900" s="3" t="s">
        <v>1750</v>
      </c>
      <c r="B1900" s="3" t="s">
        <v>1986</v>
      </c>
      <c r="C1900" s="3" t="s">
        <v>640</v>
      </c>
      <c r="D1900" s="3"/>
      <c r="E1900" s="2" t="str">
        <f>HYPERLINK("https://old.ukr-mobil.com/sensor_tachskrin_huawei_mediapad_m5_lite_10_bah2-l09_bah2-w19_s_oca_plenkoj_original_prc_black_10004055", "Перейти")</f>
        <v>Перейти</v>
      </c>
      <c r="F1900" s="2">
        <v>10004055</v>
      </c>
      <c r="G1900" s="4" t="s">
        <v>2021</v>
      </c>
      <c r="H1900" s="1">
        <v>0</v>
      </c>
      <c r="I1900" s="1">
        <v>0</v>
      </c>
      <c r="J1900" s="1">
        <v>0</v>
      </c>
      <c r="K1900" s="2">
        <v>10.0</v>
      </c>
    </row>
    <row r="1901" spans="1:12">
      <c r="A1901" s="3" t="s">
        <v>1750</v>
      </c>
      <c r="B1901" s="3" t="s">
        <v>1986</v>
      </c>
      <c r="C1901" s="3" t="s">
        <v>640</v>
      </c>
      <c r="D1901" s="3"/>
      <c r="E1901" s="2" t="str">
        <f>HYPERLINK("https://old.ukr-mobil.com/sensor_tachskrin_huawei_mediapad_t3_10_lte_ags-l09_high_copy_black_10379", "Перейти")</f>
        <v>Перейти</v>
      </c>
      <c r="F1901" s="2">
        <v>10379</v>
      </c>
      <c r="G1901" s="4" t="s">
        <v>2022</v>
      </c>
      <c r="H1901" s="1">
        <v>0</v>
      </c>
      <c r="I1901" s="1">
        <v>0</v>
      </c>
      <c r="J1901" s="1">
        <v>0</v>
      </c>
      <c r="K1901" s="2">
        <v>10.75</v>
      </c>
    </row>
    <row r="1902" spans="1:12">
      <c r="A1902" s="3" t="s">
        <v>1750</v>
      </c>
      <c r="B1902" s="3" t="s">
        <v>1986</v>
      </c>
      <c r="C1902" s="3" t="s">
        <v>640</v>
      </c>
      <c r="D1902" s="3"/>
      <c r="E1902" s="2" t="str">
        <f>HYPERLINK("https://old.ukr-mobil.com/sensor_tachskrin_huawei_mediapad_t3_10_lte_ags-l09_high_copy_white_11486", "Перейти")</f>
        <v>Перейти</v>
      </c>
      <c r="F1902" s="2">
        <v>11486</v>
      </c>
      <c r="G1902" s="4" t="s">
        <v>2023</v>
      </c>
      <c r="H1902" s="1">
        <v>0</v>
      </c>
      <c r="I1902" s="1">
        <v>0</v>
      </c>
      <c r="J1902" s="1">
        <v>0</v>
      </c>
      <c r="K1902" s="2">
        <v>10.75</v>
      </c>
    </row>
    <row r="1903" spans="1:12">
      <c r="A1903" s="3" t="s">
        <v>1750</v>
      </c>
      <c r="B1903" s="3" t="s">
        <v>1986</v>
      </c>
      <c r="C1903" s="3" t="s">
        <v>640</v>
      </c>
      <c r="D1903" s="3"/>
      <c r="E1903" s="2" t="str">
        <f>HYPERLINK("https://old.ukr-mobil.com/sensor_tachskrin_huawei_mediapad_t3_10_lte_ags-l09_s_oca_plenkoj_original_prc_black_10004053", "Перейти")</f>
        <v>Перейти</v>
      </c>
      <c r="F1903" s="2">
        <v>10004053</v>
      </c>
      <c r="G1903" s="4" t="s">
        <v>2024</v>
      </c>
      <c r="H1903" s="1">
        <v>0</v>
      </c>
      <c r="I1903" s="1">
        <v>0</v>
      </c>
      <c r="J1903" s="1">
        <v>0</v>
      </c>
      <c r="K1903" s="2">
        <v>8.5</v>
      </c>
    </row>
    <row r="1904" spans="1:12">
      <c r="A1904" s="3" t="s">
        <v>1750</v>
      </c>
      <c r="B1904" s="3" t="s">
        <v>1986</v>
      </c>
      <c r="C1904" s="3" t="s">
        <v>640</v>
      </c>
      <c r="D1904" s="3"/>
      <c r="E1904" s="2" t="str">
        <f>HYPERLINK("https://old.ukr-mobil.com/sensor_tachskrin_huawei_mediapad_t3_10_lte_ags-l09_s_oca_plenkoj_original_prc_white_10004054", "Перейти")</f>
        <v>Перейти</v>
      </c>
      <c r="F1904" s="2">
        <v>10004054</v>
      </c>
      <c r="G1904" s="4" t="s">
        <v>2025</v>
      </c>
      <c r="H1904" s="1">
        <v>0</v>
      </c>
      <c r="I1904" s="1">
        <v>1</v>
      </c>
      <c r="J1904" s="1">
        <v>0</v>
      </c>
      <c r="K1904" s="2">
        <v>8.5</v>
      </c>
    </row>
    <row r="1905" spans="1:12">
      <c r="A1905" s="3" t="s">
        <v>1750</v>
      </c>
      <c r="B1905" s="3" t="s">
        <v>1986</v>
      </c>
      <c r="C1905" s="3" t="s">
        <v>640</v>
      </c>
      <c r="D1905" s="3"/>
      <c r="E1905" s="2" t="str">
        <f>HYPERLINK("https://old.ukr-mobil.com/sensor_tachskrin_huawei_mediapad_t3_8_0_kob-l09_kob-w09_high_copy_black_11487", "Перейти")</f>
        <v>Перейти</v>
      </c>
      <c r="F1905" s="2">
        <v>11487</v>
      </c>
      <c r="G1905" s="4" t="s">
        <v>2026</v>
      </c>
      <c r="H1905" s="1">
        <v>4</v>
      </c>
      <c r="I1905" s="1">
        <v>4</v>
      </c>
      <c r="J1905" s="1">
        <v>3</v>
      </c>
      <c r="K1905" s="2">
        <v>5.0</v>
      </c>
    </row>
    <row r="1906" spans="1:12">
      <c r="A1906" s="3" t="s">
        <v>1750</v>
      </c>
      <c r="B1906" s="3" t="s">
        <v>1986</v>
      </c>
      <c r="C1906" s="3" t="s">
        <v>640</v>
      </c>
      <c r="D1906" s="3"/>
      <c r="E1906" s="2" t="str">
        <f>HYPERLINK("https://old.ukr-mobil.com/sensor_tachskrin_huawei_mediapad_t3_8_0_kob-l09_kob-w09_high_copy_white_11488", "Перейти")</f>
        <v>Перейти</v>
      </c>
      <c r="F1906" s="2">
        <v>11488</v>
      </c>
      <c r="G1906" s="4" t="s">
        <v>2027</v>
      </c>
      <c r="H1906" s="1">
        <v>10</v>
      </c>
      <c r="I1906" s="1">
        <v>2</v>
      </c>
      <c r="J1906" s="1">
        <v>2</v>
      </c>
      <c r="K1906" s="2">
        <v>5.0</v>
      </c>
    </row>
    <row r="1907" spans="1:12">
      <c r="A1907" s="3" t="s">
        <v>1750</v>
      </c>
      <c r="B1907" s="3" t="s">
        <v>1986</v>
      </c>
      <c r="C1907" s="3" t="s">
        <v>640</v>
      </c>
      <c r="D1907" s="3"/>
      <c r="E1907" s="2" t="str">
        <f>HYPERLINK("https://old.ukr-mobil.com/sensor_tachskrin_huawei_s8-701u_mediapad_t1_8_0_t1-821l_mediapad_t1_8_0_lte_white_9042", "Перейти")</f>
        <v>Перейти</v>
      </c>
      <c r="F1907" s="2">
        <v>9042</v>
      </c>
      <c r="G1907" s="4" t="s">
        <v>2028</v>
      </c>
      <c r="H1907" s="1">
        <v>0</v>
      </c>
      <c r="I1907" s="1">
        <v>0</v>
      </c>
      <c r="J1907" s="1">
        <v>0</v>
      </c>
      <c r="K1907" s="2">
        <v>15.12</v>
      </c>
    </row>
    <row r="1908" spans="1:12">
      <c r="A1908" s="3" t="s">
        <v>1750</v>
      </c>
      <c r="B1908" s="3" t="s">
        <v>1986</v>
      </c>
      <c r="C1908" s="3" t="s">
        <v>640</v>
      </c>
      <c r="D1908" s="3"/>
      <c r="E1908" s="2" t="str">
        <f>HYPERLINK("https://old.ukr-mobil.com/steklo_displeya_huawei_matepad_t10_agr-w09_agr-l09_s_oca_plenkoj_original_prc_white_10004180", "Перейти")</f>
        <v>Перейти</v>
      </c>
      <c r="F1908" s="2">
        <v>10004180</v>
      </c>
      <c r="G1908" s="4" t="s">
        <v>2029</v>
      </c>
      <c r="H1908" s="1">
        <v>7</v>
      </c>
      <c r="I1908" s="1">
        <v>0</v>
      </c>
      <c r="J1908" s="1">
        <v>0</v>
      </c>
      <c r="K1908" s="2">
        <v>2.0</v>
      </c>
    </row>
    <row r="1909" spans="1:12">
      <c r="A1909" s="3" t="s">
        <v>1750</v>
      </c>
      <c r="B1909" s="3" t="s">
        <v>1986</v>
      </c>
      <c r="C1909" s="3" t="s">
        <v>640</v>
      </c>
      <c r="D1909" s="3"/>
      <c r="E1909" s="2" t="str">
        <f>HYPERLINK("https://old.ukr-mobil.com/steklo_displeya_huawei_matepad_t10s_ags3-l09_ags3-w09_s_oca_plenkoj_original_prc_white_10004221", "Перейти")</f>
        <v>Перейти</v>
      </c>
      <c r="F1909" s="2">
        <v>10004221</v>
      </c>
      <c r="G1909" s="4" t="s">
        <v>2030</v>
      </c>
      <c r="H1909" s="1">
        <v>10</v>
      </c>
      <c r="I1909" s="1">
        <v>0</v>
      </c>
      <c r="J1909" s="1">
        <v>0</v>
      </c>
      <c r="K1909" s="2">
        <v>2.0</v>
      </c>
    </row>
    <row r="1910" spans="1:12">
      <c r="A1910" s="3" t="s">
        <v>1750</v>
      </c>
      <c r="B1910" s="3" t="s">
        <v>1986</v>
      </c>
      <c r="C1910" s="3" t="s">
        <v>1048</v>
      </c>
      <c r="D1910" s="3"/>
      <c r="E1910" s="2" t="str">
        <f>HYPERLINK("https://old.ukr-mobil.com/sensor_tachskrin_lenovo_ideatab_a1000_4515", "Перейти")</f>
        <v>Перейти</v>
      </c>
      <c r="F1910" s="2">
        <v>4515</v>
      </c>
      <c r="G1910" s="4" t="s">
        <v>2031</v>
      </c>
      <c r="H1910" s="1">
        <v>3</v>
      </c>
      <c r="I1910" s="1">
        <v>0</v>
      </c>
      <c r="J1910" s="1">
        <v>1</v>
      </c>
      <c r="K1910" s="2">
        <v>3.5</v>
      </c>
    </row>
    <row r="1911" spans="1:12">
      <c r="A1911" s="3" t="s">
        <v>1750</v>
      </c>
      <c r="B1911" s="3" t="s">
        <v>1986</v>
      </c>
      <c r="C1911" s="3" t="s">
        <v>1048</v>
      </c>
      <c r="D1911" s="3"/>
      <c r="E1911" s="2" t="str">
        <f>HYPERLINK("https://old.ukr-mobil.com/sensor_tachskrin_lenovo_ideatab_a3000_black_4516", "Перейти")</f>
        <v>Перейти</v>
      </c>
      <c r="F1911" s="2">
        <v>4516</v>
      </c>
      <c r="G1911" s="4" t="s">
        <v>2032</v>
      </c>
      <c r="H1911" s="1">
        <v>0</v>
      </c>
      <c r="I1911" s="1">
        <v>0</v>
      </c>
      <c r="J1911" s="1">
        <v>0</v>
      </c>
      <c r="K1911" s="2">
        <v>8.06</v>
      </c>
    </row>
    <row r="1912" spans="1:12">
      <c r="A1912" s="3" t="s">
        <v>1750</v>
      </c>
      <c r="B1912" s="3" t="s">
        <v>1986</v>
      </c>
      <c r="C1912" s="3" t="s">
        <v>1048</v>
      </c>
      <c r="D1912" s="3"/>
      <c r="E1912" s="2" t="str">
        <f>HYPERLINK("https://old.ukr-mobil.com/sensor_tachskrin_lenovo_ideatab_a3000_white_5060", "Перейти")</f>
        <v>Перейти</v>
      </c>
      <c r="F1912" s="2">
        <v>5060</v>
      </c>
      <c r="G1912" s="4" t="s">
        <v>2033</v>
      </c>
      <c r="H1912" s="1">
        <v>0</v>
      </c>
      <c r="I1912" s="1">
        <v>0</v>
      </c>
      <c r="J1912" s="1">
        <v>0</v>
      </c>
      <c r="K1912" s="2">
        <v>9.07</v>
      </c>
    </row>
    <row r="1913" spans="1:12">
      <c r="A1913" s="3" t="s">
        <v>1750</v>
      </c>
      <c r="B1913" s="3" t="s">
        <v>1986</v>
      </c>
      <c r="C1913" s="3" t="s">
        <v>1048</v>
      </c>
      <c r="D1913" s="3"/>
      <c r="E1913" s="2" t="str">
        <f>HYPERLINK("https://old.ukr-mobil.com/sensor_tachskrin_lenovo_ideatab_a3300_black_4831", "Перейти")</f>
        <v>Перейти</v>
      </c>
      <c r="F1913" s="2">
        <v>4831</v>
      </c>
      <c r="G1913" s="4" t="s">
        <v>2034</v>
      </c>
      <c r="H1913" s="1">
        <v>0</v>
      </c>
      <c r="I1913" s="1">
        <v>0</v>
      </c>
      <c r="J1913" s="1">
        <v>0</v>
      </c>
      <c r="K1913" s="2">
        <v>8.06</v>
      </c>
    </row>
    <row r="1914" spans="1:12">
      <c r="A1914" s="3" t="s">
        <v>1750</v>
      </c>
      <c r="B1914" s="3" t="s">
        <v>1986</v>
      </c>
      <c r="C1914" s="3" t="s">
        <v>1048</v>
      </c>
      <c r="D1914" s="3"/>
      <c r="E1914" s="2" t="str">
        <f>HYPERLINK("https://old.ukr-mobil.com/sensor_tachskrin_lenovo_ideatab_a3500_black_4826", "Перейти")</f>
        <v>Перейти</v>
      </c>
      <c r="F1914" s="2">
        <v>4826</v>
      </c>
      <c r="G1914" s="4" t="s">
        <v>2035</v>
      </c>
      <c r="H1914" s="1">
        <v>0</v>
      </c>
      <c r="I1914" s="1">
        <v>0</v>
      </c>
      <c r="J1914" s="1">
        <v>0</v>
      </c>
      <c r="K1914" s="2">
        <v>7.56</v>
      </c>
    </row>
    <row r="1915" spans="1:12">
      <c r="A1915" s="3" t="s">
        <v>1750</v>
      </c>
      <c r="B1915" s="3" t="s">
        <v>1986</v>
      </c>
      <c r="C1915" s="3" t="s">
        <v>1048</v>
      </c>
      <c r="D1915" s="3"/>
      <c r="E1915" s="2" t="str">
        <f>HYPERLINK("https://old.ukr-mobil.com/sensor_tachskrin_lenovo_ideatab_s5000_4825", "Перейти")</f>
        <v>Перейти</v>
      </c>
      <c r="F1915" s="2">
        <v>4825</v>
      </c>
      <c r="G1915" s="4" t="s">
        <v>2036</v>
      </c>
      <c r="H1915" s="1">
        <v>0</v>
      </c>
      <c r="I1915" s="1">
        <v>0</v>
      </c>
      <c r="J1915" s="1">
        <v>0</v>
      </c>
      <c r="K1915" s="2">
        <v>19.15</v>
      </c>
    </row>
    <row r="1916" spans="1:12">
      <c r="A1916" s="3" t="s">
        <v>1750</v>
      </c>
      <c r="B1916" s="3" t="s">
        <v>1986</v>
      </c>
      <c r="C1916" s="3" t="s">
        <v>1048</v>
      </c>
      <c r="D1916" s="3"/>
      <c r="E1916" s="2" t="str">
        <f>HYPERLINK("https://old.ukr-mobil.com/sensor_tachskrin_lenovo_ideatab_s6000_4829", "Перейти")</f>
        <v>Перейти</v>
      </c>
      <c r="F1916" s="2">
        <v>4829</v>
      </c>
      <c r="G1916" s="4" t="s">
        <v>2037</v>
      </c>
      <c r="H1916" s="1">
        <v>0</v>
      </c>
      <c r="I1916" s="1">
        <v>0</v>
      </c>
      <c r="J1916" s="1">
        <v>0</v>
      </c>
      <c r="K1916" s="2">
        <v>14.11</v>
      </c>
    </row>
    <row r="1917" spans="1:12">
      <c r="A1917" s="3" t="s">
        <v>1750</v>
      </c>
      <c r="B1917" s="3" t="s">
        <v>1986</v>
      </c>
      <c r="C1917" s="3" t="s">
        <v>1048</v>
      </c>
      <c r="D1917" s="3"/>
      <c r="E1917" s="2" t="str">
        <f>HYPERLINK("https://old.ukr-mobil.com/sensor_tachskrin_lenovo_phab_2_pb2-670m_black_10382", "Перейти")</f>
        <v>Перейти</v>
      </c>
      <c r="F1917" s="2">
        <v>10382</v>
      </c>
      <c r="G1917" s="4" t="s">
        <v>2038</v>
      </c>
      <c r="H1917" s="1">
        <v>0</v>
      </c>
      <c r="I1917" s="1">
        <v>0</v>
      </c>
      <c r="J1917" s="1">
        <v>0</v>
      </c>
      <c r="K1917" s="2">
        <v>9.58</v>
      </c>
    </row>
    <row r="1918" spans="1:12">
      <c r="A1918" s="3" t="s">
        <v>1750</v>
      </c>
      <c r="B1918" s="3" t="s">
        <v>1986</v>
      </c>
      <c r="C1918" s="3" t="s">
        <v>1048</v>
      </c>
      <c r="D1918" s="3"/>
      <c r="E1918" s="2" t="str">
        <f>HYPERLINK("https://old.ukr-mobil.com/sensor_tachskrin_lenovo_phab_2_pb2-670m_gold_10383", "Перейти")</f>
        <v>Перейти</v>
      </c>
      <c r="F1918" s="2">
        <v>10383</v>
      </c>
      <c r="G1918" s="4" t="s">
        <v>2039</v>
      </c>
      <c r="H1918" s="1">
        <v>0</v>
      </c>
      <c r="I1918" s="1">
        <v>0</v>
      </c>
      <c r="J1918" s="1">
        <v>0</v>
      </c>
      <c r="K1918" s="2">
        <v>9.58</v>
      </c>
    </row>
    <row r="1919" spans="1:12">
      <c r="A1919" s="3" t="s">
        <v>1750</v>
      </c>
      <c r="B1919" s="3" t="s">
        <v>1986</v>
      </c>
      <c r="C1919" s="3" t="s">
        <v>1048</v>
      </c>
      <c r="D1919" s="3"/>
      <c r="E1919" s="2" t="str">
        <f>HYPERLINK("https://old.ukr-mobil.com/sensor_tachskrin_lenovo_tab_10_tb-x103f_black_11489", "Перейти")</f>
        <v>Перейти</v>
      </c>
      <c r="F1919" s="2">
        <v>11489</v>
      </c>
      <c r="G1919" s="4" t="s">
        <v>2040</v>
      </c>
      <c r="H1919" s="1">
        <v>0</v>
      </c>
      <c r="I1919" s="1">
        <v>0</v>
      </c>
      <c r="J1919" s="1">
        <v>0</v>
      </c>
      <c r="K1919" s="2">
        <v>12.0</v>
      </c>
    </row>
    <row r="1920" spans="1:12">
      <c r="A1920" s="3" t="s">
        <v>1750</v>
      </c>
      <c r="B1920" s="3" t="s">
        <v>1986</v>
      </c>
      <c r="C1920" s="3" t="s">
        <v>1048</v>
      </c>
      <c r="D1920" s="3"/>
      <c r="E1920" s="2" t="str">
        <f>HYPERLINK("https://old.ukr-mobil.com/sensor_tachskrin_lenovo_tab_2_a10-30_x30f_high_copy_black_6084", "Перейти")</f>
        <v>Перейти</v>
      </c>
      <c r="F1920" s="2">
        <v>6084</v>
      </c>
      <c r="G1920" s="4" t="s">
        <v>2041</v>
      </c>
      <c r="H1920" s="1">
        <v>1</v>
      </c>
      <c r="I1920" s="1">
        <v>0</v>
      </c>
      <c r="J1920" s="1">
        <v>0</v>
      </c>
      <c r="K1920" s="2">
        <v>5.0</v>
      </c>
    </row>
    <row r="1921" spans="1:12">
      <c r="A1921" s="3" t="s">
        <v>1750</v>
      </c>
      <c r="B1921" s="3" t="s">
        <v>1986</v>
      </c>
      <c r="C1921" s="3" t="s">
        <v>1048</v>
      </c>
      <c r="D1921" s="3"/>
      <c r="E1921" s="2" t="str">
        <f>HYPERLINK("https://old.ukr-mobil.com/sensor_tachskrin_lenovo_tab_2_a10-30_x30f_high_copy_white_6083", "Перейти")</f>
        <v>Перейти</v>
      </c>
      <c r="F1921" s="2">
        <v>6083</v>
      </c>
      <c r="G1921" s="4" t="s">
        <v>2042</v>
      </c>
      <c r="H1921" s="1">
        <v>1</v>
      </c>
      <c r="I1921" s="1">
        <v>0</v>
      </c>
      <c r="J1921" s="1">
        <v>0</v>
      </c>
      <c r="K1921" s="2">
        <v>5.0</v>
      </c>
    </row>
    <row r="1922" spans="1:12">
      <c r="A1922" s="3" t="s">
        <v>1750</v>
      </c>
      <c r="B1922" s="3" t="s">
        <v>1986</v>
      </c>
      <c r="C1922" s="3" t="s">
        <v>1048</v>
      </c>
      <c r="D1922" s="3"/>
      <c r="E1922" s="2" t="str">
        <f>HYPERLINK("https://old.ukr-mobil.com/sensor_tachskrin_lenovo_tab_2_a10-70f_tab_2_a10-70l_white_6081", "Перейти")</f>
        <v>Перейти</v>
      </c>
      <c r="F1922" s="2">
        <v>6081</v>
      </c>
      <c r="G1922" s="4" t="s">
        <v>2043</v>
      </c>
      <c r="H1922" s="1">
        <v>0</v>
      </c>
      <c r="I1922" s="1">
        <v>0</v>
      </c>
      <c r="J1922" s="1">
        <v>0</v>
      </c>
      <c r="K1922" s="2">
        <v>11.09</v>
      </c>
    </row>
    <row r="1923" spans="1:12">
      <c r="A1923" s="3" t="s">
        <v>1750</v>
      </c>
      <c r="B1923" s="3" t="s">
        <v>1986</v>
      </c>
      <c r="C1923" s="3" t="s">
        <v>1048</v>
      </c>
      <c r="D1923" s="3"/>
      <c r="E1923" s="2" t="str">
        <f>HYPERLINK("https://old.ukr-mobil.com/sensor_tachskrin_lenovo_tab_2_a7-10_tab_2_a7-20f_black_5755", "Перейти")</f>
        <v>Перейти</v>
      </c>
      <c r="F1923" s="2">
        <v>5755</v>
      </c>
      <c r="G1923" s="4" t="s">
        <v>2044</v>
      </c>
      <c r="H1923" s="1">
        <v>0</v>
      </c>
      <c r="I1923" s="1">
        <v>0</v>
      </c>
      <c r="J1923" s="1">
        <v>0</v>
      </c>
      <c r="K1923" s="2">
        <v>7.56</v>
      </c>
    </row>
    <row r="1924" spans="1:12">
      <c r="A1924" s="3" t="s">
        <v>1750</v>
      </c>
      <c r="B1924" s="3" t="s">
        <v>1986</v>
      </c>
      <c r="C1924" s="3" t="s">
        <v>1048</v>
      </c>
      <c r="D1924" s="3"/>
      <c r="E1924" s="2" t="str">
        <f>HYPERLINK("https://old.ukr-mobil.com/sensor_tachskrin_lenovo_tab_2_a7600_a10-70_black_7511", "Перейти")</f>
        <v>Перейти</v>
      </c>
      <c r="F1924" s="2">
        <v>7511</v>
      </c>
      <c r="G1924" s="4" t="s">
        <v>2045</v>
      </c>
      <c r="H1924" s="1">
        <v>0</v>
      </c>
      <c r="I1924" s="1">
        <v>0</v>
      </c>
      <c r="J1924" s="1">
        <v>0</v>
      </c>
      <c r="K1924" s="2">
        <v>10.08</v>
      </c>
    </row>
    <row r="1925" spans="1:12">
      <c r="A1925" s="3" t="s">
        <v>1750</v>
      </c>
      <c r="B1925" s="3" t="s">
        <v>1986</v>
      </c>
      <c r="C1925" s="3" t="s">
        <v>1048</v>
      </c>
      <c r="D1925" s="3"/>
      <c r="E1925" s="2" t="str">
        <f>HYPERLINK("https://old.ukr-mobil.com/sensor_tachskrin_lenovo_tab_2_a8-50f_tab_2_a8-50lc_black_5758", "Перейти")</f>
        <v>Перейти</v>
      </c>
      <c r="F1925" s="2">
        <v>5758</v>
      </c>
      <c r="G1925" s="4" t="s">
        <v>2046</v>
      </c>
      <c r="H1925" s="1">
        <v>0</v>
      </c>
      <c r="I1925" s="1">
        <v>0</v>
      </c>
      <c r="J1925" s="1">
        <v>0</v>
      </c>
      <c r="K1925" s="2">
        <v>8.06</v>
      </c>
    </row>
    <row r="1926" spans="1:12">
      <c r="A1926" s="3" t="s">
        <v>1750</v>
      </c>
      <c r="B1926" s="3" t="s">
        <v>1986</v>
      </c>
      <c r="C1926" s="3" t="s">
        <v>1048</v>
      </c>
      <c r="D1926" s="3"/>
      <c r="E1926" s="2" t="str">
        <f>HYPERLINK("https://old.ukr-mobil.com/sensor_tachskrin_lenovo_tab_3-710f_black_7534", "Перейти")</f>
        <v>Перейти</v>
      </c>
      <c r="F1926" s="2">
        <v>7534</v>
      </c>
      <c r="G1926" s="4" t="s">
        <v>2047</v>
      </c>
      <c r="H1926" s="1">
        <v>0</v>
      </c>
      <c r="I1926" s="1">
        <v>0</v>
      </c>
      <c r="J1926" s="1">
        <v>0</v>
      </c>
      <c r="K1926" s="2">
        <v>3.0</v>
      </c>
    </row>
    <row r="1927" spans="1:12">
      <c r="A1927" s="3" t="s">
        <v>1750</v>
      </c>
      <c r="B1927" s="3" t="s">
        <v>1986</v>
      </c>
      <c r="C1927" s="3" t="s">
        <v>1048</v>
      </c>
      <c r="D1927" s="3"/>
      <c r="E1927" s="2" t="str">
        <f>HYPERLINK("https://old.ukr-mobil.com/sensor_tachskrin_lenovo_tab_3_tb3-850m_tb3-850f_black_10347", "Перейти")</f>
        <v>Перейти</v>
      </c>
      <c r="F1927" s="2">
        <v>10347</v>
      </c>
      <c r="G1927" s="4" t="s">
        <v>2048</v>
      </c>
      <c r="H1927" s="1">
        <v>0</v>
      </c>
      <c r="I1927" s="1">
        <v>0</v>
      </c>
      <c r="J1927" s="1">
        <v>0</v>
      </c>
      <c r="K1927" s="2">
        <v>12.1</v>
      </c>
    </row>
    <row r="1928" spans="1:12">
      <c r="A1928" s="3" t="s">
        <v>1750</v>
      </c>
      <c r="B1928" s="3" t="s">
        <v>1986</v>
      </c>
      <c r="C1928" s="3" t="s">
        <v>1048</v>
      </c>
      <c r="D1928" s="3"/>
      <c r="E1928" s="2" t="str">
        <f>HYPERLINK("https://old.ukr-mobil.com/sensor_tachskrin_lenovo_tab_4_10_plus_x704l_black_11493", "Перейти")</f>
        <v>Перейти</v>
      </c>
      <c r="F1928" s="2">
        <v>11493</v>
      </c>
      <c r="G1928" s="4" t="s">
        <v>2049</v>
      </c>
      <c r="H1928" s="1">
        <v>0</v>
      </c>
      <c r="I1928" s="1">
        <v>0</v>
      </c>
      <c r="J1928" s="1">
        <v>0</v>
      </c>
      <c r="K1928" s="2">
        <v>24.19</v>
      </c>
    </row>
    <row r="1929" spans="1:12">
      <c r="A1929" s="3" t="s">
        <v>1750</v>
      </c>
      <c r="B1929" s="3" t="s">
        <v>1986</v>
      </c>
      <c r="C1929" s="3" t="s">
        <v>1048</v>
      </c>
      <c r="D1929" s="3"/>
      <c r="E1929" s="2" t="str">
        <f>HYPERLINK("https://old.ukr-mobil.com/sensor_tachskrin_lenovo_tab_4_10_tb-x304l_high_copy_white_10000406", "Перейти")</f>
        <v>Перейти</v>
      </c>
      <c r="F1929" s="2">
        <v>10000406</v>
      </c>
      <c r="G1929" s="4" t="s">
        <v>2050</v>
      </c>
      <c r="H1929" s="1">
        <v>0</v>
      </c>
      <c r="I1929" s="1">
        <v>0</v>
      </c>
      <c r="J1929" s="1">
        <v>0</v>
      </c>
      <c r="K1929" s="2">
        <v>14.11</v>
      </c>
    </row>
    <row r="1930" spans="1:12">
      <c r="A1930" s="3" t="s">
        <v>1750</v>
      </c>
      <c r="B1930" s="3" t="s">
        <v>1986</v>
      </c>
      <c r="C1930" s="3" t="s">
        <v>1048</v>
      </c>
      <c r="D1930" s="3"/>
      <c r="E1930" s="2" t="str">
        <f>HYPERLINK("https://old.ukr-mobil.com/sensor_tachskrin_lenovo_tab_4_10_tb-x304l_s_oca_plenkoj_original_prc_black_10004074", "Перейти")</f>
        <v>Перейти</v>
      </c>
      <c r="F1930" s="2">
        <v>10004074</v>
      </c>
      <c r="G1930" s="4" t="s">
        <v>2051</v>
      </c>
      <c r="H1930" s="1">
        <v>0</v>
      </c>
      <c r="I1930" s="1">
        <v>0</v>
      </c>
      <c r="J1930" s="1">
        <v>0</v>
      </c>
      <c r="K1930" s="2">
        <v>10.0</v>
      </c>
    </row>
    <row r="1931" spans="1:12">
      <c r="A1931" s="3" t="s">
        <v>1750</v>
      </c>
      <c r="B1931" s="3" t="s">
        <v>1986</v>
      </c>
      <c r="C1931" s="3" t="s">
        <v>1048</v>
      </c>
      <c r="D1931" s="3"/>
      <c r="E1931" s="2" t="str">
        <f>HYPERLINK("https://old.ukr-mobil.com/sensor_tachskrin_lenovo_tab_m10_hd_tb-x505_s_oca_plenkoj_original_prc_black_10004057", "Перейти")</f>
        <v>Перейти</v>
      </c>
      <c r="F1931" s="2">
        <v>10004057</v>
      </c>
      <c r="G1931" s="4" t="s">
        <v>2052</v>
      </c>
      <c r="H1931" s="1">
        <v>0</v>
      </c>
      <c r="I1931" s="1">
        <v>0</v>
      </c>
      <c r="J1931" s="1">
        <v>0</v>
      </c>
      <c r="K1931" s="2">
        <v>9.0</v>
      </c>
    </row>
    <row r="1932" spans="1:12">
      <c r="A1932" s="3" t="s">
        <v>1750</v>
      </c>
      <c r="B1932" s="3" t="s">
        <v>1986</v>
      </c>
      <c r="C1932" s="3" t="s">
        <v>1048</v>
      </c>
      <c r="D1932" s="3"/>
      <c r="E1932" s="2" t="str">
        <f>HYPERLINK("https://old.ukr-mobil.com/sensor_tachskrin_lenovo_tab_m10_hd_tb-x505_s_oca_plenkoj_original_prc_white_10004058", "Перейти")</f>
        <v>Перейти</v>
      </c>
      <c r="F1932" s="2">
        <v>10004058</v>
      </c>
      <c r="G1932" s="4" t="s">
        <v>2053</v>
      </c>
      <c r="H1932" s="1">
        <v>0</v>
      </c>
      <c r="I1932" s="1">
        <v>0</v>
      </c>
      <c r="J1932" s="1">
        <v>0</v>
      </c>
      <c r="K1932" s="2">
        <v>9.0</v>
      </c>
    </row>
    <row r="1933" spans="1:12">
      <c r="A1933" s="3" t="s">
        <v>1750</v>
      </c>
      <c r="B1933" s="3" t="s">
        <v>1986</v>
      </c>
      <c r="C1933" s="3" t="s">
        <v>1048</v>
      </c>
      <c r="D1933" s="3"/>
      <c r="E1933" s="2" t="str">
        <f>HYPERLINK("https://old.ukr-mobil.com/sensor_tachskrin_lenovo_yoga_tablet_3_pro_yt3-x90l_yt3-x90f_yt3-x90x_x90l_black_10385", "Перейти")</f>
        <v>Перейти</v>
      </c>
      <c r="F1933" s="2">
        <v>10385</v>
      </c>
      <c r="G1933" s="4" t="s">
        <v>2054</v>
      </c>
      <c r="H1933" s="1">
        <v>5</v>
      </c>
      <c r="I1933" s="1">
        <v>1</v>
      </c>
      <c r="J1933" s="1">
        <v>2</v>
      </c>
      <c r="K1933" s="2">
        <v>18.0</v>
      </c>
    </row>
    <row r="1934" spans="1:12">
      <c r="A1934" s="3" t="s">
        <v>1750</v>
      </c>
      <c r="B1934" s="3" t="s">
        <v>1986</v>
      </c>
      <c r="C1934" s="3" t="s">
        <v>1048</v>
      </c>
      <c r="D1934" s="3"/>
      <c r="E1934" s="2" t="str">
        <f>HYPERLINK("https://old.ukr-mobil.com/sensor_tachskrin_lenovo_yoga_tablet_3-850f_black_10348", "Перейти")</f>
        <v>Перейти</v>
      </c>
      <c r="F1934" s="2">
        <v>10348</v>
      </c>
      <c r="G1934" s="4" t="s">
        <v>2055</v>
      </c>
      <c r="H1934" s="1">
        <v>0</v>
      </c>
      <c r="I1934" s="1">
        <v>0</v>
      </c>
      <c r="J1934" s="1">
        <v>0</v>
      </c>
      <c r="K1934" s="2">
        <v>17.14</v>
      </c>
    </row>
    <row r="1935" spans="1:12">
      <c r="A1935" s="3" t="s">
        <v>1750</v>
      </c>
      <c r="B1935" s="3" t="s">
        <v>1986</v>
      </c>
      <c r="C1935" s="3" t="s">
        <v>1048</v>
      </c>
      <c r="D1935" s="3"/>
      <c r="E1935" s="2" t="str">
        <f>HYPERLINK("https://old.ukr-mobil.com/sensor_tachskrin_lenovo_yoga_tablet_3-x50_10_lte_black_11490", "Перейти")</f>
        <v>Перейти</v>
      </c>
      <c r="F1935" s="2">
        <v>11490</v>
      </c>
      <c r="G1935" s="4" t="s">
        <v>2056</v>
      </c>
      <c r="H1935" s="1">
        <v>0</v>
      </c>
      <c r="I1935" s="1">
        <v>0</v>
      </c>
      <c r="J1935" s="1">
        <v>0</v>
      </c>
      <c r="K1935" s="2">
        <v>12.0</v>
      </c>
    </row>
    <row r="1936" spans="1:12">
      <c r="A1936" s="3" t="s">
        <v>1750</v>
      </c>
      <c r="B1936" s="3" t="s">
        <v>1986</v>
      </c>
      <c r="C1936" s="3" t="s">
        <v>1048</v>
      </c>
      <c r="D1936" s="3"/>
      <c r="E1936" s="2" t="str">
        <f>HYPERLINK("https://old.ukr-mobil.com/sensor_tachskrin_lenovo_yoga_tablet_b6000_4862", "Перейти")</f>
        <v>Перейти</v>
      </c>
      <c r="F1936" s="2">
        <v>4862</v>
      </c>
      <c r="G1936" s="4" t="s">
        <v>2057</v>
      </c>
      <c r="H1936" s="1">
        <v>0</v>
      </c>
      <c r="I1936" s="1">
        <v>0</v>
      </c>
      <c r="J1936" s="1">
        <v>0</v>
      </c>
      <c r="K1936" s="2">
        <v>13.1</v>
      </c>
    </row>
    <row r="1937" spans="1:12">
      <c r="A1937" s="3" t="s">
        <v>1750</v>
      </c>
      <c r="B1937" s="3" t="s">
        <v>1986</v>
      </c>
      <c r="C1937" s="3" t="s">
        <v>1048</v>
      </c>
      <c r="D1937" s="3"/>
      <c r="E1937" s="2" t="str">
        <f>HYPERLINK("https://old.ukr-mobil.com/sensor_tachskrin_lenovo_yoga_tablet_b8000_4828", "Перейти")</f>
        <v>Перейти</v>
      </c>
      <c r="F1937" s="2">
        <v>4828</v>
      </c>
      <c r="G1937" s="4" t="s">
        <v>2058</v>
      </c>
      <c r="H1937" s="1">
        <v>0</v>
      </c>
      <c r="I1937" s="1">
        <v>0</v>
      </c>
      <c r="J1937" s="1">
        <v>0</v>
      </c>
      <c r="K1937" s="2">
        <v>34.27</v>
      </c>
    </row>
    <row r="1938" spans="1:12">
      <c r="A1938" s="3" t="s">
        <v>1750</v>
      </c>
      <c r="B1938" s="3" t="s">
        <v>1986</v>
      </c>
      <c r="C1938" s="3" t="s">
        <v>1056</v>
      </c>
      <c r="D1938" s="3"/>
      <c r="E1938" s="2" t="str">
        <f>HYPERLINK("https://old.ukr-mobil.com/sensor_tachskrin_lg_v490_g_pad_8_0_black_10284", "Перейти")</f>
        <v>Перейти</v>
      </c>
      <c r="F1938" s="2">
        <v>10284</v>
      </c>
      <c r="G1938" s="4" t="s">
        <v>2059</v>
      </c>
      <c r="H1938" s="1">
        <v>0</v>
      </c>
      <c r="I1938" s="1">
        <v>0</v>
      </c>
      <c r="J1938" s="1">
        <v>0</v>
      </c>
      <c r="K1938" s="2">
        <v>16.13</v>
      </c>
    </row>
    <row r="1939" spans="1:12">
      <c r="A1939" s="3" t="s">
        <v>1750</v>
      </c>
      <c r="B1939" s="3" t="s">
        <v>1986</v>
      </c>
      <c r="C1939" s="3" t="s">
        <v>1056</v>
      </c>
      <c r="D1939" s="3"/>
      <c r="E1939" s="2" t="str">
        <f>HYPERLINK("https://old.ukr-mobil.com/sensor_tachskrin_lg_v495_g_pad_8_0_black_11494", "Перейти")</f>
        <v>Перейти</v>
      </c>
      <c r="F1939" s="2">
        <v>11494</v>
      </c>
      <c r="G1939" s="4" t="s">
        <v>2060</v>
      </c>
      <c r="H1939" s="1">
        <v>0</v>
      </c>
      <c r="I1939" s="1">
        <v>0</v>
      </c>
      <c r="J1939" s="1">
        <v>0</v>
      </c>
      <c r="K1939" s="2">
        <v>17.14</v>
      </c>
    </row>
    <row r="1940" spans="1:12">
      <c r="A1940" s="3" t="s">
        <v>1750</v>
      </c>
      <c r="B1940" s="3" t="s">
        <v>1986</v>
      </c>
      <c r="C1940" s="3" t="s">
        <v>1902</v>
      </c>
      <c r="D1940" s="3"/>
      <c r="E1940" s="2" t="str">
        <f>HYPERLINK("https://old.ukr-mobil.com/sensor_tachskrin_nomi_c070010_corsa_razmer_184_108_mm_black_7322", "Перейти")</f>
        <v>Перейти</v>
      </c>
      <c r="F1940" s="2">
        <v>7322</v>
      </c>
      <c r="G1940" s="4" t="s">
        <v>2061</v>
      </c>
      <c r="H1940" s="1">
        <v>0</v>
      </c>
      <c r="I1940" s="1">
        <v>0</v>
      </c>
      <c r="J1940" s="1">
        <v>0</v>
      </c>
      <c r="K1940" s="2">
        <v>4.79</v>
      </c>
    </row>
    <row r="1941" spans="1:12">
      <c r="A1941" s="3" t="s">
        <v>1750</v>
      </c>
      <c r="B1941" s="3" t="s">
        <v>1986</v>
      </c>
      <c r="C1941" s="3" t="s">
        <v>1902</v>
      </c>
      <c r="D1941" s="3"/>
      <c r="E1941" s="2" t="str">
        <f>HYPERLINK("https://old.ukr-mobil.com/sensor_tachskrin_nomi_c070010_corsa_razmer_184_108_mm_white_7323", "Перейти")</f>
        <v>Перейти</v>
      </c>
      <c r="F1941" s="2">
        <v>7323</v>
      </c>
      <c r="G1941" s="4" t="s">
        <v>2062</v>
      </c>
      <c r="H1941" s="1">
        <v>0</v>
      </c>
      <c r="I1941" s="1">
        <v>0</v>
      </c>
      <c r="J1941" s="1">
        <v>0</v>
      </c>
      <c r="K1941" s="2">
        <v>5.04</v>
      </c>
    </row>
    <row r="1942" spans="1:12">
      <c r="A1942" s="3" t="s">
        <v>1750</v>
      </c>
      <c r="B1942" s="3" t="s">
        <v>1986</v>
      </c>
      <c r="C1942" s="3" t="s">
        <v>1902</v>
      </c>
      <c r="D1942" s="3"/>
      <c r="E1942" s="2" t="str">
        <f>HYPERLINK("https://old.ukr-mobil.com/sensor_tachskrin_nomi_c070011_corsa_2_2_5d_p_n_jm70f-62_zyd070-268-v02_white_10004", "Перейти")</f>
        <v>Перейти</v>
      </c>
      <c r="F1942" s="2">
        <v>10004</v>
      </c>
      <c r="G1942" s="4" t="s">
        <v>2063</v>
      </c>
      <c r="H1942" s="1">
        <v>0</v>
      </c>
      <c r="I1942" s="1">
        <v>0</v>
      </c>
      <c r="J1942" s="1">
        <v>0</v>
      </c>
      <c r="K1942" s="2">
        <v>8.06</v>
      </c>
    </row>
    <row r="1943" spans="1:12">
      <c r="A1943" s="3" t="s">
        <v>1750</v>
      </c>
      <c r="B1943" s="3" t="s">
        <v>1986</v>
      </c>
      <c r="C1943" s="3" t="s">
        <v>1902</v>
      </c>
      <c r="D1943" s="3"/>
      <c r="E1943" s="2" t="str">
        <f>HYPERLINK("https://old.ukr-mobil.com/sensor_tachskrin_nomi_c070012_corsa_3_2_5d_p_n_cy70s309-01_gray_10447", "Перейти")</f>
        <v>Перейти</v>
      </c>
      <c r="F1943" s="2">
        <v>10447</v>
      </c>
      <c r="G1943" s="4" t="s">
        <v>2064</v>
      </c>
      <c r="H1943" s="1">
        <v>31</v>
      </c>
      <c r="I1943" s="1">
        <v>9</v>
      </c>
      <c r="J1943" s="1">
        <v>0</v>
      </c>
      <c r="K1943" s="2">
        <v>5.0</v>
      </c>
    </row>
    <row r="1944" spans="1:12">
      <c r="A1944" s="3" t="s">
        <v>1750</v>
      </c>
      <c r="B1944" s="3" t="s">
        <v>1986</v>
      </c>
      <c r="C1944" s="3" t="s">
        <v>1902</v>
      </c>
      <c r="D1944" s="3"/>
      <c r="E1944" s="2" t="str">
        <f>HYPERLINK("https://old.ukr-mobil.com/sensor_tachskrin_nomi_c070012_corsa_3_2_5d_p_n_cy70s309-01_white_10448", "Перейти")</f>
        <v>Перейти</v>
      </c>
      <c r="F1944" s="2">
        <v>10448</v>
      </c>
      <c r="G1944" s="4" t="s">
        <v>2065</v>
      </c>
      <c r="H1944" s="1">
        <v>0</v>
      </c>
      <c r="I1944" s="1">
        <v>0</v>
      </c>
      <c r="J1944" s="1">
        <v>0</v>
      </c>
      <c r="K1944" s="2">
        <v>9.58</v>
      </c>
    </row>
    <row r="1945" spans="1:12">
      <c r="A1945" s="3" t="s">
        <v>1750</v>
      </c>
      <c r="B1945" s="3" t="s">
        <v>1986</v>
      </c>
      <c r="C1945" s="3" t="s">
        <v>1902</v>
      </c>
      <c r="D1945" s="3"/>
      <c r="E1945" s="2" t="str">
        <f>HYPERLINK("https://old.ukr-mobil.com/sensor_tachskrin_nomi_c070014_corsa_4_3g_p_n_xc-283-a1_black_11854", "Перейти")</f>
        <v>Перейти</v>
      </c>
      <c r="F1945" s="2">
        <v>11854</v>
      </c>
      <c r="G1945" s="4" t="s">
        <v>2066</v>
      </c>
      <c r="H1945" s="1">
        <v>0</v>
      </c>
      <c r="I1945" s="1">
        <v>0</v>
      </c>
      <c r="J1945" s="1">
        <v>0</v>
      </c>
      <c r="K1945" s="2">
        <v>6.0</v>
      </c>
    </row>
    <row r="1946" spans="1:12">
      <c r="A1946" s="3" t="s">
        <v>1750</v>
      </c>
      <c r="B1946" s="3" t="s">
        <v>1986</v>
      </c>
      <c r="C1946" s="3" t="s">
        <v>1902</v>
      </c>
      <c r="D1946" s="3"/>
      <c r="E1946" s="2" t="str">
        <f>HYPERLINK("https://old.ukr-mobil.com/sensor_tachskrin_nomi_c070020_corsa_pro_black_razmer_184_104_mm_7520", "Перейти")</f>
        <v>Перейти</v>
      </c>
      <c r="F1946" s="2">
        <v>7520</v>
      </c>
      <c r="G1946" s="4" t="s">
        <v>2067</v>
      </c>
      <c r="H1946" s="1">
        <v>0</v>
      </c>
      <c r="I1946" s="1">
        <v>0</v>
      </c>
      <c r="J1946" s="1">
        <v>0</v>
      </c>
      <c r="K1946" s="2">
        <v>9.07</v>
      </c>
    </row>
    <row r="1947" spans="1:12">
      <c r="A1947" s="3" t="s">
        <v>1750</v>
      </c>
      <c r="B1947" s="3" t="s">
        <v>1986</v>
      </c>
      <c r="C1947" s="3" t="s">
        <v>1902</v>
      </c>
      <c r="D1947" s="3"/>
      <c r="E1947" s="2" t="str">
        <f>HYPERLINK("https://old.ukr-mobil.com/sensor_tachskrin_nomi_c070020_corsa_pro_p_n_70a23_razmer_184mm_108mm_white_7958", "Перейти")</f>
        <v>Перейти</v>
      </c>
      <c r="F1947" s="2">
        <v>7958</v>
      </c>
      <c r="G1947" s="4" t="s">
        <v>2068</v>
      </c>
      <c r="H1947" s="1">
        <v>0</v>
      </c>
      <c r="I1947" s="1">
        <v>0</v>
      </c>
      <c r="J1947" s="1">
        <v>0</v>
      </c>
      <c r="K1947" s="2">
        <v>9.58</v>
      </c>
    </row>
    <row r="1948" spans="1:12">
      <c r="A1948" s="3" t="s">
        <v>1750</v>
      </c>
      <c r="B1948" s="3" t="s">
        <v>1986</v>
      </c>
      <c r="C1948" s="3" t="s">
        <v>1902</v>
      </c>
      <c r="D1948" s="3"/>
      <c r="E1948" s="2" t="str">
        <f>HYPERLINK("https://old.ukr-mobil.com/sensor_tachskrin_nomi_c10103_ultra_16gb_p_n_yj406fpc-v1_7751", "Перейти")</f>
        <v>Перейти</v>
      </c>
      <c r="F1948" s="2">
        <v>7751</v>
      </c>
      <c r="G1948" s="4" t="s">
        <v>2069</v>
      </c>
      <c r="H1948" s="1">
        <v>0</v>
      </c>
      <c r="I1948" s="1">
        <v>0</v>
      </c>
      <c r="J1948" s="1">
        <v>0</v>
      </c>
      <c r="K1948" s="2">
        <v>7.06</v>
      </c>
    </row>
    <row r="1949" spans="1:12">
      <c r="A1949" s="3" t="s">
        <v>1750</v>
      </c>
      <c r="B1949" s="3" t="s">
        <v>1986</v>
      </c>
      <c r="C1949" s="3" t="s">
        <v>1902</v>
      </c>
      <c r="D1949" s="3"/>
      <c r="E1949" s="2" t="str">
        <f>HYPERLINK("https://old.ukr-mobil.com/sensor_tachskrin_nomi_c10103_ultra_nomi_nb-10103_razmer_250mm_115mm_p_n_yj408fpc-v0_8044", "Перейти")</f>
        <v>Перейти</v>
      </c>
      <c r="F1949" s="2">
        <v>8044</v>
      </c>
      <c r="G1949" s="4" t="s">
        <v>2070</v>
      </c>
      <c r="H1949" s="1">
        <v>0</v>
      </c>
      <c r="I1949" s="1">
        <v>0</v>
      </c>
      <c r="J1949" s="1">
        <v>0</v>
      </c>
      <c r="K1949" s="2">
        <v>7.06</v>
      </c>
    </row>
    <row r="1950" spans="1:12">
      <c r="A1950" s="3" t="s">
        <v>1750</v>
      </c>
      <c r="B1950" s="3" t="s">
        <v>1986</v>
      </c>
      <c r="C1950" s="3" t="s">
        <v>653</v>
      </c>
      <c r="D1950" s="3"/>
      <c r="E1950" s="2" t="str">
        <f>HYPERLINK("https://old.ukr-mobil.com/sensor_tachskrin_samsung_n8000_galaxy_note_10_1_n8010_galaxy_note_10_1_p5100_galaxy_tab_2_10_1_p5110_galaxy_tab_2_10_1_black_3512", "Перейти")</f>
        <v>Перейти</v>
      </c>
      <c r="F1950" s="2">
        <v>3512</v>
      </c>
      <c r="G1950" s="4" t="s">
        <v>2071</v>
      </c>
      <c r="H1950" s="1">
        <v>0</v>
      </c>
      <c r="I1950" s="1">
        <v>0</v>
      </c>
      <c r="J1950" s="1">
        <v>0</v>
      </c>
      <c r="K1950" s="2">
        <v>9.0</v>
      </c>
    </row>
    <row r="1951" spans="1:12">
      <c r="A1951" s="3" t="s">
        <v>1750</v>
      </c>
      <c r="B1951" s="3" t="s">
        <v>1986</v>
      </c>
      <c r="C1951" s="3" t="s">
        <v>653</v>
      </c>
      <c r="D1951" s="3"/>
      <c r="E1951" s="2" t="str">
        <f>HYPERLINK("https://old.ukr-mobil.com/sensor_tachskrin_samsung_p1000_2399", "Перейти")</f>
        <v>Перейти</v>
      </c>
      <c r="F1951" s="2">
        <v>2399</v>
      </c>
      <c r="G1951" s="4" t="s">
        <v>2072</v>
      </c>
      <c r="H1951" s="1">
        <v>0</v>
      </c>
      <c r="I1951" s="1">
        <v>0</v>
      </c>
      <c r="J1951" s="1">
        <v>0</v>
      </c>
      <c r="K1951" s="2">
        <v>12.1</v>
      </c>
    </row>
    <row r="1952" spans="1:12">
      <c r="A1952" s="3" t="s">
        <v>1750</v>
      </c>
      <c r="B1952" s="3" t="s">
        <v>1986</v>
      </c>
      <c r="C1952" s="3" t="s">
        <v>653</v>
      </c>
      <c r="D1952" s="3"/>
      <c r="E1952" s="2" t="str">
        <f>HYPERLINK("https://old.ukr-mobil.com/sensor_tachskrin_samsung_p3100_galaxy_tab_2_7_0_black_3800", "Перейти")</f>
        <v>Перейти</v>
      </c>
      <c r="F1952" s="2">
        <v>3800</v>
      </c>
      <c r="G1952" s="4" t="s">
        <v>2073</v>
      </c>
      <c r="H1952" s="1">
        <v>0</v>
      </c>
      <c r="I1952" s="1">
        <v>0</v>
      </c>
      <c r="J1952" s="1">
        <v>0</v>
      </c>
      <c r="K1952" s="2">
        <v>9.07</v>
      </c>
    </row>
    <row r="1953" spans="1:12">
      <c r="A1953" s="3" t="s">
        <v>1750</v>
      </c>
      <c r="B1953" s="3" t="s">
        <v>1986</v>
      </c>
      <c r="C1953" s="3" t="s">
        <v>653</v>
      </c>
      <c r="D1953" s="3"/>
      <c r="E1953" s="2" t="str">
        <f>HYPERLINK("https://old.ukr-mobil.com/sensor_tachskrin_samsung_p550_galaxy_tab_a_9_7_black_11495", "Перейти")</f>
        <v>Перейти</v>
      </c>
      <c r="F1953" s="2">
        <v>11495</v>
      </c>
      <c r="G1953" s="4" t="s">
        <v>2074</v>
      </c>
      <c r="H1953" s="1">
        <v>2</v>
      </c>
      <c r="I1953" s="1">
        <v>0</v>
      </c>
      <c r="J1953" s="1">
        <v>1</v>
      </c>
      <c r="K1953" s="2">
        <v>6.0</v>
      </c>
    </row>
    <row r="1954" spans="1:12">
      <c r="A1954" s="3" t="s">
        <v>1750</v>
      </c>
      <c r="B1954" s="3" t="s">
        <v>1986</v>
      </c>
      <c r="C1954" s="3" t="s">
        <v>653</v>
      </c>
      <c r="D1954" s="3"/>
      <c r="E1954" s="2" t="str">
        <f>HYPERLINK("https://old.ukr-mobil.com/sensor_tachskrin_samsung_p550_galaxy_tab_a_9_7_white_11496", "Перейти")</f>
        <v>Перейти</v>
      </c>
      <c r="F1954" s="2">
        <v>11496</v>
      </c>
      <c r="G1954" s="4" t="s">
        <v>2075</v>
      </c>
      <c r="H1954" s="1">
        <v>1</v>
      </c>
      <c r="I1954" s="1">
        <v>0</v>
      </c>
      <c r="J1954" s="1">
        <v>1</v>
      </c>
      <c r="K1954" s="2">
        <v>3.65</v>
      </c>
    </row>
    <row r="1955" spans="1:12">
      <c r="A1955" s="3" t="s">
        <v>1750</v>
      </c>
      <c r="B1955" s="3" t="s">
        <v>1986</v>
      </c>
      <c r="C1955" s="3" t="s">
        <v>653</v>
      </c>
      <c r="D1955" s="3"/>
      <c r="E1955" s="2" t="str">
        <f>HYPERLINK("https://old.ukr-mobil.com/sensor_tachskrin_samsung_p7300_galaxy_tab_8_9_black_3565", "Перейти")</f>
        <v>Перейти</v>
      </c>
      <c r="F1955" s="2">
        <v>3565</v>
      </c>
      <c r="G1955" s="4" t="s">
        <v>2076</v>
      </c>
      <c r="H1955" s="1">
        <v>0</v>
      </c>
      <c r="I1955" s="1">
        <v>0</v>
      </c>
      <c r="J1955" s="1">
        <v>0</v>
      </c>
      <c r="K1955" s="2">
        <v>16.13</v>
      </c>
    </row>
    <row r="1956" spans="1:12">
      <c r="A1956" s="3" t="s">
        <v>1750</v>
      </c>
      <c r="B1956" s="3" t="s">
        <v>1986</v>
      </c>
      <c r="C1956" s="3" t="s">
        <v>653</v>
      </c>
      <c r="D1956" s="3"/>
      <c r="E1956" s="2" t="str">
        <f>HYPERLINK("https://old.ukr-mobil.com/sensor_tachskrin_samsung_p7300_galaxy_tab_8_9_white_3801", "Перейти")</f>
        <v>Перейти</v>
      </c>
      <c r="F1956" s="2">
        <v>3801</v>
      </c>
      <c r="G1956" s="4" t="s">
        <v>2077</v>
      </c>
      <c r="H1956" s="1">
        <v>0</v>
      </c>
      <c r="I1956" s="1">
        <v>0</v>
      </c>
      <c r="J1956" s="1">
        <v>0</v>
      </c>
      <c r="K1956" s="2">
        <v>16.13</v>
      </c>
    </row>
    <row r="1957" spans="1:12">
      <c r="A1957" s="3" t="s">
        <v>1750</v>
      </c>
      <c r="B1957" s="3" t="s">
        <v>1986</v>
      </c>
      <c r="C1957" s="3" t="s">
        <v>653</v>
      </c>
      <c r="D1957" s="3"/>
      <c r="E1957" s="2" t="str">
        <f>HYPERLINK("https://old.ukr-mobil.com/sensor_tachskrin_samsung_p7500_p7510_galaxy_tab_black_2977", "Перейти")</f>
        <v>Перейти</v>
      </c>
      <c r="F1957" s="2">
        <v>2977</v>
      </c>
      <c r="G1957" s="4" t="s">
        <v>2078</v>
      </c>
      <c r="H1957" s="1">
        <v>1</v>
      </c>
      <c r="I1957" s="1">
        <v>1</v>
      </c>
      <c r="J1957" s="1">
        <v>0</v>
      </c>
      <c r="K1957" s="2">
        <v>12.1</v>
      </c>
    </row>
    <row r="1958" spans="1:12">
      <c r="A1958" s="3" t="s">
        <v>1750</v>
      </c>
      <c r="B1958" s="3" t="s">
        <v>1986</v>
      </c>
      <c r="C1958" s="3" t="s">
        <v>653</v>
      </c>
      <c r="D1958" s="3"/>
      <c r="E1958" s="2" t="str">
        <f>HYPERLINK("https://old.ukr-mobil.com/sensor_tachskrin_samsung_p7500_p7510_galaxy_tab_white_3798", "Перейти")</f>
        <v>Перейти</v>
      </c>
      <c r="F1958" s="2">
        <v>3798</v>
      </c>
      <c r="G1958" s="4" t="s">
        <v>2079</v>
      </c>
      <c r="H1958" s="1">
        <v>0</v>
      </c>
      <c r="I1958" s="1">
        <v>1</v>
      </c>
      <c r="J1958" s="1">
        <v>1</v>
      </c>
      <c r="K1958" s="2">
        <v>12.1</v>
      </c>
    </row>
    <row r="1959" spans="1:12">
      <c r="A1959" s="3" t="s">
        <v>1750</v>
      </c>
      <c r="B1959" s="3" t="s">
        <v>1986</v>
      </c>
      <c r="C1959" s="3" t="s">
        <v>653</v>
      </c>
      <c r="D1959" s="3"/>
      <c r="E1959" s="2" t="str">
        <f>HYPERLINK("https://old.ukr-mobil.com/sensor_tachskrin_samsung_t111_galaxy_tab_3_lite_7_0_3g_black_4856", "Перейти")</f>
        <v>Перейти</v>
      </c>
      <c r="F1959" s="2">
        <v>4856</v>
      </c>
      <c r="G1959" s="4" t="s">
        <v>2080</v>
      </c>
      <c r="H1959" s="1">
        <v>0</v>
      </c>
      <c r="I1959" s="1">
        <v>0</v>
      </c>
      <c r="J1959" s="1">
        <v>4</v>
      </c>
      <c r="K1959" s="2">
        <v>7.06</v>
      </c>
    </row>
    <row r="1960" spans="1:12">
      <c r="A1960" s="3" t="s">
        <v>1750</v>
      </c>
      <c r="B1960" s="3" t="s">
        <v>1986</v>
      </c>
      <c r="C1960" s="3" t="s">
        <v>653</v>
      </c>
      <c r="D1960" s="3"/>
      <c r="E1960" s="2" t="str">
        <f>HYPERLINK("https://old.ukr-mobil.com/sensor_tachskrin_samsung_t111_galaxy_tab_3_lite_7_0_3g_white_4857", "Перейти")</f>
        <v>Перейти</v>
      </c>
      <c r="F1960" s="2">
        <v>4857</v>
      </c>
      <c r="G1960" s="4" t="s">
        <v>2081</v>
      </c>
      <c r="H1960" s="1">
        <v>0</v>
      </c>
      <c r="I1960" s="1">
        <v>0</v>
      </c>
      <c r="J1960" s="1">
        <v>3</v>
      </c>
      <c r="K1960" s="2">
        <v>7.06</v>
      </c>
    </row>
    <row r="1961" spans="1:12">
      <c r="A1961" s="3" t="s">
        <v>1750</v>
      </c>
      <c r="B1961" s="3" t="s">
        <v>1986</v>
      </c>
      <c r="C1961" s="3" t="s">
        <v>653</v>
      </c>
      <c r="D1961" s="3"/>
      <c r="E1961" s="2" t="str">
        <f>HYPERLINK("https://old.ukr-mobil.com/sensor_tachskrin_samsung_t113_galaxy_tab_3_lite_7_0_wi-fi_white_8051", "Перейти")</f>
        <v>Перейти</v>
      </c>
      <c r="F1961" s="2">
        <v>8051</v>
      </c>
      <c r="G1961" s="4" t="s">
        <v>2082</v>
      </c>
      <c r="H1961" s="1">
        <v>0</v>
      </c>
      <c r="I1961" s="1">
        <v>0</v>
      </c>
      <c r="J1961" s="1">
        <v>0</v>
      </c>
      <c r="K1961" s="2">
        <v>8.06</v>
      </c>
    </row>
    <row r="1962" spans="1:12">
      <c r="A1962" s="3" t="s">
        <v>1750</v>
      </c>
      <c r="B1962" s="3" t="s">
        <v>1986</v>
      </c>
      <c r="C1962" s="3" t="s">
        <v>653</v>
      </c>
      <c r="D1962" s="3"/>
      <c r="E1962" s="2" t="str">
        <f>HYPERLINK("https://old.ukr-mobil.com/sensor_tachskrin_samsung_t116_galaxy_tab_3_lite_7_0_3g_high_copy_black_6241", "Перейти")</f>
        <v>Перейти</v>
      </c>
      <c r="F1962" s="2">
        <v>6241</v>
      </c>
      <c r="G1962" s="4" t="s">
        <v>2083</v>
      </c>
      <c r="H1962" s="1">
        <v>0</v>
      </c>
      <c r="I1962" s="1">
        <v>0</v>
      </c>
      <c r="J1962" s="1">
        <v>0</v>
      </c>
      <c r="K1962" s="2">
        <v>4.35</v>
      </c>
    </row>
    <row r="1963" spans="1:12">
      <c r="A1963" s="3" t="s">
        <v>1750</v>
      </c>
      <c r="B1963" s="3" t="s">
        <v>1986</v>
      </c>
      <c r="C1963" s="3" t="s">
        <v>653</v>
      </c>
      <c r="D1963" s="3"/>
      <c r="E1963" s="2" t="str">
        <f>HYPERLINK("https://old.ukr-mobil.com/sensor_tachskrin_samsung_t116_galaxy_tab_3_lite_7_0_3g_high_copy_white_6581", "Перейти")</f>
        <v>Перейти</v>
      </c>
      <c r="F1963" s="2">
        <v>6581</v>
      </c>
      <c r="G1963" s="4" t="s">
        <v>2084</v>
      </c>
      <c r="H1963" s="1">
        <v>0</v>
      </c>
      <c r="I1963" s="1">
        <v>0</v>
      </c>
      <c r="J1963" s="1">
        <v>0</v>
      </c>
      <c r="K1963" s="2">
        <v>4.35</v>
      </c>
    </row>
    <row r="1964" spans="1:12">
      <c r="A1964" s="3" t="s">
        <v>1750</v>
      </c>
      <c r="B1964" s="3" t="s">
        <v>1986</v>
      </c>
      <c r="C1964" s="3" t="s">
        <v>653</v>
      </c>
      <c r="D1964" s="3"/>
      <c r="E1964" s="2" t="str">
        <f>HYPERLINK("https://old.ukr-mobil.com/sensor_tachskrin_samsung_t210_galaxy_tab_3_7_0_wi-fi_black_5365", "Перейти")</f>
        <v>Перейти</v>
      </c>
      <c r="F1964" s="2">
        <v>5365</v>
      </c>
      <c r="G1964" s="4" t="s">
        <v>2085</v>
      </c>
      <c r="H1964" s="1">
        <v>0</v>
      </c>
      <c r="I1964" s="1">
        <v>0</v>
      </c>
      <c r="J1964" s="1">
        <v>0</v>
      </c>
      <c r="K1964" s="2">
        <v>8.06</v>
      </c>
    </row>
    <row r="1965" spans="1:12">
      <c r="A1965" s="3" t="s">
        <v>1750</v>
      </c>
      <c r="B1965" s="3" t="s">
        <v>1986</v>
      </c>
      <c r="C1965" s="3" t="s">
        <v>653</v>
      </c>
      <c r="D1965" s="3"/>
      <c r="E1965" s="2" t="str">
        <f>HYPERLINK("https://old.ukr-mobil.com/sensor_tachskrin_samsung_t210_galaxy_tab_3_7_0_wi-fi_white_5846", "Перейти")</f>
        <v>Перейти</v>
      </c>
      <c r="F1965" s="2">
        <v>5846</v>
      </c>
      <c r="G1965" s="4" t="s">
        <v>2086</v>
      </c>
      <c r="H1965" s="1">
        <v>0</v>
      </c>
      <c r="I1965" s="1">
        <v>0</v>
      </c>
      <c r="J1965" s="1">
        <v>0</v>
      </c>
      <c r="K1965" s="2">
        <v>9.07</v>
      </c>
    </row>
    <row r="1966" spans="1:12">
      <c r="A1966" s="3" t="s">
        <v>1750</v>
      </c>
      <c r="B1966" s="3" t="s">
        <v>1986</v>
      </c>
      <c r="C1966" s="3" t="s">
        <v>653</v>
      </c>
      <c r="D1966" s="3"/>
      <c r="E1966" s="2" t="str">
        <f>HYPERLINK("https://old.ukr-mobil.com/sensor_tachskrin_samsung_t211_galaxy_tab_3_7_0_3g_black_4487", "Перейти")</f>
        <v>Перейти</v>
      </c>
      <c r="F1966" s="2">
        <v>4487</v>
      </c>
      <c r="G1966" s="4" t="s">
        <v>2087</v>
      </c>
      <c r="H1966" s="1">
        <v>0</v>
      </c>
      <c r="I1966" s="1">
        <v>0</v>
      </c>
      <c r="J1966" s="1">
        <v>0</v>
      </c>
      <c r="K1966" s="2">
        <v>8.06</v>
      </c>
    </row>
    <row r="1967" spans="1:12">
      <c r="A1967" s="3" t="s">
        <v>1750</v>
      </c>
      <c r="B1967" s="3" t="s">
        <v>1986</v>
      </c>
      <c r="C1967" s="3" t="s">
        <v>653</v>
      </c>
      <c r="D1967" s="3"/>
      <c r="E1967" s="2" t="str">
        <f>HYPERLINK("https://old.ukr-mobil.com/sensor_tachskrin_samsung_t211_galaxy_tab_3_7_0_3g_brown_5390", "Перейти")</f>
        <v>Перейти</v>
      </c>
      <c r="F1967" s="2">
        <v>5390</v>
      </c>
      <c r="G1967" s="4" t="s">
        <v>2088</v>
      </c>
      <c r="H1967" s="1">
        <v>6</v>
      </c>
      <c r="I1967" s="1">
        <v>1</v>
      </c>
      <c r="J1967" s="1">
        <v>0</v>
      </c>
      <c r="K1967" s="2">
        <v>2.77</v>
      </c>
    </row>
    <row r="1968" spans="1:12">
      <c r="A1968" s="3" t="s">
        <v>1750</v>
      </c>
      <c r="B1968" s="3" t="s">
        <v>1986</v>
      </c>
      <c r="C1968" s="3" t="s">
        <v>653</v>
      </c>
      <c r="D1968" s="3"/>
      <c r="E1968" s="2" t="str">
        <f>HYPERLINK("https://old.ukr-mobil.com/sensor_tachskrin_samsung_t231_galaxy_tab_4_7_0_3g_high_copy_black_4858", "Перейти")</f>
        <v>Перейти</v>
      </c>
      <c r="F1968" s="2">
        <v>4858</v>
      </c>
      <c r="G1968" s="4" t="s">
        <v>2089</v>
      </c>
      <c r="H1968" s="1">
        <v>0</v>
      </c>
      <c r="I1968" s="1">
        <v>0</v>
      </c>
      <c r="J1968" s="1">
        <v>0</v>
      </c>
      <c r="K1968" s="2">
        <v>4.35</v>
      </c>
    </row>
    <row r="1969" spans="1:12">
      <c r="A1969" s="3" t="s">
        <v>1750</v>
      </c>
      <c r="B1969" s="3" t="s">
        <v>1986</v>
      </c>
      <c r="C1969" s="3" t="s">
        <v>653</v>
      </c>
      <c r="D1969" s="3"/>
      <c r="E1969" s="2" t="str">
        <f>HYPERLINK("https://old.ukr-mobil.com/sensor_tachskrin_samsung_t231_galaxy_tab_4_7_0_3g_high_copy_white_4859", "Перейти")</f>
        <v>Перейти</v>
      </c>
      <c r="F1969" s="2">
        <v>4859</v>
      </c>
      <c r="G1969" s="4" t="s">
        <v>2090</v>
      </c>
      <c r="H1969" s="1">
        <v>0</v>
      </c>
      <c r="I1969" s="1">
        <v>0</v>
      </c>
      <c r="J1969" s="1">
        <v>0</v>
      </c>
      <c r="K1969" s="2">
        <v>3.85</v>
      </c>
    </row>
    <row r="1970" spans="1:12">
      <c r="A1970" s="3" t="s">
        <v>1750</v>
      </c>
      <c r="B1970" s="3" t="s">
        <v>1986</v>
      </c>
      <c r="C1970" s="3" t="s">
        <v>653</v>
      </c>
      <c r="D1970" s="3"/>
      <c r="E1970" s="2" t="str">
        <f>HYPERLINK("https://old.ukr-mobil.com/sensor_tachskrin_samsung_t320_galaxy_tab_pro_8_4_versiya_wifi_black_11498", "Перейти")</f>
        <v>Перейти</v>
      </c>
      <c r="F1970" s="2">
        <v>11498</v>
      </c>
      <c r="G1970" s="4" t="s">
        <v>2091</v>
      </c>
      <c r="H1970" s="1">
        <v>0</v>
      </c>
      <c r="I1970" s="1">
        <v>0</v>
      </c>
      <c r="J1970" s="1">
        <v>2</v>
      </c>
      <c r="K1970" s="2">
        <v>10.08</v>
      </c>
    </row>
    <row r="1971" spans="1:12">
      <c r="A1971" s="3" t="s">
        <v>1750</v>
      </c>
      <c r="B1971" s="3" t="s">
        <v>1986</v>
      </c>
      <c r="C1971" s="3" t="s">
        <v>653</v>
      </c>
      <c r="D1971" s="3"/>
      <c r="E1971" s="2" t="str">
        <f>HYPERLINK("https://old.ukr-mobil.com/sensor_tachskrin_samsung_t320_galaxy_tab_pro_8_4_versiya_wifi_white_11499", "Перейти")</f>
        <v>Перейти</v>
      </c>
      <c r="F1971" s="2">
        <v>11499</v>
      </c>
      <c r="G1971" s="4" t="s">
        <v>2092</v>
      </c>
      <c r="H1971" s="1">
        <v>0</v>
      </c>
      <c r="I1971" s="1">
        <v>0</v>
      </c>
      <c r="J1971" s="1">
        <v>0</v>
      </c>
      <c r="K1971" s="2">
        <v>9.07</v>
      </c>
    </row>
    <row r="1972" spans="1:12">
      <c r="A1972" s="3" t="s">
        <v>1750</v>
      </c>
      <c r="B1972" s="3" t="s">
        <v>1986</v>
      </c>
      <c r="C1972" s="3" t="s">
        <v>653</v>
      </c>
      <c r="D1972" s="3"/>
      <c r="E1972" s="2" t="str">
        <f>HYPERLINK("https://old.ukr-mobil.com/sensor_tachskrin_samsung_t321_galaxy_tab_pro_8_4_3g_t325_galaxy_tab_pro_8_4_lte_versiya_3g_black_10160", "Перейти")</f>
        <v>Перейти</v>
      </c>
      <c r="F1972" s="2">
        <v>10160</v>
      </c>
      <c r="G1972" s="4" t="s">
        <v>2093</v>
      </c>
      <c r="H1972" s="1">
        <v>1</v>
      </c>
      <c r="I1972" s="1">
        <v>0</v>
      </c>
      <c r="J1972" s="1">
        <v>0</v>
      </c>
      <c r="K1972" s="2">
        <v>4.0</v>
      </c>
    </row>
    <row r="1973" spans="1:12">
      <c r="A1973" s="3" t="s">
        <v>1750</v>
      </c>
      <c r="B1973" s="3" t="s">
        <v>1986</v>
      </c>
      <c r="C1973" s="3" t="s">
        <v>653</v>
      </c>
      <c r="D1973" s="3"/>
      <c r="E1973" s="2" t="str">
        <f>HYPERLINK("https://old.ukr-mobil.com/sensor_tachskrin_samsung_t321_galaxy_tab_pro_8_4_3g_t325_galaxy_tab_pro_8_4_lte_versiya_3g_white_11500", "Перейти")</f>
        <v>Перейти</v>
      </c>
      <c r="F1973" s="2">
        <v>11500</v>
      </c>
      <c r="G1973" s="4" t="s">
        <v>2094</v>
      </c>
      <c r="H1973" s="1">
        <v>1</v>
      </c>
      <c r="I1973" s="1">
        <v>0</v>
      </c>
      <c r="J1973" s="1">
        <v>0</v>
      </c>
      <c r="K1973" s="2">
        <v>4.0</v>
      </c>
    </row>
    <row r="1974" spans="1:12">
      <c r="A1974" s="3" t="s">
        <v>1750</v>
      </c>
      <c r="B1974" s="3" t="s">
        <v>1986</v>
      </c>
      <c r="C1974" s="3" t="s">
        <v>653</v>
      </c>
      <c r="D1974" s="3"/>
      <c r="E1974" s="2" t="str">
        <f>HYPERLINK("https://old.ukr-mobil.com/sensor_tachskrin_samsung_t335_galaxy_tab_4_8_0_3g_black_9695", "Перейти")</f>
        <v>Перейти</v>
      </c>
      <c r="F1974" s="2">
        <v>9695</v>
      </c>
      <c r="G1974" s="4" t="s">
        <v>2095</v>
      </c>
      <c r="H1974" s="1">
        <v>0</v>
      </c>
      <c r="I1974" s="1">
        <v>0</v>
      </c>
      <c r="J1974" s="1">
        <v>0</v>
      </c>
      <c r="K1974" s="2">
        <v>10.33</v>
      </c>
    </row>
    <row r="1975" spans="1:12">
      <c r="A1975" s="3" t="s">
        <v>1750</v>
      </c>
      <c r="B1975" s="3" t="s">
        <v>1986</v>
      </c>
      <c r="C1975" s="3" t="s">
        <v>653</v>
      </c>
      <c r="D1975" s="3"/>
      <c r="E1975" s="2" t="str">
        <f>HYPERLINK("https://old.ukr-mobil.com/sensor_tachskrin_samsung_t335_galaxy_tab_4_8_0_3g_white_9696", "Перейти")</f>
        <v>Перейти</v>
      </c>
      <c r="F1975" s="2">
        <v>9696</v>
      </c>
      <c r="G1975" s="4" t="s">
        <v>2096</v>
      </c>
      <c r="H1975" s="1">
        <v>0</v>
      </c>
      <c r="I1975" s="1">
        <v>0</v>
      </c>
      <c r="J1975" s="1">
        <v>0</v>
      </c>
      <c r="K1975" s="2">
        <v>10.33</v>
      </c>
    </row>
    <row r="1976" spans="1:12">
      <c r="A1976" s="3" t="s">
        <v>1750</v>
      </c>
      <c r="B1976" s="3" t="s">
        <v>1986</v>
      </c>
      <c r="C1976" s="3" t="s">
        <v>653</v>
      </c>
      <c r="D1976" s="3"/>
      <c r="E1976" s="2" t="str">
        <f>HYPERLINK("https://old.ukr-mobil.com/sensor_tachskrin_samsung_t350_galaxy_tab_a_8_0_versiya_wi-fi_white_11497", "Перейти")</f>
        <v>Перейти</v>
      </c>
      <c r="F1976" s="2">
        <v>11497</v>
      </c>
      <c r="G1976" s="4" t="s">
        <v>2097</v>
      </c>
      <c r="H1976" s="1">
        <v>0</v>
      </c>
      <c r="I1976" s="1">
        <v>0</v>
      </c>
      <c r="J1976" s="1">
        <v>0</v>
      </c>
      <c r="K1976" s="2">
        <v>11.09</v>
      </c>
    </row>
    <row r="1977" spans="1:12">
      <c r="A1977" s="3" t="s">
        <v>1750</v>
      </c>
      <c r="B1977" s="3" t="s">
        <v>1986</v>
      </c>
      <c r="C1977" s="3" t="s">
        <v>653</v>
      </c>
      <c r="D1977" s="3"/>
      <c r="E1977" s="2" t="str">
        <f>HYPERLINK("https://old.ukr-mobil.com/sensor_tachskrin_samsung_t510_galaxy_tab_a_10_1_wi-fi_t515_galaxy_tab_a_10_1_lte_original_prc_black_10001357", "Перейти")</f>
        <v>Перейти</v>
      </c>
      <c r="F1977" s="2">
        <v>10001357</v>
      </c>
      <c r="G1977" s="4" t="s">
        <v>2098</v>
      </c>
      <c r="H1977" s="1">
        <v>0</v>
      </c>
      <c r="I1977" s="1">
        <v>0</v>
      </c>
      <c r="J1977" s="1">
        <v>0</v>
      </c>
      <c r="K1977" s="2">
        <v>20.0</v>
      </c>
    </row>
    <row r="1978" spans="1:12">
      <c r="A1978" s="3" t="s">
        <v>1750</v>
      </c>
      <c r="B1978" s="3" t="s">
        <v>1986</v>
      </c>
      <c r="C1978" s="3" t="s">
        <v>653</v>
      </c>
      <c r="D1978" s="3"/>
      <c r="E1978" s="2" t="str">
        <f>HYPERLINK("https://old.ukr-mobil.com/sensor_tachskrin_samsung_t510_galaxy_tab_a_10_1_wi-fi_t515_galaxy_tab_a_10_1_lte_s_oca_plenkoj_original_10004043", "Перейти")</f>
        <v>Перейти</v>
      </c>
      <c r="F1978" s="2">
        <v>10004043</v>
      </c>
      <c r="G1978" s="4" t="s">
        <v>2099</v>
      </c>
      <c r="H1978" s="1">
        <v>0</v>
      </c>
      <c r="I1978" s="1">
        <v>0</v>
      </c>
      <c r="J1978" s="1">
        <v>0</v>
      </c>
      <c r="K1978" s="2">
        <v>9.0</v>
      </c>
    </row>
    <row r="1979" spans="1:12">
      <c r="A1979" s="3" t="s">
        <v>1750</v>
      </c>
      <c r="B1979" s="3" t="s">
        <v>1986</v>
      </c>
      <c r="C1979" s="3" t="s">
        <v>653</v>
      </c>
      <c r="D1979" s="3"/>
      <c r="E1979" s="2" t="str">
        <f>HYPERLINK("https://old.ukr-mobil.com/sensor_tachskrin_samsung_t550_galaxy_tab_a_9_7_t555_galaxy_tab_a_9_7_lte_black_11501", "Перейти")</f>
        <v>Перейти</v>
      </c>
      <c r="F1979" s="2">
        <v>11501</v>
      </c>
      <c r="G1979" s="4" t="s">
        <v>2100</v>
      </c>
      <c r="H1979" s="1">
        <v>0</v>
      </c>
      <c r="I1979" s="1">
        <v>0</v>
      </c>
      <c r="J1979" s="1">
        <v>0</v>
      </c>
      <c r="K1979" s="2">
        <v>8.06</v>
      </c>
    </row>
    <row r="1980" spans="1:12">
      <c r="A1980" s="3" t="s">
        <v>1750</v>
      </c>
      <c r="B1980" s="3" t="s">
        <v>1986</v>
      </c>
      <c r="C1980" s="3" t="s">
        <v>653</v>
      </c>
      <c r="D1980" s="3"/>
      <c r="E1980" s="2" t="str">
        <f>HYPERLINK("https://old.ukr-mobil.com/sensor_tachskrin_samsung_t550_galaxy_tab_a_9_7_t555_galaxy_tab_a_9_7_lte_white_11502", "Перейти")</f>
        <v>Перейти</v>
      </c>
      <c r="F1980" s="2">
        <v>11502</v>
      </c>
      <c r="G1980" s="4" t="s">
        <v>2101</v>
      </c>
      <c r="H1980" s="1">
        <v>0</v>
      </c>
      <c r="I1980" s="1">
        <v>0</v>
      </c>
      <c r="J1980" s="1">
        <v>0</v>
      </c>
      <c r="K1980" s="2">
        <v>8.06</v>
      </c>
    </row>
    <row r="1981" spans="1:12">
      <c r="A1981" s="3" t="s">
        <v>1750</v>
      </c>
      <c r="B1981" s="3" t="s">
        <v>1986</v>
      </c>
      <c r="C1981" s="3" t="s">
        <v>653</v>
      </c>
      <c r="D1981" s="3"/>
      <c r="E1981" s="2" t="str">
        <f>HYPERLINK("https://old.ukr-mobil.com/sensor_tachskrin_samsung_t560_galaxy_tab_e_9_6_black_9700", "Перейти")</f>
        <v>Перейти</v>
      </c>
      <c r="F1981" s="2">
        <v>9700</v>
      </c>
      <c r="G1981" s="4" t="s">
        <v>2102</v>
      </c>
      <c r="H1981" s="1">
        <v>0</v>
      </c>
      <c r="I1981" s="1">
        <v>0</v>
      </c>
      <c r="J1981" s="1">
        <v>0</v>
      </c>
      <c r="K1981" s="2">
        <v>7.5</v>
      </c>
    </row>
    <row r="1982" spans="1:12">
      <c r="A1982" s="3" t="s">
        <v>1750</v>
      </c>
      <c r="B1982" s="3" t="s">
        <v>1986</v>
      </c>
      <c r="C1982" s="3" t="s">
        <v>653</v>
      </c>
      <c r="D1982" s="3"/>
      <c r="E1982" s="2" t="str">
        <f>HYPERLINK("https://old.ukr-mobil.com/sensor_tachskrin_samsung_t560_galaxy_tab_e_9_6_white_9701", "Перейти")</f>
        <v>Перейти</v>
      </c>
      <c r="F1982" s="2">
        <v>9701</v>
      </c>
      <c r="G1982" s="4" t="s">
        <v>2103</v>
      </c>
      <c r="H1982" s="1">
        <v>0</v>
      </c>
      <c r="I1982" s="1">
        <v>0</v>
      </c>
      <c r="J1982" s="1">
        <v>0</v>
      </c>
      <c r="K1982" s="2">
        <v>7.5</v>
      </c>
    </row>
    <row r="1983" spans="1:12">
      <c r="A1983" s="3" t="s">
        <v>1750</v>
      </c>
      <c r="B1983" s="3" t="s">
        <v>1986</v>
      </c>
      <c r="C1983" s="3" t="s">
        <v>653</v>
      </c>
      <c r="D1983" s="3"/>
      <c r="E1983" s="2" t="str">
        <f>HYPERLINK("https://old.ukr-mobil.com/sensor_tachskrin_samsung_t580_galaxy_tab_a_10_1_wifi_t585_galaxy_tab_a_10_1_3g_high_copy_black_11129", "Перейти")</f>
        <v>Перейти</v>
      </c>
      <c r="F1983" s="2">
        <v>11129</v>
      </c>
      <c r="G1983" s="4" t="s">
        <v>2104</v>
      </c>
      <c r="H1983" s="1">
        <v>0</v>
      </c>
      <c r="I1983" s="1">
        <v>0</v>
      </c>
      <c r="J1983" s="1">
        <v>0</v>
      </c>
      <c r="K1983" s="2">
        <v>11.35</v>
      </c>
    </row>
    <row r="1984" spans="1:12">
      <c r="A1984" s="3" t="s">
        <v>1750</v>
      </c>
      <c r="B1984" s="3" t="s">
        <v>1986</v>
      </c>
      <c r="C1984" s="3" t="s">
        <v>653</v>
      </c>
      <c r="D1984" s="3"/>
      <c r="E1984" s="2" t="str">
        <f>HYPERLINK("https://old.ukr-mobil.com/sensor_tachskrin_samsung_t580_galaxy_tab_a_10_1_wifi_t585_galaxy_tab_a_10_1_3g_high_copy_white_11118", "Перейти")</f>
        <v>Перейти</v>
      </c>
      <c r="F1984" s="2">
        <v>11118</v>
      </c>
      <c r="G1984" s="4" t="s">
        <v>2105</v>
      </c>
      <c r="H1984" s="1">
        <v>0</v>
      </c>
      <c r="I1984" s="1">
        <v>0</v>
      </c>
      <c r="J1984" s="1">
        <v>0</v>
      </c>
      <c r="K1984" s="2">
        <v>5.75</v>
      </c>
    </row>
    <row r="1985" spans="1:12">
      <c r="A1985" s="3" t="s">
        <v>1750</v>
      </c>
      <c r="B1985" s="3" t="s">
        <v>1986</v>
      </c>
      <c r="C1985" s="3" t="s">
        <v>653</v>
      </c>
      <c r="D1985" s="3"/>
      <c r="E1985" s="2" t="str">
        <f>HYPERLINK("https://old.ukr-mobil.com/sensor_tachskrin_samsung_t800_galaxy_tab_s_10_5_t805_galaxy_tab_s_10_5_lte_black_11503", "Перейти")</f>
        <v>Перейти</v>
      </c>
      <c r="F1985" s="2">
        <v>11503</v>
      </c>
      <c r="G1985" s="4" t="s">
        <v>2106</v>
      </c>
      <c r="H1985" s="1">
        <v>1</v>
      </c>
      <c r="I1985" s="1">
        <v>0</v>
      </c>
      <c r="J1985" s="1">
        <v>0</v>
      </c>
      <c r="K1985" s="2">
        <v>3.0</v>
      </c>
    </row>
    <row r="1986" spans="1:12">
      <c r="A1986" s="3" t="s">
        <v>1750</v>
      </c>
      <c r="B1986" s="3" t="s">
        <v>2107</v>
      </c>
      <c r="C1986" s="3" t="s">
        <v>54</v>
      </c>
      <c r="D1986" s="3"/>
      <c r="E1986" s="2" t="str">
        <f>HYPERLINK("https://old.ukr-mobil.com/shlejf_apple_ipad_10_2_2019_a2197_a2198_a2200_ipad_10_2_2020_a2270_a2428_a2429_ipad_10_2_2021_konnektor_zaryadki_black_10003468", "Перейти")</f>
        <v>Перейти</v>
      </c>
      <c r="F1986" s="2">
        <v>10003468</v>
      </c>
      <c r="G1986" s="4" t="s">
        <v>2108</v>
      </c>
      <c r="H1986" s="1">
        <v>0</v>
      </c>
      <c r="I1986" s="1">
        <v>0</v>
      </c>
      <c r="J1986" s="1">
        <v>0</v>
      </c>
      <c r="K1986" s="2">
        <v>2.85</v>
      </c>
    </row>
    <row r="1987" spans="1:12">
      <c r="A1987" s="3" t="s">
        <v>1750</v>
      </c>
      <c r="B1987" s="3" t="s">
        <v>2107</v>
      </c>
      <c r="C1987" s="3" t="s">
        <v>54</v>
      </c>
      <c r="D1987" s="3"/>
      <c r="E1987" s="2" t="str">
        <f>HYPERLINK("https://old.ukr-mobil.com/shlejf_apple_ipad_10_2_2019_a2197_a2198_a2200_ipad_10_2_2020_a2270_a2428_a2429_ipad_10_2_2021_konnektor_zaryadki_white_10003469", "Перейти")</f>
        <v>Перейти</v>
      </c>
      <c r="F1987" s="2">
        <v>10003469</v>
      </c>
      <c r="G1987" s="4" t="s">
        <v>2109</v>
      </c>
      <c r="H1987" s="1">
        <v>0</v>
      </c>
      <c r="I1987" s="1">
        <v>0</v>
      </c>
      <c r="J1987" s="1">
        <v>0</v>
      </c>
      <c r="K1987" s="2">
        <v>2.95</v>
      </c>
    </row>
    <row r="1988" spans="1:12">
      <c r="A1988" s="3" t="s">
        <v>1750</v>
      </c>
      <c r="B1988" s="3" t="s">
        <v>2107</v>
      </c>
      <c r="C1988" s="3" t="s">
        <v>54</v>
      </c>
      <c r="D1988" s="3"/>
      <c r="E1988" s="2" t="str">
        <f>HYPERLINK("https://old.ukr-mobil.com/shlejf_apple_ipad_10_2_2019_a2197_a2198_a2200_ipad_10_2_2020_a2270_a2428_a2429_s_mikrofonom_10003482", "Перейти")</f>
        <v>Перейти</v>
      </c>
      <c r="F1988" s="2">
        <v>10003482</v>
      </c>
      <c r="G1988" s="4" t="s">
        <v>2110</v>
      </c>
      <c r="H1988" s="1">
        <v>0</v>
      </c>
      <c r="I1988" s="1">
        <v>3</v>
      </c>
      <c r="J1988" s="1">
        <v>9</v>
      </c>
      <c r="K1988" s="2">
        <v>3.2</v>
      </c>
    </row>
    <row r="1989" spans="1:12">
      <c r="A1989" s="3" t="s">
        <v>1750</v>
      </c>
      <c r="B1989" s="3" t="s">
        <v>2107</v>
      </c>
      <c r="C1989" s="3" t="s">
        <v>54</v>
      </c>
      <c r="D1989" s="3"/>
      <c r="E1989" s="2" t="str">
        <f>HYPERLINK("https://old.ukr-mobil.com/shlejf_ipad_2_wi-fi_3g_a1395_a1396_a1397_s_konnektorom_na_naushniki_i_sim-kartu_black_2850", "Перейти")</f>
        <v>Перейти</v>
      </c>
      <c r="F1989" s="2">
        <v>2850</v>
      </c>
      <c r="G1989" s="4" t="s">
        <v>2111</v>
      </c>
      <c r="H1989" s="1">
        <v>2</v>
      </c>
      <c r="I1989" s="1">
        <v>0</v>
      </c>
      <c r="J1989" s="1">
        <v>0</v>
      </c>
      <c r="K1989" s="2">
        <v>4.03</v>
      </c>
    </row>
    <row r="1990" spans="1:12">
      <c r="A1990" s="3" t="s">
        <v>1750</v>
      </c>
      <c r="B1990" s="3" t="s">
        <v>2107</v>
      </c>
      <c r="C1990" s="3" t="s">
        <v>54</v>
      </c>
      <c r="D1990" s="3"/>
      <c r="E1990" s="2" t="str">
        <f>HYPERLINK("https://old.ukr-mobil.com/shlejf_ipad_3_a1403_a1416_a1430_ipad_4_a1458_a1459_a1460_s_knopkoj_home_white_8897", "Перейти")</f>
        <v>Перейти</v>
      </c>
      <c r="F1990" s="2">
        <v>8897</v>
      </c>
      <c r="G1990" s="4" t="s">
        <v>2112</v>
      </c>
      <c r="H1990" s="1">
        <v>1</v>
      </c>
      <c r="I1990" s="1">
        <v>0</v>
      </c>
      <c r="J1990" s="1">
        <v>0</v>
      </c>
      <c r="K1990" s="2">
        <v>2.77</v>
      </c>
    </row>
    <row r="1991" spans="1:12">
      <c r="A1991" s="3" t="s">
        <v>1750</v>
      </c>
      <c r="B1991" s="3" t="s">
        <v>2107</v>
      </c>
      <c r="C1991" s="3" t="s">
        <v>54</v>
      </c>
      <c r="D1991" s="3"/>
      <c r="E1991" s="2" t="str">
        <f>HYPERLINK("https://old.ukr-mobil.com/shlejf_ipad_3_ipad_4_a1416_a1430_a1403_a1458_a1459_a1460_s_mikrofonom_4097", "Перейти")</f>
        <v>Перейти</v>
      </c>
      <c r="F1991" s="2">
        <v>4097</v>
      </c>
      <c r="G1991" s="4" t="s">
        <v>2113</v>
      </c>
      <c r="H1991" s="1">
        <v>2</v>
      </c>
      <c r="I1991" s="1">
        <v>0</v>
      </c>
      <c r="J1991" s="1">
        <v>0</v>
      </c>
      <c r="K1991" s="2">
        <v>5.54</v>
      </c>
    </row>
    <row r="1992" spans="1:12">
      <c r="A1992" s="3" t="s">
        <v>1750</v>
      </c>
      <c r="B1992" s="3" t="s">
        <v>2107</v>
      </c>
      <c r="C1992" s="3" t="s">
        <v>54</v>
      </c>
      <c r="D1992" s="3"/>
      <c r="E1992" s="2" t="str">
        <f>HYPERLINK("https://old.ukr-mobil.com/shlejf_ipad_air_a1474_a1475_a1476_ipad_9_7_2017_a1822_a1823_s_knopkoj_vklecheniya_regulirovkoj_gromkosti_original_5609", "Перейти")</f>
        <v>Перейти</v>
      </c>
      <c r="F1992" s="2">
        <v>5609</v>
      </c>
      <c r="G1992" s="4" t="s">
        <v>2114</v>
      </c>
      <c r="H1992" s="1">
        <v>17</v>
      </c>
      <c r="I1992" s="1">
        <v>2</v>
      </c>
      <c r="J1992" s="1">
        <v>3</v>
      </c>
      <c r="K1992" s="2">
        <v>1.5</v>
      </c>
    </row>
    <row r="1993" spans="1:12">
      <c r="A1993" s="3" t="s">
        <v>1750</v>
      </c>
      <c r="B1993" s="3" t="s">
        <v>2107</v>
      </c>
      <c r="C1993" s="3" t="s">
        <v>54</v>
      </c>
      <c r="D1993" s="3"/>
      <c r="E1993" s="2" t="str">
        <f>HYPERLINK("https://old.ukr-mobil.com/shlejf_ipad_air_2_a1566_a1567_konnektor_zaryadki_s_komponentami_black_9713", "Перейти")</f>
        <v>Перейти</v>
      </c>
      <c r="F1993" s="2">
        <v>9713</v>
      </c>
      <c r="G1993" s="4" t="s">
        <v>2115</v>
      </c>
      <c r="H1993" s="1">
        <v>0</v>
      </c>
      <c r="I1993" s="1">
        <v>0</v>
      </c>
      <c r="J1993" s="1">
        <v>0</v>
      </c>
      <c r="K1993" s="2">
        <v>3.88</v>
      </c>
    </row>
    <row r="1994" spans="1:12">
      <c r="A1994" s="3" t="s">
        <v>1750</v>
      </c>
      <c r="B1994" s="3" t="s">
        <v>2107</v>
      </c>
      <c r="C1994" s="3" t="s">
        <v>54</v>
      </c>
      <c r="D1994" s="3"/>
      <c r="E1994" s="2" t="str">
        <f>HYPERLINK("https://old.ukr-mobil.com/shlejf_ipad_air_2_a1566_a1567_konnektor_zaryadki_s_komponentami_white_9714", "Перейти")</f>
        <v>Перейти</v>
      </c>
      <c r="F1994" s="2">
        <v>9714</v>
      </c>
      <c r="G1994" s="4" t="s">
        <v>2116</v>
      </c>
      <c r="H1994" s="1">
        <v>0</v>
      </c>
      <c r="I1994" s="1">
        <v>0</v>
      </c>
      <c r="J1994" s="1">
        <v>0</v>
      </c>
      <c r="K1994" s="2">
        <v>3.88</v>
      </c>
    </row>
    <row r="1995" spans="1:12">
      <c r="A1995" s="3" t="s">
        <v>1750</v>
      </c>
      <c r="B1995" s="3" t="s">
        <v>2107</v>
      </c>
      <c r="C1995" s="3" t="s">
        <v>54</v>
      </c>
      <c r="D1995" s="3"/>
      <c r="E1995" s="2" t="str">
        <f>HYPERLINK("https://old.ukr-mobil.com/shlejf_ipad_air_ipad_5_a1474_a1475_a1476_konnektor_zaryadki_black_original_10000438", "Перейти")</f>
        <v>Перейти</v>
      </c>
      <c r="F1995" s="2">
        <v>10000438</v>
      </c>
      <c r="G1995" s="4" t="s">
        <v>2117</v>
      </c>
      <c r="H1995" s="1">
        <v>0</v>
      </c>
      <c r="I1995" s="1">
        <v>0</v>
      </c>
      <c r="J1995" s="1">
        <v>0</v>
      </c>
      <c r="K1995" s="2">
        <v>2.3</v>
      </c>
    </row>
    <row r="1996" spans="1:12">
      <c r="A1996" s="3" t="s">
        <v>1750</v>
      </c>
      <c r="B1996" s="3" t="s">
        <v>2107</v>
      </c>
      <c r="C1996" s="3" t="s">
        <v>54</v>
      </c>
      <c r="D1996" s="3"/>
      <c r="E1996" s="2" t="str">
        <f>HYPERLINK("https://old.ukr-mobil.com/shlejf_ipad_air_ipad_5_a1474_a1475_a1476_konnektor_zaryadki_white_original_10000437", "Перейти")</f>
        <v>Перейти</v>
      </c>
      <c r="F1996" s="2">
        <v>10000437</v>
      </c>
      <c r="G1996" s="4" t="s">
        <v>2118</v>
      </c>
      <c r="H1996" s="1">
        <v>0</v>
      </c>
      <c r="I1996" s="1">
        <v>0</v>
      </c>
      <c r="J1996" s="1">
        <v>0</v>
      </c>
      <c r="K1996" s="2">
        <v>2.3</v>
      </c>
    </row>
    <row r="1997" spans="1:12">
      <c r="A1997" s="3" t="s">
        <v>1750</v>
      </c>
      <c r="B1997" s="3" t="s">
        <v>2107</v>
      </c>
      <c r="C1997" s="3" t="s">
        <v>54</v>
      </c>
      <c r="D1997" s="3"/>
      <c r="E1997" s="2" t="str">
        <f>HYPERLINK("https://old.ukr-mobil.com/shlejf_ipad_mini_a1432_a1454_a1455_knopka_vklyucheniya_s_komponentami_4096", "Перейти")</f>
        <v>Перейти</v>
      </c>
      <c r="F1997" s="2">
        <v>4096</v>
      </c>
      <c r="G1997" s="4" t="s">
        <v>2119</v>
      </c>
      <c r="H1997" s="1">
        <v>5</v>
      </c>
      <c r="I1997" s="1">
        <v>0</v>
      </c>
      <c r="J1997" s="1">
        <v>3</v>
      </c>
      <c r="K1997" s="2">
        <v>2.02</v>
      </c>
    </row>
    <row r="1998" spans="1:12">
      <c r="A1998" s="3" t="s">
        <v>1750</v>
      </c>
      <c r="B1998" s="3" t="s">
        <v>2107</v>
      </c>
      <c r="C1998" s="3" t="s">
        <v>54</v>
      </c>
      <c r="D1998" s="3"/>
      <c r="E1998" s="2" t="str">
        <f>HYPERLINK("https://old.ukr-mobil.com/shlejf_ipad_mini_a1432_a1454_a1455_konnektor_zaryadki_s_komponentami_black_4092", "Перейти")</f>
        <v>Перейти</v>
      </c>
      <c r="F1998" s="2">
        <v>4092</v>
      </c>
      <c r="G1998" s="4" t="s">
        <v>2120</v>
      </c>
      <c r="H1998" s="1">
        <v>5</v>
      </c>
      <c r="I1998" s="1">
        <v>2</v>
      </c>
      <c r="J1998" s="1">
        <v>1</v>
      </c>
      <c r="K1998" s="2">
        <v>2.52</v>
      </c>
    </row>
    <row r="1999" spans="1:12">
      <c r="A1999" s="3" t="s">
        <v>1750</v>
      </c>
      <c r="B1999" s="3" t="s">
        <v>2107</v>
      </c>
      <c r="C1999" s="3" t="s">
        <v>54</v>
      </c>
      <c r="D1999" s="3"/>
      <c r="E1999" s="2" t="str">
        <f>HYPERLINK("https://old.ukr-mobil.com/shlejf_ipad_mini_a1432_a1454_a1455_konnektor_zaryadki_s_komponentami_white_4093", "Перейти")</f>
        <v>Перейти</v>
      </c>
      <c r="F1999" s="2">
        <v>4093</v>
      </c>
      <c r="G1999" s="4" t="s">
        <v>2121</v>
      </c>
      <c r="H1999" s="1">
        <v>9</v>
      </c>
      <c r="I1999" s="1">
        <v>0</v>
      </c>
      <c r="J1999" s="1">
        <v>1</v>
      </c>
      <c r="K1999" s="2">
        <v>2.52</v>
      </c>
    </row>
    <row r="2000" spans="1:12">
      <c r="A2000" s="3" t="s">
        <v>1750</v>
      </c>
      <c r="B2000" s="3" t="s">
        <v>2107</v>
      </c>
      <c r="C2000" s="3" t="s">
        <v>54</v>
      </c>
      <c r="D2000" s="3"/>
      <c r="E2000" s="2" t="str">
        <f>HYPERLINK("https://old.ukr-mobil.com/shlejf_ipad_mini_a1432_a1454_a1455_konnektor_naushnikov_s_komponentami_black_4094", "Перейти")</f>
        <v>Перейти</v>
      </c>
      <c r="F2000" s="2">
        <v>4094</v>
      </c>
      <c r="G2000" s="4" t="s">
        <v>2122</v>
      </c>
      <c r="H2000" s="1">
        <v>3</v>
      </c>
      <c r="I2000" s="1">
        <v>0</v>
      </c>
      <c r="J2000" s="1">
        <v>1</v>
      </c>
      <c r="K2000" s="2">
        <v>2.02</v>
      </c>
    </row>
    <row r="2001" spans="1:12">
      <c r="A2001" s="3" t="s">
        <v>1750</v>
      </c>
      <c r="B2001" s="3" t="s">
        <v>2107</v>
      </c>
      <c r="C2001" s="3" t="s">
        <v>54</v>
      </c>
      <c r="D2001" s="3"/>
      <c r="E2001" s="2" t="str">
        <f>HYPERLINK("https://old.ukr-mobil.com/shlejf_ipad_mini_a1432_a1454_a1455_konnektor_naushnikov_s_komponentami_white_4095", "Перейти")</f>
        <v>Перейти</v>
      </c>
      <c r="F2001" s="2">
        <v>4095</v>
      </c>
      <c r="G2001" s="4" t="s">
        <v>2123</v>
      </c>
      <c r="H2001" s="1">
        <v>4</v>
      </c>
      <c r="I2001" s="1">
        <v>0</v>
      </c>
      <c r="J2001" s="1">
        <v>1</v>
      </c>
      <c r="K2001" s="2">
        <v>2.02</v>
      </c>
    </row>
    <row r="2002" spans="1:12">
      <c r="A2002" s="3" t="s">
        <v>1750</v>
      </c>
      <c r="B2002" s="3" t="s">
        <v>2107</v>
      </c>
      <c r="C2002" s="3" t="s">
        <v>54</v>
      </c>
      <c r="D2002" s="3"/>
      <c r="E2002" s="2" t="str">
        <f>HYPERLINK("https://old.ukr-mobil.com/shlejf_ipad_mini_2_retina_a1489_a1490_a1491_ipad_mini_3_retina_a1599_a1600_konnektor_zaryadki_s_komponentami_white_11687", "Перейти")</f>
        <v>Перейти</v>
      </c>
      <c r="F2002" s="2">
        <v>11687</v>
      </c>
      <c r="G2002" s="4" t="s">
        <v>2124</v>
      </c>
      <c r="H2002" s="1">
        <v>3</v>
      </c>
      <c r="I2002" s="1">
        <v>1</v>
      </c>
      <c r="J2002" s="1">
        <v>1</v>
      </c>
      <c r="K2002" s="2">
        <v>3.02</v>
      </c>
    </row>
    <row r="2003" spans="1:12">
      <c r="A2003" s="3" t="s">
        <v>1750</v>
      </c>
      <c r="B2003" s="3" t="s">
        <v>2107</v>
      </c>
      <c r="C2003" s="3" t="s">
        <v>54</v>
      </c>
      <c r="D2003" s="3"/>
      <c r="E2003" s="2" t="str">
        <f>HYPERLINK("https://old.ukr-mobil.com/shlejf_ipad_mini_4_a1538_a1550_knopka_vklyucheniya_s_mikrofonom_11691", "Перейти")</f>
        <v>Перейти</v>
      </c>
      <c r="F2003" s="2">
        <v>11691</v>
      </c>
      <c r="G2003" s="4" t="s">
        <v>2125</v>
      </c>
      <c r="H2003" s="1">
        <v>4</v>
      </c>
      <c r="I2003" s="1">
        <v>3</v>
      </c>
      <c r="J2003" s="1">
        <v>1</v>
      </c>
      <c r="K2003" s="2">
        <v>2.27</v>
      </c>
    </row>
    <row r="2004" spans="1:12">
      <c r="A2004" s="3" t="s">
        <v>1750</v>
      </c>
      <c r="B2004" s="3" t="s">
        <v>2107</v>
      </c>
      <c r="C2004" s="3" t="s">
        <v>54</v>
      </c>
      <c r="D2004" s="3"/>
      <c r="E2004" s="2" t="str">
        <f>HYPERLINK("https://old.ukr-mobil.com/shlejf_ipad_mini_4_a1538_a1550_konnektor_zaryadki_s_komponentami_black_11688", "Перейти")</f>
        <v>Перейти</v>
      </c>
      <c r="F2004" s="2">
        <v>11688</v>
      </c>
      <c r="G2004" s="4" t="s">
        <v>2126</v>
      </c>
      <c r="H2004" s="1">
        <v>3</v>
      </c>
      <c r="I2004" s="1">
        <v>0</v>
      </c>
      <c r="J2004" s="1">
        <v>0</v>
      </c>
      <c r="K2004" s="2">
        <v>3.53</v>
      </c>
    </row>
    <row r="2005" spans="1:12">
      <c r="A2005" s="3" t="s">
        <v>1750</v>
      </c>
      <c r="B2005" s="3" t="s">
        <v>2107</v>
      </c>
      <c r="C2005" s="3" t="s">
        <v>54</v>
      </c>
      <c r="D2005" s="3"/>
      <c r="E2005" s="2" t="str">
        <f>HYPERLINK("https://old.ukr-mobil.com/shlejf_ipad_mini_4_a1538_a1550_konnektor_zaryadki_s_komponentami_white_11689", "Перейти")</f>
        <v>Перейти</v>
      </c>
      <c r="F2005" s="2">
        <v>11689</v>
      </c>
      <c r="G2005" s="4" t="s">
        <v>2127</v>
      </c>
      <c r="H2005" s="1">
        <v>4</v>
      </c>
      <c r="I2005" s="1">
        <v>0</v>
      </c>
      <c r="J2005" s="1">
        <v>0</v>
      </c>
      <c r="K2005" s="2">
        <v>3.53</v>
      </c>
    </row>
    <row r="2006" spans="1:12">
      <c r="A2006" s="3" t="s">
        <v>1750</v>
      </c>
      <c r="B2006" s="3" t="s">
        <v>2107</v>
      </c>
      <c r="C2006" s="3" t="s">
        <v>54</v>
      </c>
      <c r="D2006" s="3"/>
      <c r="E2006" s="2" t="str">
        <f>HYPERLINK("https://old.ukr-mobil.com/shlejf_ipad_mini_4_a1538_a1550_s_knopkoj_home_i_touch_id_black_8900", "Перейти")</f>
        <v>Перейти</v>
      </c>
      <c r="F2006" s="2">
        <v>8900</v>
      </c>
      <c r="G2006" s="4" t="s">
        <v>2128</v>
      </c>
      <c r="H2006" s="1">
        <v>0</v>
      </c>
      <c r="I2006" s="1">
        <v>0</v>
      </c>
      <c r="J2006" s="1">
        <v>0</v>
      </c>
      <c r="K2006" s="2">
        <v>4.54</v>
      </c>
    </row>
    <row r="2007" spans="1:12">
      <c r="A2007" s="3" t="s">
        <v>1750</v>
      </c>
      <c r="B2007" s="3" t="s">
        <v>2107</v>
      </c>
      <c r="C2007" s="3" t="s">
        <v>54</v>
      </c>
      <c r="D2007" s="3"/>
      <c r="E2007" s="2" t="str">
        <f>HYPERLINK("https://old.ukr-mobil.com/shlejf_ipad_mini_4_a1538_a1550_s_knopkoj_home_i_touch_id_gold_8901", "Перейти")</f>
        <v>Перейти</v>
      </c>
      <c r="F2007" s="2">
        <v>8901</v>
      </c>
      <c r="G2007" s="4" t="s">
        <v>2129</v>
      </c>
      <c r="H2007" s="1">
        <v>0</v>
      </c>
      <c r="I2007" s="1">
        <v>0</v>
      </c>
      <c r="J2007" s="1">
        <v>0</v>
      </c>
      <c r="K2007" s="2">
        <v>4.54</v>
      </c>
    </row>
    <row r="2008" spans="1:12">
      <c r="A2008" s="3" t="s">
        <v>1750</v>
      </c>
      <c r="B2008" s="3" t="s">
        <v>2107</v>
      </c>
      <c r="C2008" s="3" t="s">
        <v>54</v>
      </c>
      <c r="D2008" s="3"/>
      <c r="E2008" s="2" t="str">
        <f>HYPERLINK("https://old.ukr-mobil.com/shlejf_ipad_mini_4_a1538_a1550_s_knopkoj_home_i_touch_id_white_8902", "Перейти")</f>
        <v>Перейти</v>
      </c>
      <c r="F2008" s="2">
        <v>8902</v>
      </c>
      <c r="G2008" s="4" t="s">
        <v>2130</v>
      </c>
      <c r="H2008" s="1">
        <v>0</v>
      </c>
      <c r="I2008" s="1">
        <v>0</v>
      </c>
      <c r="J2008" s="1">
        <v>0</v>
      </c>
      <c r="K2008" s="2">
        <v>4.54</v>
      </c>
    </row>
    <row r="2009" spans="1:12">
      <c r="A2009" s="3" t="s">
        <v>1750</v>
      </c>
      <c r="B2009" s="3" t="s">
        <v>2107</v>
      </c>
      <c r="C2009" s="3" t="s">
        <v>1048</v>
      </c>
      <c r="D2009" s="3"/>
      <c r="E2009" s="2" t="str">
        <f>HYPERLINK("https://old.ukr-mobil.com/shlejf_lenovo_a7600_knopka_vklyucheniya_regulirovki_gromkosti_9084", "Перейти")</f>
        <v>Перейти</v>
      </c>
      <c r="F2009" s="2">
        <v>9084</v>
      </c>
      <c r="G2009" s="4" t="s">
        <v>2131</v>
      </c>
      <c r="H2009" s="1">
        <v>2</v>
      </c>
      <c r="I2009" s="1">
        <v>0</v>
      </c>
      <c r="J2009" s="1">
        <v>0</v>
      </c>
      <c r="K2009" s="2">
        <v>3.02</v>
      </c>
    </row>
    <row r="2010" spans="1:12">
      <c r="A2010" s="3" t="s">
        <v>1750</v>
      </c>
      <c r="B2010" s="3" t="s">
        <v>2107</v>
      </c>
      <c r="C2010" s="3" t="s">
        <v>1048</v>
      </c>
      <c r="D2010" s="3"/>
      <c r="E2010" s="2" t="str">
        <f>HYPERLINK("https://old.ukr-mobil.com/shlejf_lenovo_a8-50f_tab_2_mezhplatnij_10486", "Перейти")</f>
        <v>Перейти</v>
      </c>
      <c r="F2010" s="2">
        <v>10486</v>
      </c>
      <c r="G2010" s="4" t="s">
        <v>2132</v>
      </c>
      <c r="H2010" s="1">
        <v>1</v>
      </c>
      <c r="I2010" s="1">
        <v>2</v>
      </c>
      <c r="J2010" s="1">
        <v>0</v>
      </c>
      <c r="K2010" s="2">
        <v>5.04</v>
      </c>
    </row>
    <row r="2011" spans="1:12">
      <c r="A2011" s="3" t="s">
        <v>1750</v>
      </c>
      <c r="B2011" s="3" t="s">
        <v>2107</v>
      </c>
      <c r="C2011" s="3" t="s">
        <v>1048</v>
      </c>
      <c r="D2011" s="3"/>
      <c r="E2011" s="2" t="str">
        <f>HYPERLINK("https://old.ukr-mobil.com/shlejf_lenovo_s8-50l_mezhplatnij_10484", "Перейти")</f>
        <v>Перейти</v>
      </c>
      <c r="F2011" s="2">
        <v>10484</v>
      </c>
      <c r="G2011" s="4" t="s">
        <v>2133</v>
      </c>
      <c r="H2011" s="1">
        <v>1</v>
      </c>
      <c r="I2011" s="1">
        <v>2</v>
      </c>
      <c r="J2011" s="1">
        <v>0</v>
      </c>
      <c r="K2011" s="2">
        <v>4.03</v>
      </c>
    </row>
    <row r="2012" spans="1:12">
      <c r="A2012" s="3" t="s">
        <v>1750</v>
      </c>
      <c r="B2012" s="3" t="s">
        <v>2107</v>
      </c>
      <c r="C2012" s="3" t="s">
        <v>653</v>
      </c>
      <c r="D2012" s="3"/>
      <c r="E2012" s="2" t="str">
        <f>HYPERLINK("https://old.ukr-mobil.com/nizhnyaya_plata_samsung_t220_galaxy_tab_a7_lite_wi-fi_t225_galaxy_tab_a7_lite_lte_s_razyomom_zaryadki_original_prc_10004263", "Перейти")</f>
        <v>Перейти</v>
      </c>
      <c r="F2012" s="2">
        <v>10004263</v>
      </c>
      <c r="G2012" s="4" t="s">
        <v>2134</v>
      </c>
      <c r="H2012" s="1">
        <v>0</v>
      </c>
      <c r="I2012" s="1">
        <v>0</v>
      </c>
      <c r="J2012" s="1">
        <v>0</v>
      </c>
      <c r="K2012" s="2">
        <v>4.85</v>
      </c>
    </row>
    <row r="2013" spans="1:12">
      <c r="A2013" s="3" t="s">
        <v>1750</v>
      </c>
      <c r="B2013" s="3" t="s">
        <v>2107</v>
      </c>
      <c r="C2013" s="3" t="s">
        <v>653</v>
      </c>
      <c r="D2013" s="3"/>
      <c r="E2013" s="2" t="str">
        <f>HYPERLINK("https://old.ukr-mobil.com/nizhnyaya_plata_samsung_t290_galaxy_tab_a_8_0_wifi_t295_galaxy_tab_a_8_0_s_razyomom_zaryadki_original_prc_10004265", "Перейти")</f>
        <v>Перейти</v>
      </c>
      <c r="F2013" s="2">
        <v>10004265</v>
      </c>
      <c r="G2013" s="4" t="s">
        <v>2135</v>
      </c>
      <c r="H2013" s="1">
        <v>1</v>
      </c>
      <c r="I2013" s="1">
        <v>3</v>
      </c>
      <c r="J2013" s="1">
        <v>1</v>
      </c>
      <c r="K2013" s="2">
        <v>4.0</v>
      </c>
    </row>
    <row r="2014" spans="1:12">
      <c r="A2014" s="3" t="s">
        <v>1750</v>
      </c>
      <c r="B2014" s="3" t="s">
        <v>2107</v>
      </c>
      <c r="C2014" s="3" t="s">
        <v>653</v>
      </c>
      <c r="D2014" s="3"/>
      <c r="E2014" s="2" t="str">
        <f>HYPERLINK("https://old.ukr-mobil.com/nizhnyaya_plata_samsung_t500_t505_galaxy_tab_a7_10_4_s_razyomom_zaryadki_original_prc_10004266", "Перейти")</f>
        <v>Перейти</v>
      </c>
      <c r="F2014" s="2">
        <v>10004266</v>
      </c>
      <c r="G2014" s="4" t="s">
        <v>2136</v>
      </c>
      <c r="H2014" s="1">
        <v>0</v>
      </c>
      <c r="I2014" s="1">
        <v>0</v>
      </c>
      <c r="J2014" s="1">
        <v>0</v>
      </c>
      <c r="K2014" s="2">
        <v>4.25</v>
      </c>
    </row>
    <row r="2015" spans="1:12">
      <c r="A2015" s="3" t="s">
        <v>1750</v>
      </c>
      <c r="B2015" s="3" t="s">
        <v>2107</v>
      </c>
      <c r="C2015" s="3" t="s">
        <v>653</v>
      </c>
      <c r="D2015" s="3"/>
      <c r="E2015" s="2" t="str">
        <f>HYPERLINK("https://old.ukr-mobil.com/nizhnyaya_plata_samsung_t510_galaxy_tab_a_10_1_wi-fi_t515_galaxy_tab_a_10_1_lte_s_razyomom_zaryadki_original_prc_10004262", "Перейти")</f>
        <v>Перейти</v>
      </c>
      <c r="F2015" s="2">
        <v>10004262</v>
      </c>
      <c r="G2015" s="4" t="s">
        <v>2137</v>
      </c>
      <c r="H2015" s="1">
        <v>0</v>
      </c>
      <c r="I2015" s="1">
        <v>0</v>
      </c>
      <c r="J2015" s="1">
        <v>0</v>
      </c>
      <c r="K2015" s="2">
        <v>4.5</v>
      </c>
    </row>
    <row r="2016" spans="1:12">
      <c r="A2016" s="3" t="s">
        <v>1750</v>
      </c>
      <c r="B2016" s="3" t="s">
        <v>2107</v>
      </c>
      <c r="C2016" s="3" t="s">
        <v>653</v>
      </c>
      <c r="D2016" s="3"/>
      <c r="E2016" s="2" t="str">
        <f>HYPERLINK("https://old.ukr-mobil.com/nizhnyaya_plata_samsung_t590_galaxy_tab_a_10_5_wi-fi_t595_galaxy_tab_a_10_5_lte_s_razyomom_zaryadki_original_10004264", "Перейти")</f>
        <v>Перейти</v>
      </c>
      <c r="F2016" s="2">
        <v>10004264</v>
      </c>
      <c r="G2016" s="4" t="s">
        <v>2138</v>
      </c>
      <c r="H2016" s="1">
        <v>1</v>
      </c>
      <c r="I2016" s="1">
        <v>5</v>
      </c>
      <c r="J2016" s="1">
        <v>3</v>
      </c>
      <c r="K2016" s="2">
        <v>12.0</v>
      </c>
    </row>
    <row r="2017" spans="1:12">
      <c r="A2017" s="3" t="s">
        <v>1750</v>
      </c>
      <c r="B2017" s="3" t="s">
        <v>2107</v>
      </c>
      <c r="C2017" s="3" t="s">
        <v>653</v>
      </c>
      <c r="D2017" s="3"/>
      <c r="E2017" s="2" t="str">
        <f>HYPERLINK("https://old.ukr-mobil.com/nizhnyaya_plata_samsung_x200_galaxy_tab_a8_wi-fi_x205_galaxy_tab_a8_lte_s_razyomom_zaryadki_original_prc_10004267", "Перейти")</f>
        <v>Перейти</v>
      </c>
      <c r="F2017" s="2">
        <v>10004267</v>
      </c>
      <c r="G2017" s="4" t="s">
        <v>2139</v>
      </c>
      <c r="H2017" s="1">
        <v>0</v>
      </c>
      <c r="I2017" s="1">
        <v>0</v>
      </c>
      <c r="J2017" s="1">
        <v>0</v>
      </c>
      <c r="K2017" s="2">
        <v>8.0</v>
      </c>
    </row>
    <row r="2018" spans="1:12">
      <c r="A2018" s="3" t="s">
        <v>1750</v>
      </c>
      <c r="B2018" s="3" t="s">
        <v>2107</v>
      </c>
      <c r="C2018" s="3" t="s">
        <v>653</v>
      </c>
      <c r="D2018" s="3"/>
      <c r="E2018" s="2" t="str">
        <f>HYPERLINK("https://old.ukr-mobil.com/shlejf_samsung_p5100_knopka_vklyuchennya_3774", "Перейти")</f>
        <v>Перейти</v>
      </c>
      <c r="F2018" s="2">
        <v>3774</v>
      </c>
      <c r="G2018" s="4" t="s">
        <v>2140</v>
      </c>
      <c r="H2018" s="1">
        <v>0</v>
      </c>
      <c r="I2018" s="1">
        <v>0</v>
      </c>
      <c r="J2018" s="1">
        <v>0</v>
      </c>
      <c r="K2018" s="2">
        <v>2.52</v>
      </c>
    </row>
    <row r="2019" spans="1:12">
      <c r="A2019" s="3" t="s">
        <v>1750</v>
      </c>
      <c r="B2019" s="3" t="s">
        <v>2107</v>
      </c>
      <c r="C2019" s="3" t="s">
        <v>653</v>
      </c>
      <c r="D2019" s="3"/>
      <c r="E2019" s="2" t="str">
        <f>HYPERLINK("https://old.ukr-mobil.com/shlejf_samsung_samsung_p5100_galaxy_tab_2_p7500_galaxy_tab_n8000_galaxy_note_displejnyj_3773", "Перейти")</f>
        <v>Перейти</v>
      </c>
      <c r="F2019" s="2">
        <v>3773</v>
      </c>
      <c r="G2019" s="4" t="s">
        <v>2141</v>
      </c>
      <c r="H2019" s="1">
        <v>0</v>
      </c>
      <c r="I2019" s="1">
        <v>0</v>
      </c>
      <c r="J2019" s="1">
        <v>0</v>
      </c>
      <c r="K2019" s="2">
        <v>3.53</v>
      </c>
    </row>
    <row r="2020" spans="1:12">
      <c r="A2020" s="3" t="s">
        <v>1750</v>
      </c>
      <c r="B2020" s="3" t="s">
        <v>2107</v>
      </c>
      <c r="C2020" s="3" t="s">
        <v>653</v>
      </c>
      <c r="D2020" s="3"/>
      <c r="E2020" s="2" t="str">
        <f>HYPERLINK("https://old.ukr-mobil.com/shlejf_samsung_samsung_p5100_galaxy_tab2_konnektor_zaryadki_s_mikrofonom_3772", "Перейти")</f>
        <v>Перейти</v>
      </c>
      <c r="F2020" s="2">
        <v>3772</v>
      </c>
      <c r="G2020" s="4" t="s">
        <v>2142</v>
      </c>
      <c r="H2020" s="1">
        <v>0</v>
      </c>
      <c r="I2020" s="1">
        <v>0</v>
      </c>
      <c r="J2020" s="1">
        <v>0</v>
      </c>
      <c r="K2020" s="2">
        <v>3.38</v>
      </c>
    </row>
    <row r="2021" spans="1:12">
      <c r="A2021" s="3" t="s">
        <v>1750</v>
      </c>
      <c r="B2021" s="3" t="s">
        <v>2107</v>
      </c>
      <c r="C2021" s="3" t="s">
        <v>653</v>
      </c>
      <c r="D2021" s="3"/>
      <c r="E2021" s="2" t="str">
        <f>HYPERLINK("https://old.ukr-mobil.com/shlejf_samsung_t210_galaxy_tab_3_7_0_t211_galaxy_tab_3_7_0_na_displej_6003", "Перейти")</f>
        <v>Перейти</v>
      </c>
      <c r="F2021" s="2">
        <v>6003</v>
      </c>
      <c r="G2021" s="4" t="s">
        <v>2143</v>
      </c>
      <c r="H2021" s="1">
        <v>0</v>
      </c>
      <c r="I2021" s="1">
        <v>0</v>
      </c>
      <c r="J2021" s="1">
        <v>0</v>
      </c>
      <c r="K2021" s="2">
        <v>3.53</v>
      </c>
    </row>
    <row r="2022" spans="1:12">
      <c r="A2022" s="3" t="s">
        <v>1750</v>
      </c>
      <c r="B2022" s="3" t="s">
        <v>2107</v>
      </c>
      <c r="C2022" s="3" t="s">
        <v>653</v>
      </c>
      <c r="D2022" s="3"/>
      <c r="E2022" s="2" t="str">
        <f>HYPERLINK("https://old.ukr-mobil.com/shlejf_samsung_t310_galaxy_tab_3_8_0_versiya_wifi_konnektor_zaryadki_6009", "Перейти")</f>
        <v>Перейти</v>
      </c>
      <c r="F2022" s="2">
        <v>6009</v>
      </c>
      <c r="G2022" s="4" t="s">
        <v>2144</v>
      </c>
      <c r="H2022" s="1">
        <v>0</v>
      </c>
      <c r="I2022" s="1">
        <v>0</v>
      </c>
      <c r="J2022" s="1">
        <v>0</v>
      </c>
      <c r="K2022" s="2">
        <v>3.53</v>
      </c>
    </row>
    <row r="2023" spans="1:12">
      <c r="A2023" s="3" t="s">
        <v>1750</v>
      </c>
      <c r="B2023" s="3" t="s">
        <v>2107</v>
      </c>
      <c r="C2023" s="3" t="s">
        <v>653</v>
      </c>
      <c r="D2023" s="3"/>
      <c r="E2023" s="2" t="str">
        <f>HYPERLINK("https://old.ukr-mobil.com/shlejf_samsung_p3100_galaxy_tab2_p3110_galaxy_tab2_displeya_6002", "Перейти")</f>
        <v>Перейти</v>
      </c>
      <c r="F2023" s="2">
        <v>6002</v>
      </c>
      <c r="G2023" s="4" t="s">
        <v>2145</v>
      </c>
      <c r="H2023" s="1">
        <v>0</v>
      </c>
      <c r="I2023" s="1">
        <v>0</v>
      </c>
      <c r="J2023" s="1">
        <v>0</v>
      </c>
      <c r="K2023" s="2">
        <v>3.02</v>
      </c>
    </row>
    <row r="2024" spans="1:12">
      <c r="A2024" s="3" t="s">
        <v>2146</v>
      </c>
      <c r="B2024" s="3" t="s">
        <v>2147</v>
      </c>
      <c r="C2024" s="3"/>
      <c r="D2024" s="3"/>
      <c r="E2024" s="2" t="str">
        <f>HYPERLINK("https://old.ukr-mobil.com/akkumulyator_apple_watch_series_1_38mm_original_9040", "Перейти")</f>
        <v>Перейти</v>
      </c>
      <c r="F2024" s="2">
        <v>9040</v>
      </c>
      <c r="G2024" s="4" t="s">
        <v>2148</v>
      </c>
      <c r="H2024" s="1">
        <v>0</v>
      </c>
      <c r="I2024" s="1">
        <v>0</v>
      </c>
      <c r="J2024" s="1">
        <v>0</v>
      </c>
      <c r="K2024" s="2">
        <v>6.05</v>
      </c>
    </row>
    <row r="2025" spans="1:12">
      <c r="A2025" s="3" t="s">
        <v>2146</v>
      </c>
      <c r="B2025" s="3" t="s">
        <v>2147</v>
      </c>
      <c r="C2025" s="3"/>
      <c r="D2025" s="3"/>
      <c r="E2025" s="2" t="str">
        <f>HYPERLINK("https://old.ukr-mobil.com/akkumulyator_apple_watch_series_2_38mm_original_11901", "Перейти")</f>
        <v>Перейти</v>
      </c>
      <c r="F2025" s="2">
        <v>11901</v>
      </c>
      <c r="G2025" s="4" t="s">
        <v>2149</v>
      </c>
      <c r="H2025" s="1">
        <v>0</v>
      </c>
      <c r="I2025" s="1">
        <v>0</v>
      </c>
      <c r="J2025" s="1">
        <v>0</v>
      </c>
      <c r="K2025" s="2">
        <v>6.05</v>
      </c>
    </row>
    <row r="2026" spans="1:12">
      <c r="A2026" s="3" t="s">
        <v>2146</v>
      </c>
      <c r="B2026" s="3" t="s">
        <v>2147</v>
      </c>
      <c r="C2026" s="3"/>
      <c r="D2026" s="3"/>
      <c r="E2026" s="2" t="str">
        <f>HYPERLINK("https://old.ukr-mobil.com/akkumulyator_apple_watch_series_2_42mm_original_11902", "Перейти")</f>
        <v>Перейти</v>
      </c>
      <c r="F2026" s="2">
        <v>11902</v>
      </c>
      <c r="G2026" s="4" t="s">
        <v>2150</v>
      </c>
      <c r="H2026" s="1">
        <v>6</v>
      </c>
      <c r="I2026" s="1">
        <v>1</v>
      </c>
      <c r="J2026" s="1">
        <v>5</v>
      </c>
      <c r="K2026" s="2">
        <v>6.0</v>
      </c>
    </row>
    <row r="2027" spans="1:12">
      <c r="A2027" s="3" t="s">
        <v>2146</v>
      </c>
      <c r="B2027" s="3" t="s">
        <v>2147</v>
      </c>
      <c r="C2027" s="3"/>
      <c r="D2027" s="3"/>
      <c r="E2027" s="2" t="str">
        <f>HYPERLINK("https://old.ukr-mobil.com/akkumulyator_apple_watch_series_3_38mm_original_11904", "Перейти")</f>
        <v>Перейти</v>
      </c>
      <c r="F2027" s="2">
        <v>11904</v>
      </c>
      <c r="G2027" s="4" t="s">
        <v>2151</v>
      </c>
      <c r="H2027" s="1">
        <v>0</v>
      </c>
      <c r="I2027" s="1">
        <v>0</v>
      </c>
      <c r="J2027" s="1">
        <v>0</v>
      </c>
      <c r="K2027" s="2">
        <v>7.0</v>
      </c>
    </row>
    <row r="2028" spans="1:12">
      <c r="A2028" s="3" t="s">
        <v>2146</v>
      </c>
      <c r="B2028" s="3" t="s">
        <v>2147</v>
      </c>
      <c r="C2028" s="3"/>
      <c r="D2028" s="3"/>
      <c r="E2028" s="2" t="str">
        <f>HYPERLINK("https://old.ukr-mobil.com/akkumulyator_apple_watch_series_4_40mm_original_11905", "Перейти")</f>
        <v>Перейти</v>
      </c>
      <c r="F2028" s="2">
        <v>11905</v>
      </c>
      <c r="G2028" s="4" t="s">
        <v>2152</v>
      </c>
      <c r="H2028" s="1">
        <v>0</v>
      </c>
      <c r="I2028" s="1">
        <v>0</v>
      </c>
      <c r="J2028" s="1">
        <v>0</v>
      </c>
      <c r="K2028" s="2">
        <v>11.09</v>
      </c>
    </row>
    <row r="2029" spans="1:12">
      <c r="A2029" s="3" t="s">
        <v>2146</v>
      </c>
      <c r="B2029" s="3" t="s">
        <v>2147</v>
      </c>
      <c r="C2029" s="3"/>
      <c r="D2029" s="3"/>
      <c r="E2029" s="2" t="str">
        <f>HYPERLINK("https://old.ukr-mobil.com/akkumulyator_apple_watch_series_4_44mm_original_11906", "Перейти")</f>
        <v>Перейти</v>
      </c>
      <c r="F2029" s="2">
        <v>11906</v>
      </c>
      <c r="G2029" s="4" t="s">
        <v>2153</v>
      </c>
      <c r="H2029" s="1">
        <v>1</v>
      </c>
      <c r="I2029" s="1">
        <v>0</v>
      </c>
      <c r="J2029" s="1">
        <v>0</v>
      </c>
      <c r="K2029" s="2">
        <v>10.0</v>
      </c>
    </row>
    <row r="2030" spans="1:12">
      <c r="A2030" s="3" t="s">
        <v>2146</v>
      </c>
      <c r="B2030" s="3" t="s">
        <v>2147</v>
      </c>
      <c r="C2030" s="3"/>
      <c r="D2030" s="3"/>
      <c r="E2030" s="2" t="str">
        <f>HYPERLINK("https://old.ukr-mobil.com/akkumulyator_apple_watch_series_5_44mm_original_prc_10002033", "Перейти")</f>
        <v>Перейти</v>
      </c>
      <c r="F2030" s="2">
        <v>10002033</v>
      </c>
      <c r="G2030" s="4" t="s">
        <v>2154</v>
      </c>
      <c r="H2030" s="1">
        <v>2</v>
      </c>
      <c r="I2030" s="1">
        <v>2</v>
      </c>
      <c r="J2030" s="1">
        <v>4</v>
      </c>
      <c r="K2030" s="2">
        <v>10.0</v>
      </c>
    </row>
    <row r="2031" spans="1:12">
      <c r="A2031" s="3" t="s">
        <v>2146</v>
      </c>
      <c r="B2031" s="3" t="s">
        <v>2155</v>
      </c>
      <c r="C2031" s="3"/>
      <c r="D2031" s="3"/>
      <c r="E2031" s="2" t="str">
        <f>HYPERLINK("https://old.ukr-mobil.com/displej_apple_watch_series_4_40mm_original_s_tachskrinom_11337", "Перейти")</f>
        <v>Перейти</v>
      </c>
      <c r="F2031" s="2">
        <v>11337</v>
      </c>
      <c r="G2031" s="4" t="s">
        <v>2156</v>
      </c>
      <c r="H2031" s="1">
        <v>1</v>
      </c>
      <c r="I2031" s="1">
        <v>0</v>
      </c>
      <c r="J2031" s="1">
        <v>0</v>
      </c>
      <c r="K2031" s="2">
        <v>71.65</v>
      </c>
    </row>
    <row r="2032" spans="1:12">
      <c r="A2032" s="3" t="s">
        <v>2146</v>
      </c>
      <c r="B2032" s="3" t="s">
        <v>2155</v>
      </c>
      <c r="C2032" s="3"/>
      <c r="D2032" s="3"/>
      <c r="E2032" s="2" t="str">
        <f>HYPERLINK("https://old.ukr-mobil.com/displej_apple_watch_series_4_44mm_original_s_tachskrinom_11338", "Перейти")</f>
        <v>Перейти</v>
      </c>
      <c r="F2032" s="2">
        <v>11338</v>
      </c>
      <c r="G2032" s="4" t="s">
        <v>2157</v>
      </c>
      <c r="H2032" s="1">
        <v>0</v>
      </c>
      <c r="I2032" s="1">
        <v>0</v>
      </c>
      <c r="J2032" s="1">
        <v>0</v>
      </c>
      <c r="K2032" s="2">
        <v>190.0</v>
      </c>
    </row>
    <row r="2033" spans="1:12">
      <c r="A2033" s="3" t="s">
        <v>2146</v>
      </c>
      <c r="B2033" s="3" t="s">
        <v>2155</v>
      </c>
      <c r="C2033" s="3"/>
      <c r="D2033" s="3"/>
      <c r="E2033" s="2" t="str">
        <f>HYPERLINK("https://old.ukr-mobil.com/displej_apple_watch_series_5_40mm_s_tachskrinom_10000561", "Перейти")</f>
        <v>Перейти</v>
      </c>
      <c r="F2033" s="2">
        <v>10000561</v>
      </c>
      <c r="G2033" s="4" t="s">
        <v>2158</v>
      </c>
      <c r="H2033" s="1">
        <v>0</v>
      </c>
      <c r="I2033" s="1">
        <v>0</v>
      </c>
      <c r="J2033" s="1">
        <v>0</v>
      </c>
      <c r="K2033" s="2">
        <v>210.0</v>
      </c>
    </row>
    <row r="2034" spans="1:12">
      <c r="A2034" s="3" t="s">
        <v>2146</v>
      </c>
      <c r="B2034" s="3" t="s">
        <v>2155</v>
      </c>
      <c r="C2034" s="3"/>
      <c r="D2034" s="3"/>
      <c r="E2034" s="2" t="str">
        <f>HYPERLINK("https://old.ukr-mobil.com/displej_apple_watch_series_5_44mm_s_tachskrinom_10000562", "Перейти")</f>
        <v>Перейти</v>
      </c>
      <c r="F2034" s="2">
        <v>10000562</v>
      </c>
      <c r="G2034" s="4" t="s">
        <v>2159</v>
      </c>
      <c r="H2034" s="1">
        <v>0</v>
      </c>
      <c r="I2034" s="1">
        <v>0</v>
      </c>
      <c r="J2034" s="1">
        <v>0</v>
      </c>
      <c r="K2034" s="2">
        <v>215.0</v>
      </c>
    </row>
    <row r="2035" spans="1:12">
      <c r="A2035" s="3" t="s">
        <v>2146</v>
      </c>
      <c r="B2035" s="3" t="s">
        <v>2155</v>
      </c>
      <c r="C2035" s="3"/>
      <c r="D2035" s="3"/>
      <c r="E2035" s="2" t="str">
        <f>HYPERLINK("https://old.ukr-mobil.com/displej_apple_watch_series_6_40mm_s_tachskrinom_original_10001984", "Перейти")</f>
        <v>Перейти</v>
      </c>
      <c r="F2035" s="2">
        <v>10001984</v>
      </c>
      <c r="G2035" s="4" t="s">
        <v>2160</v>
      </c>
      <c r="H2035" s="1">
        <v>1</v>
      </c>
      <c r="I2035" s="1">
        <v>0</v>
      </c>
      <c r="J2035" s="1">
        <v>0</v>
      </c>
      <c r="K2035" s="2">
        <v>88.5</v>
      </c>
    </row>
    <row r="2036" spans="1:12">
      <c r="A2036" s="3" t="s">
        <v>2146</v>
      </c>
      <c r="B2036" s="3" t="s">
        <v>2155</v>
      </c>
      <c r="C2036" s="3"/>
      <c r="D2036" s="3"/>
      <c r="E2036" s="2" t="str">
        <f>HYPERLINK("https://old.ukr-mobil.com/displej_apple_watch_series_6_44mm_s_tachskrinom_original_10001983", "Перейти")</f>
        <v>Перейти</v>
      </c>
      <c r="F2036" s="2">
        <v>10001983</v>
      </c>
      <c r="G2036" s="4" t="s">
        <v>2161</v>
      </c>
      <c r="H2036" s="1">
        <v>0</v>
      </c>
      <c r="I2036" s="1">
        <v>0</v>
      </c>
      <c r="J2036" s="1">
        <v>0</v>
      </c>
      <c r="K2036" s="2">
        <v>186.0</v>
      </c>
    </row>
    <row r="2037" spans="1:12">
      <c r="A2037" s="3" t="s">
        <v>2146</v>
      </c>
      <c r="B2037" s="3" t="s">
        <v>2155</v>
      </c>
      <c r="C2037" s="3"/>
      <c r="D2037" s="3"/>
      <c r="E2037" s="2" t="str">
        <f>HYPERLINK("https://old.ukr-mobil.com/displej_apple_watch_sport_38mm_s_tachskrinom_6175", "Перейти")</f>
        <v>Перейти</v>
      </c>
      <c r="F2037" s="2">
        <v>6175</v>
      </c>
      <c r="G2037" s="4" t="s">
        <v>2162</v>
      </c>
      <c r="H2037" s="1">
        <v>1</v>
      </c>
      <c r="I2037" s="1">
        <v>0</v>
      </c>
      <c r="J2037" s="1">
        <v>0</v>
      </c>
      <c r="K2037" s="2">
        <v>42.0</v>
      </c>
    </row>
    <row r="2038" spans="1:12">
      <c r="A2038" s="3" t="s">
        <v>2146</v>
      </c>
      <c r="B2038" s="3" t="s">
        <v>2155</v>
      </c>
      <c r="C2038" s="3"/>
      <c r="D2038" s="3"/>
      <c r="E2038" s="2" t="str">
        <f>HYPERLINK("https://old.ukr-mobil.com/displej_apple_watch_sport_series_2_38mm_s_tachskrinom_9926", "Перейти")</f>
        <v>Перейти</v>
      </c>
      <c r="F2038" s="2">
        <v>9926</v>
      </c>
      <c r="G2038" s="4" t="s">
        <v>2163</v>
      </c>
      <c r="H2038" s="1">
        <v>2</v>
      </c>
      <c r="I2038" s="1">
        <v>1</v>
      </c>
      <c r="J2038" s="1">
        <v>0</v>
      </c>
      <c r="K2038" s="2">
        <v>43.75</v>
      </c>
    </row>
    <row r="2039" spans="1:12">
      <c r="A2039" s="3" t="s">
        <v>2146</v>
      </c>
      <c r="B2039" s="3" t="s">
        <v>2155</v>
      </c>
      <c r="C2039" s="3"/>
      <c r="D2039" s="3"/>
      <c r="E2039" s="2" t="str">
        <f>HYPERLINK("https://old.ukr-mobil.com/displej_apple_watch_sport_series_2_42mm_s_tachskrinom_9595", "Перейти")</f>
        <v>Перейти</v>
      </c>
      <c r="F2039" s="2">
        <v>9595</v>
      </c>
      <c r="G2039" s="4" t="s">
        <v>2164</v>
      </c>
      <c r="H2039" s="1">
        <v>2</v>
      </c>
      <c r="I2039" s="1">
        <v>0</v>
      </c>
      <c r="J2039" s="1">
        <v>1</v>
      </c>
      <c r="K2039" s="2">
        <v>53.0</v>
      </c>
    </row>
    <row r="2040" spans="1:12">
      <c r="A2040" s="3" t="s">
        <v>2146</v>
      </c>
      <c r="B2040" s="3" t="s">
        <v>2155</v>
      </c>
      <c r="C2040" s="3"/>
      <c r="D2040" s="3"/>
      <c r="E2040" s="2" t="str">
        <f>HYPERLINK("https://old.ukr-mobil.com/displej_apple_watch_sport_series_3_gps_38mm_s_tachskrinom_11202", "Перейти")</f>
        <v>Перейти</v>
      </c>
      <c r="F2040" s="2">
        <v>11202</v>
      </c>
      <c r="G2040" s="4" t="s">
        <v>2165</v>
      </c>
      <c r="H2040" s="1">
        <v>2</v>
      </c>
      <c r="I2040" s="1">
        <v>0</v>
      </c>
      <c r="J2040" s="1">
        <v>2</v>
      </c>
      <c r="K2040" s="2">
        <v>44.35</v>
      </c>
    </row>
    <row r="2041" spans="1:12">
      <c r="A2041" s="3" t="s">
        <v>2146</v>
      </c>
      <c r="B2041" s="3" t="s">
        <v>2155</v>
      </c>
      <c r="C2041" s="3"/>
      <c r="D2041" s="3"/>
      <c r="E2041" s="2" t="str">
        <f>HYPERLINK("https://old.ukr-mobil.com/displej_apple_watch_sport_series_3_gps_42mm_s_tachskrinom_11203", "Перейти")</f>
        <v>Перейти</v>
      </c>
      <c r="F2041" s="2">
        <v>11203</v>
      </c>
      <c r="G2041" s="4" t="s">
        <v>2166</v>
      </c>
      <c r="H2041" s="1">
        <v>0</v>
      </c>
      <c r="I2041" s="1">
        <v>0</v>
      </c>
      <c r="J2041" s="1">
        <v>0</v>
      </c>
      <c r="K2041" s="2">
        <v>130.0</v>
      </c>
    </row>
    <row r="2042" spans="1:12">
      <c r="A2042" s="3" t="s">
        <v>2146</v>
      </c>
      <c r="B2042" s="3" t="s">
        <v>2155</v>
      </c>
      <c r="C2042" s="3"/>
      <c r="D2042" s="3"/>
      <c r="E2042" s="2" t="str">
        <f>HYPERLINK("https://old.ukr-mobil.com/displej_apple_watch_sport_series_3_lte_38mm_s_tachskrinom_10000559", "Перейти")</f>
        <v>Перейти</v>
      </c>
      <c r="F2042" s="2">
        <v>10000559</v>
      </c>
      <c r="G2042" s="4" t="s">
        <v>2167</v>
      </c>
      <c r="H2042" s="1">
        <v>2</v>
      </c>
      <c r="I2042" s="1">
        <v>0</v>
      </c>
      <c r="J2042" s="1">
        <v>1</v>
      </c>
      <c r="K2042" s="2">
        <v>28.5</v>
      </c>
    </row>
    <row r="2043" spans="1:12">
      <c r="A2043" s="3" t="s">
        <v>2146</v>
      </c>
      <c r="B2043" s="3" t="s">
        <v>2155</v>
      </c>
      <c r="C2043" s="3"/>
      <c r="D2043" s="3"/>
      <c r="E2043" s="2" t="str">
        <f>HYPERLINK("https://old.ukr-mobil.com/displej_apple_watch_sport_series_3_lte_42mm_s_tachskrinom_10000560", "Перейти")</f>
        <v>Перейти</v>
      </c>
      <c r="F2043" s="2">
        <v>10000560</v>
      </c>
      <c r="G2043" s="4" t="s">
        <v>2168</v>
      </c>
      <c r="H2043" s="1">
        <v>6</v>
      </c>
      <c r="I2043" s="1">
        <v>0</v>
      </c>
      <c r="J2043" s="1">
        <v>1</v>
      </c>
      <c r="K2043" s="2">
        <v>89.0</v>
      </c>
    </row>
    <row r="2044" spans="1:12">
      <c r="A2044" s="3" t="s">
        <v>2146</v>
      </c>
      <c r="B2044" s="3" t="s">
        <v>2169</v>
      </c>
      <c r="C2044" s="3"/>
      <c r="D2044" s="3"/>
      <c r="E2044" s="2" t="str">
        <f>HYPERLINK("https://old.ukr-mobil.com/sensor_tachskrin_apple_watch_sport_series_2_38mm_original_11103", "Перейти")</f>
        <v>Перейти</v>
      </c>
      <c r="F2044" s="2">
        <v>11103</v>
      </c>
      <c r="G2044" s="4" t="s">
        <v>2170</v>
      </c>
      <c r="H2044" s="1">
        <v>1</v>
      </c>
      <c r="I2044" s="1">
        <v>0</v>
      </c>
      <c r="J2044" s="1">
        <v>0</v>
      </c>
      <c r="K2044" s="2">
        <v>34.0</v>
      </c>
    </row>
    <row r="2045" spans="1:12">
      <c r="A2045" s="3" t="s">
        <v>2146</v>
      </c>
      <c r="B2045" s="3" t="s">
        <v>2169</v>
      </c>
      <c r="C2045" s="3"/>
      <c r="D2045" s="3"/>
      <c r="E2045" s="2" t="str">
        <f>HYPERLINK("https://old.ukr-mobil.com/sensor_tachskrin_apple_watch_sport_series_2_42mm_original_9927", "Перейти")</f>
        <v>Перейти</v>
      </c>
      <c r="F2045" s="2">
        <v>9927</v>
      </c>
      <c r="G2045" s="4" t="s">
        <v>2171</v>
      </c>
      <c r="H2045" s="1">
        <v>0</v>
      </c>
      <c r="I2045" s="1">
        <v>0</v>
      </c>
      <c r="J2045" s="1">
        <v>0</v>
      </c>
      <c r="K2045" s="2">
        <v>34.0</v>
      </c>
    </row>
    <row r="2046" spans="1:12">
      <c r="A2046" s="3" t="s">
        <v>2146</v>
      </c>
      <c r="B2046" s="3" t="s">
        <v>2169</v>
      </c>
      <c r="C2046" s="3"/>
      <c r="D2046" s="3"/>
      <c r="E2046" s="2" t="str">
        <f>HYPERLINK("https://old.ukr-mobil.com/sensor_tachskrin_apple_watch_sport_series_4_40mm_original_11869", "Перейти")</f>
        <v>Перейти</v>
      </c>
      <c r="F2046" s="2">
        <v>11869</v>
      </c>
      <c r="G2046" s="4" t="s">
        <v>2172</v>
      </c>
      <c r="H2046" s="1">
        <v>30</v>
      </c>
      <c r="I2046" s="1">
        <v>4</v>
      </c>
      <c r="J2046" s="1">
        <v>5</v>
      </c>
      <c r="K2046" s="2">
        <v>7.5</v>
      </c>
    </row>
    <row r="2047" spans="1:12">
      <c r="A2047" s="3" t="s">
        <v>2146</v>
      </c>
      <c r="B2047" s="3" t="s">
        <v>2169</v>
      </c>
      <c r="C2047" s="3"/>
      <c r="D2047" s="3"/>
      <c r="E2047" s="2" t="str">
        <f>HYPERLINK("https://old.ukr-mobil.com/sensor_tachskrin_apple_watch_sport_series_4_44mm_original_11870", "Перейти")</f>
        <v>Перейти</v>
      </c>
      <c r="F2047" s="2">
        <v>11870</v>
      </c>
      <c r="G2047" s="4" t="s">
        <v>2173</v>
      </c>
      <c r="H2047" s="1">
        <v>5</v>
      </c>
      <c r="I2047" s="1">
        <v>14</v>
      </c>
      <c r="J2047" s="1">
        <v>0</v>
      </c>
      <c r="K2047" s="2">
        <v>8.5</v>
      </c>
    </row>
    <row r="2048" spans="1:12">
      <c r="A2048" s="3" t="s">
        <v>2146</v>
      </c>
      <c r="B2048" s="3" t="s">
        <v>2169</v>
      </c>
      <c r="C2048" s="3"/>
      <c r="D2048" s="3"/>
      <c r="E2048" s="2" t="str">
        <f>HYPERLINK("https://old.ukr-mobil.com/sensor_tachskrin_apple_watch_series_5_40mm_original_10001322", "Перейти")</f>
        <v>Перейти</v>
      </c>
      <c r="F2048" s="2">
        <v>10001322</v>
      </c>
      <c r="G2048" s="4" t="s">
        <v>2174</v>
      </c>
      <c r="H2048" s="1">
        <v>0</v>
      </c>
      <c r="I2048" s="1">
        <v>0</v>
      </c>
      <c r="J2048" s="1">
        <v>0</v>
      </c>
      <c r="K2048" s="2">
        <v>9.0</v>
      </c>
    </row>
    <row r="2049" spans="1:12">
      <c r="A2049" s="3" t="s">
        <v>2146</v>
      </c>
      <c r="B2049" s="3" t="s">
        <v>2169</v>
      </c>
      <c r="C2049" s="3"/>
      <c r="D2049" s="3"/>
      <c r="E2049" s="2" t="str">
        <f>HYPERLINK("https://old.ukr-mobil.com/sensor_tachskrin_apple_watch_series_5_44mm_original_10001323", "Перейти")</f>
        <v>Перейти</v>
      </c>
      <c r="F2049" s="2">
        <v>10001323</v>
      </c>
      <c r="G2049" s="4" t="s">
        <v>2175</v>
      </c>
      <c r="H2049" s="1">
        <v>1</v>
      </c>
      <c r="I2049" s="1">
        <v>3</v>
      </c>
      <c r="J2049" s="1">
        <v>0</v>
      </c>
      <c r="K2049" s="2">
        <v>9.25</v>
      </c>
    </row>
    <row r="2050" spans="1:12">
      <c r="A2050" s="3" t="s">
        <v>2146</v>
      </c>
      <c r="B2050" s="3" t="s">
        <v>2169</v>
      </c>
      <c r="C2050" s="3"/>
      <c r="D2050" s="3"/>
      <c r="E2050" s="2" t="str">
        <f>HYPERLINK("https://old.ukr-mobil.com/sensor_tachskrin_apple_watch_series_6_40mm_original_prc_10002462", "Перейти")</f>
        <v>Перейти</v>
      </c>
      <c r="F2050" s="2">
        <v>10002462</v>
      </c>
      <c r="G2050" s="4" t="s">
        <v>2176</v>
      </c>
      <c r="H2050" s="1">
        <v>30</v>
      </c>
      <c r="I2050" s="1">
        <v>10</v>
      </c>
      <c r="J2050" s="1">
        <v>13</v>
      </c>
      <c r="K2050" s="2">
        <v>16.0</v>
      </c>
    </row>
    <row r="2051" spans="1:12">
      <c r="A2051" s="3" t="s">
        <v>2146</v>
      </c>
      <c r="B2051" s="3" t="s">
        <v>2169</v>
      </c>
      <c r="C2051" s="3"/>
      <c r="D2051" s="3"/>
      <c r="E2051" s="2" t="str">
        <f>HYPERLINK("https://old.ukr-mobil.com/sensor_tachskrin_apple_watch_series_6_44mm_original_prc_10002463", "Перейти")</f>
        <v>Перейти</v>
      </c>
      <c r="F2051" s="2">
        <v>10002463</v>
      </c>
      <c r="G2051" s="4" t="s">
        <v>2177</v>
      </c>
      <c r="H2051" s="1">
        <v>11</v>
      </c>
      <c r="I2051" s="1">
        <v>15</v>
      </c>
      <c r="J2051" s="1">
        <v>11</v>
      </c>
      <c r="K2051" s="2">
        <v>16.0</v>
      </c>
    </row>
    <row r="2052" spans="1:12">
      <c r="A2052" s="3" t="s">
        <v>2146</v>
      </c>
      <c r="B2052" s="3" t="s">
        <v>2169</v>
      </c>
      <c r="C2052" s="3"/>
      <c r="D2052" s="3"/>
      <c r="E2052" s="2" t="str">
        <f>HYPERLINK("https://old.ukr-mobil.com/sensor_tachskrin_iwatch_sport_38mm_original_6176", "Перейти")</f>
        <v>Перейти</v>
      </c>
      <c r="F2052" s="2">
        <v>6176</v>
      </c>
      <c r="G2052" s="4" t="s">
        <v>2178</v>
      </c>
      <c r="H2052" s="1">
        <v>0</v>
      </c>
      <c r="I2052" s="1">
        <v>3</v>
      </c>
      <c r="J2052" s="1">
        <v>1</v>
      </c>
      <c r="K2052" s="2">
        <v>4.5</v>
      </c>
    </row>
    <row r="2053" spans="1:12">
      <c r="A2053" s="3" t="s">
        <v>2146</v>
      </c>
      <c r="B2053" s="3" t="s">
        <v>2169</v>
      </c>
      <c r="C2053" s="3"/>
      <c r="D2053" s="3"/>
      <c r="E2053" s="2" t="str">
        <f>HYPERLINK("https://old.ukr-mobil.com/sensor_tachskrin_iwatch_sport_42mm_original_6177", "Перейти")</f>
        <v>Перейти</v>
      </c>
      <c r="F2053" s="2">
        <v>6177</v>
      </c>
      <c r="G2053" s="4" t="s">
        <v>2179</v>
      </c>
      <c r="H2053" s="1">
        <v>0</v>
      </c>
      <c r="I2053" s="1">
        <v>0</v>
      </c>
      <c r="J2053" s="1">
        <v>0</v>
      </c>
      <c r="K2053" s="2">
        <v>4.5</v>
      </c>
    </row>
    <row r="2054" spans="1:12">
      <c r="A2054" s="3" t="s">
        <v>2146</v>
      </c>
      <c r="B2054" s="3" t="s">
        <v>2169</v>
      </c>
      <c r="C2054" s="3" t="s">
        <v>2180</v>
      </c>
      <c r="D2054" s="3"/>
      <c r="E2054" s="2" t="str">
        <f>HYPERLINK("https://old.ukr-mobil.com/sensor_tachskrin_apple_watch_series_4_40mm_s_plenkoj_oca_original_g_oca_pro_10004562", "Перейти")</f>
        <v>Перейти</v>
      </c>
      <c r="F2054" s="2">
        <v>10004562</v>
      </c>
      <c r="G2054" s="4" t="s">
        <v>2181</v>
      </c>
      <c r="H2054" s="1">
        <v>26</v>
      </c>
      <c r="I2054" s="1">
        <v>11</v>
      </c>
      <c r="J2054" s="1">
        <v>0</v>
      </c>
      <c r="K2054" s="2">
        <v>8.5</v>
      </c>
    </row>
    <row r="2055" spans="1:12">
      <c r="A2055" s="3" t="s">
        <v>2146</v>
      </c>
      <c r="B2055" s="3" t="s">
        <v>2169</v>
      </c>
      <c r="C2055" s="3" t="s">
        <v>2180</v>
      </c>
      <c r="D2055" s="3"/>
      <c r="E2055" s="2" t="str">
        <f>HYPERLINK("https://old.ukr-mobil.com/sensor_tachskrin_apple_watch_series_4_44mm_s_plenkoj_oca_original_g_oca_pro_10004563", "Перейти")</f>
        <v>Перейти</v>
      </c>
      <c r="F2055" s="2">
        <v>10004563</v>
      </c>
      <c r="G2055" s="4" t="s">
        <v>2182</v>
      </c>
      <c r="H2055" s="1">
        <v>19</v>
      </c>
      <c r="I2055" s="1">
        <v>3</v>
      </c>
      <c r="J2055" s="1">
        <v>0</v>
      </c>
      <c r="K2055" s="2">
        <v>9.5</v>
      </c>
    </row>
    <row r="2056" spans="1:12">
      <c r="A2056" s="3" t="s">
        <v>2146</v>
      </c>
      <c r="B2056" s="3" t="s">
        <v>2169</v>
      </c>
      <c r="C2056" s="3" t="s">
        <v>2180</v>
      </c>
      <c r="D2056" s="3"/>
      <c r="E2056" s="2" t="str">
        <f>HYPERLINK("https://old.ukr-mobil.com/sensor_tachskrin_apple_watch_series_5_40mm_s_plenkoj_oca_original_g_oca_pro_10004564", "Перейти")</f>
        <v>Перейти</v>
      </c>
      <c r="F2056" s="2">
        <v>10004564</v>
      </c>
      <c r="G2056" s="4" t="s">
        <v>2183</v>
      </c>
      <c r="H2056" s="1">
        <v>0</v>
      </c>
      <c r="I2056" s="1">
        <v>0</v>
      </c>
      <c r="J2056" s="1">
        <v>0</v>
      </c>
      <c r="K2056" s="2">
        <v>10.25</v>
      </c>
    </row>
    <row r="2057" spans="1:12">
      <c r="A2057" s="3" t="s">
        <v>2146</v>
      </c>
      <c r="B2057" s="3" t="s">
        <v>2169</v>
      </c>
      <c r="C2057" s="3" t="s">
        <v>2180</v>
      </c>
      <c r="D2057" s="3"/>
      <c r="E2057" s="2" t="str">
        <f>HYPERLINK("https://old.ukr-mobil.com/sensor_tachskrin_apple_watch_series_5_44mm_s_plenkoj_oca_original_g_oca_pro_10004565", "Перейти")</f>
        <v>Перейти</v>
      </c>
      <c r="F2057" s="2">
        <v>10004565</v>
      </c>
      <c r="G2057" s="4" t="s">
        <v>2184</v>
      </c>
      <c r="H2057" s="1">
        <v>0</v>
      </c>
      <c r="I2057" s="1">
        <v>0</v>
      </c>
      <c r="J2057" s="1">
        <v>0</v>
      </c>
      <c r="K2057" s="2">
        <v>10.25</v>
      </c>
    </row>
    <row r="2058" spans="1:12">
      <c r="A2058" s="3" t="s">
        <v>2146</v>
      </c>
      <c r="B2058" s="3" t="s">
        <v>2169</v>
      </c>
      <c r="C2058" s="3" t="s">
        <v>2180</v>
      </c>
      <c r="D2058" s="3"/>
      <c r="E2058" s="2" t="str">
        <f>HYPERLINK("https://old.ukr-mobil.com/sensor_tachskrin_apple_watch_series_6_40mm_s_plenkoj_oca_original_g_oca_pro_10004566", "Перейти")</f>
        <v>Перейти</v>
      </c>
      <c r="F2058" s="2">
        <v>10004566</v>
      </c>
      <c r="G2058" s="4" t="s">
        <v>2185</v>
      </c>
      <c r="H2058" s="1">
        <v>32</v>
      </c>
      <c r="I2058" s="1">
        <v>11</v>
      </c>
      <c r="J2058" s="1">
        <v>0</v>
      </c>
      <c r="K2058" s="2">
        <v>18.0</v>
      </c>
    </row>
    <row r="2059" spans="1:12">
      <c r="A2059" s="3" t="s">
        <v>2146</v>
      </c>
      <c r="B2059" s="3" t="s">
        <v>2169</v>
      </c>
      <c r="C2059" s="3" t="s">
        <v>2180</v>
      </c>
      <c r="D2059" s="3"/>
      <c r="E2059" s="2" t="str">
        <f>HYPERLINK("https://old.ukr-mobil.com/sensor_tachskrin_apple_watch_series_6_44mm_s_plenkoj_oca_original_g_oca_pro_10004567", "Перейти")</f>
        <v>Перейти</v>
      </c>
      <c r="F2059" s="2">
        <v>10004567</v>
      </c>
      <c r="G2059" s="4" t="s">
        <v>2186</v>
      </c>
      <c r="H2059" s="1">
        <v>21</v>
      </c>
      <c r="I2059" s="1">
        <v>6</v>
      </c>
      <c r="J2059" s="1">
        <v>0</v>
      </c>
      <c r="K2059" s="2">
        <v>18.0</v>
      </c>
    </row>
    <row r="2060" spans="1:12">
      <c r="A2060" s="3" t="s">
        <v>2146</v>
      </c>
      <c r="B2060" s="3" t="s">
        <v>2187</v>
      </c>
      <c r="C2060" s="3"/>
      <c r="D2060" s="3"/>
      <c r="E2060" s="2" t="str">
        <f>HYPERLINK("https://old.ukr-mobil.com/shlejf_apple_watch_sport_series_2_38mm_datchika_gravitacii_11895", "Перейти")</f>
        <v>Перейти</v>
      </c>
      <c r="F2060" s="2">
        <v>11895</v>
      </c>
      <c r="G2060" s="4" t="s">
        <v>2188</v>
      </c>
      <c r="H2060" s="1">
        <v>8</v>
      </c>
      <c r="I2060" s="1">
        <v>0</v>
      </c>
      <c r="J2060" s="1">
        <v>0</v>
      </c>
      <c r="K2060" s="2">
        <v>3.28</v>
      </c>
    </row>
    <row r="2061" spans="1:12">
      <c r="A2061" s="3" t="s">
        <v>2146</v>
      </c>
      <c r="B2061" s="3" t="s">
        <v>2187</v>
      </c>
      <c r="C2061" s="3"/>
      <c r="D2061" s="3"/>
      <c r="E2061" s="2" t="str">
        <f>HYPERLINK("https://old.ukr-mobil.com/shlejf_apple_watch_sport_series_2_42mm_datchika_gravitacii_11896", "Перейти")</f>
        <v>Перейти</v>
      </c>
      <c r="F2061" s="2">
        <v>11896</v>
      </c>
      <c r="G2061" s="4" t="s">
        <v>2189</v>
      </c>
      <c r="H2061" s="1">
        <v>8</v>
      </c>
      <c r="I2061" s="1">
        <v>0</v>
      </c>
      <c r="J2061" s="1">
        <v>2</v>
      </c>
      <c r="K2061" s="2">
        <v>3.28</v>
      </c>
    </row>
    <row r="2062" spans="1:12">
      <c r="A2062" s="3" t="s">
        <v>2146</v>
      </c>
      <c r="B2062" s="3" t="s">
        <v>2187</v>
      </c>
      <c r="C2062" s="3"/>
      <c r="D2062" s="3"/>
      <c r="E2062" s="2" t="str">
        <f>HYPERLINK("https://old.ukr-mobil.com/shlejf_apple_watch_sport_series_3_38mm_datchika_gravitacii_11897", "Перейти")</f>
        <v>Перейти</v>
      </c>
      <c r="F2062" s="2">
        <v>11897</v>
      </c>
      <c r="G2062" s="4" t="s">
        <v>2190</v>
      </c>
      <c r="H2062" s="1">
        <v>1</v>
      </c>
      <c r="I2062" s="1">
        <v>0</v>
      </c>
      <c r="J2062" s="1">
        <v>0</v>
      </c>
      <c r="K2062" s="2">
        <v>3.28</v>
      </c>
    </row>
    <row r="2063" spans="1:12">
      <c r="A2063" s="3" t="s">
        <v>2146</v>
      </c>
      <c r="B2063" s="3" t="s">
        <v>2187</v>
      </c>
      <c r="C2063" s="3"/>
      <c r="D2063" s="3"/>
      <c r="E2063" s="2" t="str">
        <f>HYPERLINK("https://old.ukr-mobil.com/shlejf_apple_watch_sport_series_3_42mm_datchika_gravitacii_11898", "Перейти")</f>
        <v>Перейти</v>
      </c>
      <c r="F2063" s="2">
        <v>11898</v>
      </c>
      <c r="G2063" s="4" t="s">
        <v>2191</v>
      </c>
      <c r="H2063" s="1">
        <v>2</v>
      </c>
      <c r="I2063" s="1">
        <v>0</v>
      </c>
      <c r="J2063" s="1">
        <v>0</v>
      </c>
      <c r="K2063" s="2">
        <v>3.28</v>
      </c>
    </row>
    <row r="2064" spans="1:12">
      <c r="A2064" s="3" t="s">
        <v>2146</v>
      </c>
      <c r="B2064" s="3" t="s">
        <v>2187</v>
      </c>
      <c r="C2064" s="3"/>
      <c r="D2064" s="3"/>
      <c r="E2064" s="2" t="str">
        <f>HYPERLINK("https://old.ukr-mobil.com/shlejf_apple_watch_sport_series_4_40mm_datchika_gravitacii_11899", "Перейти")</f>
        <v>Перейти</v>
      </c>
      <c r="F2064" s="2">
        <v>11899</v>
      </c>
      <c r="G2064" s="4" t="s">
        <v>2192</v>
      </c>
      <c r="H2064" s="1">
        <v>0</v>
      </c>
      <c r="I2064" s="1">
        <v>0</v>
      </c>
      <c r="J2064" s="1">
        <v>0</v>
      </c>
      <c r="K2064" s="2">
        <v>8.57</v>
      </c>
    </row>
    <row r="2065" spans="1:12">
      <c r="A2065" s="3" t="s">
        <v>2146</v>
      </c>
      <c r="B2065" s="3" t="s">
        <v>2187</v>
      </c>
      <c r="C2065" s="3"/>
      <c r="D2065" s="3"/>
      <c r="E2065" s="2" t="str">
        <f>HYPERLINK("https://old.ukr-mobil.com/shlejf_apple_watch_sport_series_4_44mm_datchika_gravitacii_11900", "Перейти")</f>
        <v>Перейти</v>
      </c>
      <c r="F2065" s="2">
        <v>11900</v>
      </c>
      <c r="G2065" s="4" t="s">
        <v>2193</v>
      </c>
      <c r="H2065" s="1">
        <v>0</v>
      </c>
      <c r="I2065" s="1">
        <v>0</v>
      </c>
      <c r="J2065" s="1">
        <v>0</v>
      </c>
      <c r="K2065" s="2">
        <v>9.58</v>
      </c>
    </row>
    <row r="2066" spans="1:12">
      <c r="A2066" s="3" t="s">
        <v>2194</v>
      </c>
      <c r="B2066" s="3" t="s">
        <v>2195</v>
      </c>
      <c r="C2066" s="3" t="s">
        <v>54</v>
      </c>
      <c r="D2066" s="3"/>
      <c r="E2066" s="2" t="str">
        <f>HYPERLINK("https://old.ukr-mobil.com/akkumulyator_apple_iphone_11_pro_max_original_10001776", "Перейти")</f>
        <v>Перейти</v>
      </c>
      <c r="F2066" s="2">
        <v>10001776</v>
      </c>
      <c r="G2066" s="4" t="s">
        <v>2196</v>
      </c>
      <c r="H2066" s="1">
        <v>0</v>
      </c>
      <c r="I2066" s="1">
        <v>0</v>
      </c>
      <c r="J2066" s="1">
        <v>0</v>
      </c>
      <c r="K2066" s="2">
        <v>22.0</v>
      </c>
    </row>
    <row r="2067" spans="1:12">
      <c r="A2067" s="3" t="s">
        <v>2194</v>
      </c>
      <c r="B2067" s="3" t="s">
        <v>2195</v>
      </c>
      <c r="C2067" s="3" t="s">
        <v>54</v>
      </c>
      <c r="D2067" s="3"/>
      <c r="E2067" s="2" t="str">
        <f>HYPERLINK("https://old.ukr-mobil.com/akkumulyator_apple_iphone_11_pro_max_li-ion_3_79_v_3969_mah_bez_kontrollera_original_prc_10002675", "Перейти")</f>
        <v>Перейти</v>
      </c>
      <c r="F2067" s="2">
        <v>10002675</v>
      </c>
      <c r="G2067" s="4" t="s">
        <v>2197</v>
      </c>
      <c r="H2067" s="1">
        <v>50</v>
      </c>
      <c r="I2067" s="1">
        <v>10</v>
      </c>
      <c r="J2067" s="1">
        <v>12</v>
      </c>
      <c r="K2067" s="2">
        <v>7.0</v>
      </c>
    </row>
    <row r="2068" spans="1:12">
      <c r="A2068" s="3" t="s">
        <v>2194</v>
      </c>
      <c r="B2068" s="3" t="s">
        <v>2195</v>
      </c>
      <c r="C2068" s="3" t="s">
        <v>54</v>
      </c>
      <c r="D2068" s="3"/>
      <c r="E2068" s="2" t="str">
        <f>HYPERLINK("https://old.ukr-mobil.com/index.php?route=product&amp;product_id=10005629", "Перейти")</f>
        <v>Перейти</v>
      </c>
      <c r="F2068" s="2">
        <v>10005629</v>
      </c>
      <c r="G2068" s="4" t="s">
        <v>2198</v>
      </c>
      <c r="H2068" s="1">
        <v>58</v>
      </c>
      <c r="I2068" s="1">
        <v>21</v>
      </c>
      <c r="J2068" s="1">
        <v>15</v>
      </c>
      <c r="K2068" s="2">
        <v>16.0</v>
      </c>
    </row>
    <row r="2069" spans="1:12">
      <c r="A2069" s="3" t="s">
        <v>2194</v>
      </c>
      <c r="B2069" s="3" t="s">
        <v>2195</v>
      </c>
      <c r="C2069" s="3" t="s">
        <v>54</v>
      </c>
      <c r="D2069" s="3"/>
      <c r="E2069" s="2" t="str">
        <f>HYPERLINK("https://old.ukr-mobil.com/akkumulyator_apple_iphone_11_pro_li-ion_3_83_v_3046_mah_bez_kontrollera_original_prc_10002674", "Перейти")</f>
        <v>Перейти</v>
      </c>
      <c r="F2069" s="2">
        <v>10002674</v>
      </c>
      <c r="G2069" s="4" t="s">
        <v>2199</v>
      </c>
      <c r="H2069" s="1">
        <v>0</v>
      </c>
      <c r="I2069" s="1">
        <v>0</v>
      </c>
      <c r="J2069" s="1">
        <v>0</v>
      </c>
      <c r="K2069" s="2">
        <v>10.35</v>
      </c>
    </row>
    <row r="2070" spans="1:12">
      <c r="A2070" s="3" t="s">
        <v>2194</v>
      </c>
      <c r="B2070" s="3" t="s">
        <v>2195</v>
      </c>
      <c r="C2070" s="3" t="s">
        <v>54</v>
      </c>
      <c r="D2070" s="3"/>
      <c r="E2070" s="2" t="str">
        <f>HYPERLINK("https://old.ukr-mobil.com/index.php?route=product&amp;product_id=10005628", "Перейти")</f>
        <v>Перейти</v>
      </c>
      <c r="F2070" s="2">
        <v>10005628</v>
      </c>
      <c r="G2070" s="4" t="s">
        <v>2200</v>
      </c>
      <c r="H2070" s="1">
        <v>28</v>
      </c>
      <c r="I2070" s="1">
        <v>8</v>
      </c>
      <c r="J2070" s="1">
        <v>13</v>
      </c>
      <c r="K2070" s="2">
        <v>14.0</v>
      </c>
    </row>
    <row r="2071" spans="1:12">
      <c r="A2071" s="3" t="s">
        <v>2194</v>
      </c>
      <c r="B2071" s="3" t="s">
        <v>2195</v>
      </c>
      <c r="C2071" s="3" t="s">
        <v>54</v>
      </c>
      <c r="D2071" s="3"/>
      <c r="E2071" s="2" t="str">
        <f>HYPERLINK("https://old.ukr-mobil.com/akkumulyator_apple_iphone_11_pro_original_10001775", "Перейти")</f>
        <v>Перейти</v>
      </c>
      <c r="F2071" s="2">
        <v>10001775</v>
      </c>
      <c r="G2071" s="4" t="s">
        <v>2201</v>
      </c>
      <c r="H2071" s="1">
        <v>0</v>
      </c>
      <c r="I2071" s="1">
        <v>0</v>
      </c>
      <c r="J2071" s="1">
        <v>0</v>
      </c>
      <c r="K2071" s="2">
        <v>30.0</v>
      </c>
    </row>
    <row r="2072" spans="1:12">
      <c r="A2072" s="3" t="s">
        <v>2194</v>
      </c>
      <c r="B2072" s="3" t="s">
        <v>2195</v>
      </c>
      <c r="C2072" s="3" t="s">
        <v>54</v>
      </c>
      <c r="D2072" s="3"/>
      <c r="E2072" s="2" t="str">
        <f>HYPERLINK("https://old.ukr-mobil.com/akkumulyator_apple_iphone_11_original_10001774", "Перейти")</f>
        <v>Перейти</v>
      </c>
      <c r="F2072" s="2">
        <v>10001774</v>
      </c>
      <c r="G2072" s="4" t="s">
        <v>2202</v>
      </c>
      <c r="H2072" s="1">
        <v>0</v>
      </c>
      <c r="I2072" s="1">
        <v>0</v>
      </c>
      <c r="J2072" s="1">
        <v>0</v>
      </c>
      <c r="K2072" s="2">
        <v>15.0</v>
      </c>
    </row>
    <row r="2073" spans="1:12">
      <c r="A2073" s="3" t="s">
        <v>2194</v>
      </c>
      <c r="B2073" s="3" t="s">
        <v>2195</v>
      </c>
      <c r="C2073" s="3" t="s">
        <v>54</v>
      </c>
      <c r="D2073" s="3"/>
      <c r="E2073" s="2" t="str">
        <f>HYPERLINK("https://old.ukr-mobil.com/akkumulyator_apple_iphone_11_li-ion_3_83_v_3110_mah_bez_kontrollera_original_prc_10002671", "Перейти")</f>
        <v>Перейти</v>
      </c>
      <c r="F2073" s="2">
        <v>10002671</v>
      </c>
      <c r="G2073" s="4" t="s">
        <v>2203</v>
      </c>
      <c r="H2073" s="1">
        <v>441</v>
      </c>
      <c r="I2073" s="1">
        <v>4</v>
      </c>
      <c r="J2073" s="1">
        <v>114</v>
      </c>
      <c r="K2073" s="2">
        <v>7.0</v>
      </c>
    </row>
    <row r="2074" spans="1:12">
      <c r="A2074" s="3" t="s">
        <v>2194</v>
      </c>
      <c r="B2074" s="3" t="s">
        <v>2195</v>
      </c>
      <c r="C2074" s="3" t="s">
        <v>54</v>
      </c>
      <c r="D2074" s="3"/>
      <c r="E2074" s="2" t="str">
        <f>HYPERLINK("https://old.ukr-mobil.com/index.php?route=product&amp;product_id=10005627", "Перейти")</f>
        <v>Перейти</v>
      </c>
      <c r="F2074" s="2">
        <v>10005627</v>
      </c>
      <c r="G2074" s="4" t="s">
        <v>2204</v>
      </c>
      <c r="H2074" s="1">
        <v>99</v>
      </c>
      <c r="I2074" s="1">
        <v>12</v>
      </c>
      <c r="J2074" s="1">
        <v>27</v>
      </c>
      <c r="K2074" s="2">
        <v>9.0</v>
      </c>
    </row>
    <row r="2075" spans="1:12">
      <c r="A2075" s="3" t="s">
        <v>2194</v>
      </c>
      <c r="B2075" s="3" t="s">
        <v>2195</v>
      </c>
      <c r="C2075" s="3" t="s">
        <v>54</v>
      </c>
      <c r="D2075" s="3"/>
      <c r="E2075" s="2" t="str">
        <f>HYPERLINK("https://old.ukr-mobil.com/akkumulyator_apple_iphone_12_mini_li-ion_3_85_v_2227_mah_bez_kontrollera_original_prc_10004518", "Перейти")</f>
        <v>Перейти</v>
      </c>
      <c r="F2075" s="2">
        <v>10004518</v>
      </c>
      <c r="G2075" s="4" t="s">
        <v>2205</v>
      </c>
      <c r="H2075" s="1">
        <v>0</v>
      </c>
      <c r="I2075" s="1">
        <v>0</v>
      </c>
      <c r="J2075" s="1">
        <v>0</v>
      </c>
      <c r="K2075" s="2">
        <v>10.0</v>
      </c>
    </row>
    <row r="2076" spans="1:12">
      <c r="A2076" s="3" t="s">
        <v>2194</v>
      </c>
      <c r="B2076" s="3" t="s">
        <v>2195</v>
      </c>
      <c r="C2076" s="3" t="s">
        <v>54</v>
      </c>
      <c r="D2076" s="3"/>
      <c r="E2076" s="2" t="str">
        <f>HYPERLINK("https://old.ukr-mobil.com/akkumulyator_apple_iphone_12_pro_max_li-ion_3_83_v_3687_mah_bez_kontrollera_original_prc_10002677", "Перейти")</f>
        <v>Перейти</v>
      </c>
      <c r="F2076" s="2">
        <v>10002677</v>
      </c>
      <c r="G2076" s="4" t="s">
        <v>2206</v>
      </c>
      <c r="H2076" s="1">
        <v>0</v>
      </c>
      <c r="I2076" s="1">
        <v>10</v>
      </c>
      <c r="J2076" s="1">
        <v>43</v>
      </c>
      <c r="K2076" s="2">
        <v>12.0</v>
      </c>
    </row>
    <row r="2077" spans="1:12">
      <c r="A2077" s="3" t="s">
        <v>2194</v>
      </c>
      <c r="B2077" s="3" t="s">
        <v>2195</v>
      </c>
      <c r="C2077" s="3" t="s">
        <v>54</v>
      </c>
      <c r="D2077" s="3"/>
      <c r="E2077" s="2" t="str">
        <f>HYPERLINK("https://old.ukr-mobil.com/index.php?route=product&amp;product_id=10005630", "Перейти")</f>
        <v>Перейти</v>
      </c>
      <c r="F2077" s="2">
        <v>10005630</v>
      </c>
      <c r="G2077" s="4" t="s">
        <v>2207</v>
      </c>
      <c r="H2077" s="1">
        <v>55</v>
      </c>
      <c r="I2077" s="1">
        <v>24</v>
      </c>
      <c r="J2077" s="1">
        <v>14</v>
      </c>
      <c r="K2077" s="2">
        <v>16.0</v>
      </c>
    </row>
    <row r="2078" spans="1:12">
      <c r="A2078" s="3" t="s">
        <v>2194</v>
      </c>
      <c r="B2078" s="3" t="s">
        <v>2195</v>
      </c>
      <c r="C2078" s="3" t="s">
        <v>54</v>
      </c>
      <c r="D2078" s="3"/>
      <c r="E2078" s="2" t="str">
        <f>HYPERLINK("https://old.ukr-mobil.com/akkumulyator_apple_iphone_12_iphone_12_pro_li-ion_3_83_v_2815_mah_bez_kontrollera_original_prc_10002676", "Перейти")</f>
        <v>Перейти</v>
      </c>
      <c r="F2078" s="2">
        <v>10002676</v>
      </c>
      <c r="G2078" s="4" t="s">
        <v>2208</v>
      </c>
      <c r="H2078" s="1">
        <v>12</v>
      </c>
      <c r="I2078" s="1">
        <v>8</v>
      </c>
      <c r="J2078" s="1">
        <v>86</v>
      </c>
      <c r="K2078" s="2">
        <v>6.0</v>
      </c>
    </row>
    <row r="2079" spans="1:12">
      <c r="A2079" s="3" t="s">
        <v>2194</v>
      </c>
      <c r="B2079" s="3" t="s">
        <v>2195</v>
      </c>
      <c r="C2079" s="3" t="s">
        <v>54</v>
      </c>
      <c r="D2079" s="3"/>
      <c r="E2079" s="2" t="str">
        <f>HYPERLINK("https://old.ukr-mobil.com/index.php?route=product&amp;product_id=10005625", "Перейти")</f>
        <v>Перейти</v>
      </c>
      <c r="F2079" s="2">
        <v>10005625</v>
      </c>
      <c r="G2079" s="4" t="s">
        <v>2209</v>
      </c>
      <c r="H2079" s="1">
        <v>87</v>
      </c>
      <c r="I2079" s="1">
        <v>17</v>
      </c>
      <c r="J2079" s="1">
        <v>9</v>
      </c>
      <c r="K2079" s="2">
        <v>7.0</v>
      </c>
    </row>
    <row r="2080" spans="1:12">
      <c r="A2080" s="3" t="s">
        <v>2194</v>
      </c>
      <c r="B2080" s="3" t="s">
        <v>2195</v>
      </c>
      <c r="C2080" s="3" t="s">
        <v>54</v>
      </c>
      <c r="D2080" s="3"/>
      <c r="E2080" s="2" t="str">
        <f>HYPERLINK("https://old.ukr-mobil.com/akkumulyator_apple_iphone_13_mini_li-ion_3_85_v_2427_mah_bez_kontrollera_original_prc_10004521", "Перейти")</f>
        <v>Перейти</v>
      </c>
      <c r="F2080" s="2">
        <v>10004521</v>
      </c>
      <c r="G2080" s="4" t="s">
        <v>2210</v>
      </c>
      <c r="H2080" s="1">
        <v>1</v>
      </c>
      <c r="I2080" s="1">
        <v>3</v>
      </c>
      <c r="J2080" s="1">
        <v>0</v>
      </c>
      <c r="K2080" s="2">
        <v>11.0</v>
      </c>
    </row>
    <row r="2081" spans="1:12">
      <c r="A2081" s="3" t="s">
        <v>2194</v>
      </c>
      <c r="B2081" s="3" t="s">
        <v>2195</v>
      </c>
      <c r="C2081" s="3" t="s">
        <v>54</v>
      </c>
      <c r="D2081" s="3"/>
      <c r="E2081" s="2" t="str">
        <f>HYPERLINK("https://old.ukr-mobil.com/akkumulyator_apple_iphone_13_pro_max_li-ion_3_85_v_4352_mah_bez_kontrollera_original_prc_10004522", "Перейти")</f>
        <v>Перейти</v>
      </c>
      <c r="F2081" s="2">
        <v>10004522</v>
      </c>
      <c r="G2081" s="4" t="s">
        <v>2211</v>
      </c>
      <c r="H2081" s="1">
        <v>42</v>
      </c>
      <c r="I2081" s="1">
        <v>20</v>
      </c>
      <c r="J2081" s="1">
        <v>38</v>
      </c>
      <c r="K2081" s="2">
        <v>13.0</v>
      </c>
    </row>
    <row r="2082" spans="1:12">
      <c r="A2082" s="3" t="s">
        <v>2194</v>
      </c>
      <c r="B2082" s="3" t="s">
        <v>2195</v>
      </c>
      <c r="C2082" s="3" t="s">
        <v>54</v>
      </c>
      <c r="D2082" s="3"/>
      <c r="E2082" s="2" t="str">
        <f>HYPERLINK("https://old.ukr-mobil.com/akkumulyator_apple_iphone_13_pro_li-ion_3_84_v_3095_mah_bez_kontrollera_original_prc_10004520", "Перейти")</f>
        <v>Перейти</v>
      </c>
      <c r="F2082" s="2">
        <v>10004520</v>
      </c>
      <c r="G2082" s="4" t="s">
        <v>2212</v>
      </c>
      <c r="H2082" s="1">
        <v>0</v>
      </c>
      <c r="I2082" s="1">
        <v>0</v>
      </c>
      <c r="J2082" s="1">
        <v>1</v>
      </c>
      <c r="K2082" s="2">
        <v>13.0</v>
      </c>
    </row>
    <row r="2083" spans="1:12">
      <c r="A2083" s="3" t="s">
        <v>2194</v>
      </c>
      <c r="B2083" s="3" t="s">
        <v>2195</v>
      </c>
      <c r="C2083" s="3" t="s">
        <v>54</v>
      </c>
      <c r="D2083" s="3"/>
      <c r="E2083" s="2" t="str">
        <f>HYPERLINK("https://old.ukr-mobil.com/akkumulyator_apple_iphone_13_li-ion_3_84_v_3227_mah_bez_kontrollera_original_prc_10004519", "Перейти")</f>
        <v>Перейти</v>
      </c>
      <c r="F2083" s="2">
        <v>10004519</v>
      </c>
      <c r="G2083" s="4" t="s">
        <v>2213</v>
      </c>
      <c r="H2083" s="1">
        <v>99</v>
      </c>
      <c r="I2083" s="1">
        <v>19</v>
      </c>
      <c r="J2083" s="1">
        <v>45</v>
      </c>
      <c r="K2083" s="2">
        <v>10.0</v>
      </c>
    </row>
    <row r="2084" spans="1:12">
      <c r="A2084" s="3" t="s">
        <v>2194</v>
      </c>
      <c r="B2084" s="3" t="s">
        <v>2195</v>
      </c>
      <c r="C2084" s="3" t="s">
        <v>54</v>
      </c>
      <c r="D2084" s="3"/>
      <c r="E2084" s="2" t="str">
        <f>HYPERLINK("https://old.ukr-mobil.com/index.php?route=product&amp;product_id=10005172", "Перейти")</f>
        <v>Перейти</v>
      </c>
      <c r="F2084" s="2">
        <v>10005172</v>
      </c>
      <c r="G2084" s="4" t="s">
        <v>2214</v>
      </c>
      <c r="H2084" s="1">
        <v>29</v>
      </c>
      <c r="I2084" s="1">
        <v>9</v>
      </c>
      <c r="J2084" s="1">
        <v>10</v>
      </c>
      <c r="K2084" s="2">
        <v>16.0</v>
      </c>
    </row>
    <row r="2085" spans="1:12">
      <c r="A2085" s="3" t="s">
        <v>2194</v>
      </c>
      <c r="B2085" s="3" t="s">
        <v>2195</v>
      </c>
      <c r="C2085" s="3" t="s">
        <v>54</v>
      </c>
      <c r="D2085" s="3"/>
      <c r="E2085" s="2" t="str">
        <f>HYPERLINK("https://old.ukr-mobil.com/index.php?route=product&amp;product_id=10005174", "Перейти")</f>
        <v>Перейти</v>
      </c>
      <c r="F2085" s="2">
        <v>10005174</v>
      </c>
      <c r="G2085" s="4" t="s">
        <v>2215</v>
      </c>
      <c r="H2085" s="1">
        <v>102</v>
      </c>
      <c r="I2085" s="1">
        <v>30</v>
      </c>
      <c r="J2085" s="1">
        <v>49</v>
      </c>
      <c r="K2085" s="2">
        <v>15.0</v>
      </c>
    </row>
    <row r="2086" spans="1:12">
      <c r="A2086" s="3" t="s">
        <v>2194</v>
      </c>
      <c r="B2086" s="3" t="s">
        <v>2195</v>
      </c>
      <c r="C2086" s="3" t="s">
        <v>54</v>
      </c>
      <c r="D2086" s="3"/>
      <c r="E2086" s="2" t="str">
        <f>HYPERLINK("https://old.ukr-mobil.com/index.php?route=product&amp;product_id=10005173", "Перейти")</f>
        <v>Перейти</v>
      </c>
      <c r="F2086" s="2">
        <v>10005173</v>
      </c>
      <c r="G2086" s="4" t="s">
        <v>2216</v>
      </c>
      <c r="H2086" s="1">
        <v>3</v>
      </c>
      <c r="I2086" s="1">
        <v>5</v>
      </c>
      <c r="J2086" s="1">
        <v>10</v>
      </c>
      <c r="K2086" s="2">
        <v>17.0</v>
      </c>
    </row>
    <row r="2087" spans="1:12">
      <c r="A2087" s="3" t="s">
        <v>2194</v>
      </c>
      <c r="B2087" s="3" t="s">
        <v>2195</v>
      </c>
      <c r="C2087" s="3" t="s">
        <v>54</v>
      </c>
      <c r="D2087" s="3"/>
      <c r="E2087" s="2" t="str">
        <f>HYPERLINK("https://old.ukr-mobil.com/index.php?route=product&amp;product_id=10005171", "Перейти")</f>
        <v>Перейти</v>
      </c>
      <c r="F2087" s="2">
        <v>10005171</v>
      </c>
      <c r="G2087" s="4" t="s">
        <v>2217</v>
      </c>
      <c r="H2087" s="1">
        <v>15</v>
      </c>
      <c r="I2087" s="1">
        <v>7</v>
      </c>
      <c r="J2087" s="1">
        <v>4</v>
      </c>
      <c r="K2087" s="2">
        <v>14.5</v>
      </c>
    </row>
    <row r="2088" spans="1:12">
      <c r="A2088" s="3" t="s">
        <v>2194</v>
      </c>
      <c r="B2088" s="3" t="s">
        <v>2195</v>
      </c>
      <c r="C2088" s="3" t="s">
        <v>54</v>
      </c>
      <c r="D2088" s="3"/>
      <c r="E2088" s="2" t="str">
        <f>HYPERLINK("https://old.ukr-mobil.com/akkumulyator_iphone_5_original_8453", "Перейти")</f>
        <v>Перейти</v>
      </c>
      <c r="F2088" s="2">
        <v>8453</v>
      </c>
      <c r="G2088" s="4" t="s">
        <v>2218</v>
      </c>
      <c r="H2088" s="1">
        <v>0</v>
      </c>
      <c r="I2088" s="1">
        <v>0</v>
      </c>
      <c r="J2088" s="1">
        <v>0</v>
      </c>
      <c r="K2088" s="2">
        <v>5.0</v>
      </c>
    </row>
    <row r="2089" spans="1:12">
      <c r="A2089" s="3" t="s">
        <v>2194</v>
      </c>
      <c r="B2089" s="3" t="s">
        <v>2195</v>
      </c>
      <c r="C2089" s="3" t="s">
        <v>54</v>
      </c>
      <c r="D2089" s="3"/>
      <c r="E2089" s="2" t="str">
        <f>HYPERLINK("https://old.ukr-mobil.com/akkumulyator_iphone_5s_original_9210", "Перейти")</f>
        <v>Перейти</v>
      </c>
      <c r="F2089" s="2">
        <v>9210</v>
      </c>
      <c r="G2089" s="4" t="s">
        <v>2219</v>
      </c>
      <c r="H2089" s="1">
        <v>0</v>
      </c>
      <c r="I2089" s="1">
        <v>0</v>
      </c>
      <c r="J2089" s="1">
        <v>0</v>
      </c>
      <c r="K2089" s="2">
        <v>7.5</v>
      </c>
    </row>
    <row r="2090" spans="1:12">
      <c r="A2090" s="3" t="s">
        <v>2194</v>
      </c>
      <c r="B2090" s="3" t="s">
        <v>2195</v>
      </c>
      <c r="C2090" s="3" t="s">
        <v>54</v>
      </c>
      <c r="D2090" s="3"/>
      <c r="E2090" s="2" t="str">
        <f>HYPERLINK("https://old.ukr-mobil.com/akkumulyator_iphone_5se_original_8273", "Перейти")</f>
        <v>Перейти</v>
      </c>
      <c r="F2090" s="2">
        <v>8273</v>
      </c>
      <c r="G2090" s="4" t="s">
        <v>2220</v>
      </c>
      <c r="H2090" s="1">
        <v>0</v>
      </c>
      <c r="I2090" s="1">
        <v>0</v>
      </c>
      <c r="J2090" s="1">
        <v>0</v>
      </c>
      <c r="K2090" s="2">
        <v>7.5</v>
      </c>
    </row>
    <row r="2091" spans="1:12">
      <c r="A2091" s="3" t="s">
        <v>2194</v>
      </c>
      <c r="B2091" s="3" t="s">
        <v>2195</v>
      </c>
      <c r="C2091" s="3" t="s">
        <v>54</v>
      </c>
      <c r="D2091" s="3"/>
      <c r="E2091" s="2" t="str">
        <f>HYPERLINK("https://old.ukr-mobil.com/akkumulyator_iphone_6_plus_2915_mah_sunshine_12244", "Перейти")</f>
        <v>Перейти</v>
      </c>
      <c r="F2091" s="2">
        <v>12244</v>
      </c>
      <c r="G2091" s="4" t="s">
        <v>2221</v>
      </c>
      <c r="H2091" s="1">
        <v>16</v>
      </c>
      <c r="I2091" s="1">
        <v>6</v>
      </c>
      <c r="J2091" s="1">
        <v>6</v>
      </c>
      <c r="K2091" s="2">
        <v>5.0</v>
      </c>
    </row>
    <row r="2092" spans="1:12">
      <c r="A2092" s="3" t="s">
        <v>2194</v>
      </c>
      <c r="B2092" s="3" t="s">
        <v>2195</v>
      </c>
      <c r="C2092" s="3" t="s">
        <v>54</v>
      </c>
      <c r="D2092" s="3"/>
      <c r="E2092" s="2" t="str">
        <f>HYPERLINK("https://old.ukr-mobil.com/akkumulyator_iphone_6_plus_original_8002", "Перейти")</f>
        <v>Перейти</v>
      </c>
      <c r="F2092" s="2">
        <v>8002</v>
      </c>
      <c r="G2092" s="4" t="s">
        <v>2222</v>
      </c>
      <c r="H2092" s="1">
        <v>18</v>
      </c>
      <c r="I2092" s="1">
        <v>6</v>
      </c>
      <c r="J2092" s="1">
        <v>6</v>
      </c>
      <c r="K2092" s="2">
        <v>5.0</v>
      </c>
    </row>
    <row r="2093" spans="1:12">
      <c r="A2093" s="3" t="s">
        <v>2194</v>
      </c>
      <c r="B2093" s="3" t="s">
        <v>2195</v>
      </c>
      <c r="C2093" s="3" t="s">
        <v>54</v>
      </c>
      <c r="D2093" s="3"/>
      <c r="E2093" s="2" t="str">
        <f>HYPERLINK("https://old.ukr-mobil.com/akkumulyator_iphone_6_1810_mah_sunshine_12230", "Перейти")</f>
        <v>Перейти</v>
      </c>
      <c r="F2093" s="2">
        <v>12230</v>
      </c>
      <c r="G2093" s="4" t="s">
        <v>2223</v>
      </c>
      <c r="H2093" s="1">
        <v>2</v>
      </c>
      <c r="I2093" s="1">
        <v>1</v>
      </c>
      <c r="J2093" s="1">
        <v>7</v>
      </c>
      <c r="K2093" s="2">
        <v>5.0</v>
      </c>
    </row>
    <row r="2094" spans="1:12">
      <c r="A2094" s="3" t="s">
        <v>2194</v>
      </c>
      <c r="B2094" s="3" t="s">
        <v>2195</v>
      </c>
      <c r="C2094" s="3" t="s">
        <v>54</v>
      </c>
      <c r="D2094" s="3"/>
      <c r="E2094" s="2" t="str">
        <f>HYPERLINK("https://old.ukr-mobil.com/akkumulyator_iphone_6_original_9283", "Перейти")</f>
        <v>Перейти</v>
      </c>
      <c r="F2094" s="2">
        <v>9283</v>
      </c>
      <c r="G2094" s="4" t="s">
        <v>2224</v>
      </c>
      <c r="H2094" s="1">
        <v>82</v>
      </c>
      <c r="I2094" s="1">
        <v>12</v>
      </c>
      <c r="J2094" s="1">
        <v>33</v>
      </c>
      <c r="K2094" s="2">
        <v>5.0</v>
      </c>
    </row>
    <row r="2095" spans="1:12">
      <c r="A2095" s="3" t="s">
        <v>2194</v>
      </c>
      <c r="B2095" s="3" t="s">
        <v>2195</v>
      </c>
      <c r="C2095" s="3" t="s">
        <v>54</v>
      </c>
      <c r="D2095" s="3"/>
      <c r="E2095" s="2" t="str">
        <f>HYPERLINK("https://old.ukr-mobil.com/akkumulyator_iphone_6s_plus_2750_mah_sunshine_12245", "Перейти")</f>
        <v>Перейти</v>
      </c>
      <c r="F2095" s="2">
        <v>12245</v>
      </c>
      <c r="G2095" s="4" t="s">
        <v>2225</v>
      </c>
      <c r="H2095" s="1">
        <v>0</v>
      </c>
      <c r="I2095" s="1">
        <v>0</v>
      </c>
      <c r="J2095" s="1">
        <v>1</v>
      </c>
      <c r="K2095" s="2">
        <v>5.0</v>
      </c>
    </row>
    <row r="2096" spans="1:12">
      <c r="A2096" s="3" t="s">
        <v>2194</v>
      </c>
      <c r="B2096" s="3" t="s">
        <v>2195</v>
      </c>
      <c r="C2096" s="3" t="s">
        <v>54</v>
      </c>
      <c r="D2096" s="3"/>
      <c r="E2096" s="2" t="str">
        <f>HYPERLINK("https://old.ukr-mobil.com/akkumulyator_iphone_6s_plus_original_7731", "Перейти")</f>
        <v>Перейти</v>
      </c>
      <c r="F2096" s="2">
        <v>7731</v>
      </c>
      <c r="G2096" s="4" t="s">
        <v>2226</v>
      </c>
      <c r="H2096" s="1">
        <v>18</v>
      </c>
      <c r="I2096" s="1">
        <v>7</v>
      </c>
      <c r="J2096" s="1">
        <v>15</v>
      </c>
      <c r="K2096" s="2">
        <v>6.5</v>
      </c>
    </row>
    <row r="2097" spans="1:12">
      <c r="A2097" s="3" t="s">
        <v>2194</v>
      </c>
      <c r="B2097" s="3" t="s">
        <v>2195</v>
      </c>
      <c r="C2097" s="3" t="s">
        <v>54</v>
      </c>
      <c r="D2097" s="3"/>
      <c r="E2097" s="2" t="str">
        <f>HYPERLINK("https://old.ukr-mobil.com/akkumulyator_iphone_6s_1715_mah_sunshine_12241", "Перейти")</f>
        <v>Перейти</v>
      </c>
      <c r="F2097" s="2">
        <v>12241</v>
      </c>
      <c r="G2097" s="4" t="s">
        <v>2227</v>
      </c>
      <c r="H2097" s="1">
        <v>18</v>
      </c>
      <c r="I2097" s="1">
        <v>15</v>
      </c>
      <c r="J2097" s="1">
        <v>10</v>
      </c>
      <c r="K2097" s="2">
        <v>5.5</v>
      </c>
    </row>
    <row r="2098" spans="1:12">
      <c r="A2098" s="3" t="s">
        <v>2194</v>
      </c>
      <c r="B2098" s="3" t="s">
        <v>2195</v>
      </c>
      <c r="C2098" s="3" t="s">
        <v>54</v>
      </c>
      <c r="D2098" s="3"/>
      <c r="E2098" s="2" t="str">
        <f>HYPERLINK("https://old.ukr-mobil.com/akkumulyator_apple_iphone_6s_original_10001505", "Перейти")</f>
        <v>Перейти</v>
      </c>
      <c r="F2098" s="2">
        <v>10001505</v>
      </c>
      <c r="G2098" s="4" t="s">
        <v>2228</v>
      </c>
      <c r="H2098" s="1">
        <v>1</v>
      </c>
      <c r="I2098" s="1">
        <v>6</v>
      </c>
      <c r="J2098" s="1">
        <v>2</v>
      </c>
      <c r="K2098" s="2">
        <v>8.5</v>
      </c>
    </row>
    <row r="2099" spans="1:12">
      <c r="A2099" s="3" t="s">
        <v>2194</v>
      </c>
      <c r="B2099" s="3" t="s">
        <v>2195</v>
      </c>
      <c r="C2099" s="3" t="s">
        <v>54</v>
      </c>
      <c r="D2099" s="3"/>
      <c r="E2099" s="2" t="str">
        <f>HYPERLINK("https://old.ukr-mobil.com/akkumulyator_iphone_6s_original_7007", "Перейти")</f>
        <v>Перейти</v>
      </c>
      <c r="F2099" s="2">
        <v>7007</v>
      </c>
      <c r="G2099" s="4" t="s">
        <v>2229</v>
      </c>
      <c r="H2099" s="1">
        <v>0</v>
      </c>
      <c r="I2099" s="1">
        <v>0</v>
      </c>
      <c r="J2099" s="1">
        <v>0</v>
      </c>
      <c r="K2099" s="2">
        <v>5.95</v>
      </c>
    </row>
    <row r="2100" spans="1:12">
      <c r="A2100" s="3" t="s">
        <v>2194</v>
      </c>
      <c r="B2100" s="3" t="s">
        <v>2195</v>
      </c>
      <c r="C2100" s="3" t="s">
        <v>54</v>
      </c>
      <c r="D2100" s="3"/>
      <c r="E2100" s="2" t="str">
        <f>HYPERLINK("https://old.ukr-mobil.com/akkumulyator_iphone_7_plus_2900_mah_sunshine_12246", "Перейти")</f>
        <v>Перейти</v>
      </c>
      <c r="F2100" s="2">
        <v>12246</v>
      </c>
      <c r="G2100" s="4" t="s">
        <v>2230</v>
      </c>
      <c r="H2100" s="1">
        <v>14</v>
      </c>
      <c r="I2100" s="1">
        <v>10</v>
      </c>
      <c r="J2100" s="1">
        <v>11</v>
      </c>
      <c r="K2100" s="2">
        <v>6.0</v>
      </c>
    </row>
    <row r="2101" spans="1:12">
      <c r="A2101" s="3" t="s">
        <v>2194</v>
      </c>
      <c r="B2101" s="3" t="s">
        <v>2195</v>
      </c>
      <c r="C2101" s="3" t="s">
        <v>54</v>
      </c>
      <c r="D2101" s="3"/>
      <c r="E2101" s="2" t="str">
        <f>HYPERLINK("https://old.ukr-mobil.com/akkumulyator_iphone_7_plus_original_10355", "Перейти")</f>
        <v>Перейти</v>
      </c>
      <c r="F2101" s="2">
        <v>10355</v>
      </c>
      <c r="G2101" s="4" t="s">
        <v>2231</v>
      </c>
      <c r="H2101" s="1">
        <v>254</v>
      </c>
      <c r="I2101" s="1">
        <v>14</v>
      </c>
      <c r="J2101" s="1">
        <v>46</v>
      </c>
      <c r="K2101" s="2">
        <v>7.0</v>
      </c>
    </row>
    <row r="2102" spans="1:12">
      <c r="A2102" s="3" t="s">
        <v>2194</v>
      </c>
      <c r="B2102" s="3" t="s">
        <v>2195</v>
      </c>
      <c r="C2102" s="3" t="s">
        <v>54</v>
      </c>
      <c r="D2102" s="3"/>
      <c r="E2102" s="2" t="str">
        <f>HYPERLINK("https://old.ukr-mobil.com/akkumulyator_iphone_7_original_8547", "Перейти")</f>
        <v>Перейти</v>
      </c>
      <c r="F2102" s="2">
        <v>8547</v>
      </c>
      <c r="G2102" s="4" t="s">
        <v>2232</v>
      </c>
      <c r="H2102" s="1">
        <v>0</v>
      </c>
      <c r="I2102" s="1">
        <v>0</v>
      </c>
      <c r="J2102" s="1">
        <v>0</v>
      </c>
      <c r="K2102" s="2">
        <v>7.7</v>
      </c>
    </row>
    <row r="2103" spans="1:12">
      <c r="A2103" s="3" t="s">
        <v>2194</v>
      </c>
      <c r="B2103" s="3" t="s">
        <v>2195</v>
      </c>
      <c r="C2103" s="3" t="s">
        <v>54</v>
      </c>
      <c r="D2103" s="3"/>
      <c r="E2103" s="2" t="str">
        <f>HYPERLINK("https://old.ukr-mobil.com/akkumulyator_iphone_8_plus_1810_mah_sunshine_12248", "Перейти")</f>
        <v>Перейти</v>
      </c>
      <c r="F2103" s="2">
        <v>12248</v>
      </c>
      <c r="G2103" s="4" t="s">
        <v>2233</v>
      </c>
      <c r="H2103" s="1">
        <v>0</v>
      </c>
      <c r="I2103" s="1">
        <v>1</v>
      </c>
      <c r="J2103" s="1">
        <v>2</v>
      </c>
      <c r="K2103" s="2">
        <v>6.0</v>
      </c>
    </row>
    <row r="2104" spans="1:12">
      <c r="A2104" s="3" t="s">
        <v>2194</v>
      </c>
      <c r="B2104" s="3" t="s">
        <v>2195</v>
      </c>
      <c r="C2104" s="3" t="s">
        <v>54</v>
      </c>
      <c r="D2104" s="3"/>
      <c r="E2104" s="2" t="str">
        <f>HYPERLINK("https://old.ukr-mobil.com/akkumulyator_apple_iphone_8_plus_original_10001999", "Перейти")</f>
        <v>Перейти</v>
      </c>
      <c r="F2104" s="2">
        <v>10001999</v>
      </c>
      <c r="G2104" s="4" t="s">
        <v>2234</v>
      </c>
      <c r="H2104" s="1">
        <v>173</v>
      </c>
      <c r="I2104" s="1">
        <v>14</v>
      </c>
      <c r="J2104" s="1">
        <v>72</v>
      </c>
      <c r="K2104" s="2">
        <v>8.0</v>
      </c>
    </row>
    <row r="2105" spans="1:12">
      <c r="A2105" s="3" t="s">
        <v>2194</v>
      </c>
      <c r="B2105" s="3" t="s">
        <v>2195</v>
      </c>
      <c r="C2105" s="3" t="s">
        <v>54</v>
      </c>
      <c r="D2105" s="3"/>
      <c r="E2105" s="2" t="str">
        <f>HYPERLINK("https://old.ukr-mobil.com/akkumulyator_iphone_8_2020_mah_sunshine_12247", "Перейти")</f>
        <v>Перейти</v>
      </c>
      <c r="F2105" s="2">
        <v>12247</v>
      </c>
      <c r="G2105" s="4" t="s">
        <v>2235</v>
      </c>
      <c r="H2105" s="1">
        <v>0</v>
      </c>
      <c r="I2105" s="1">
        <v>0</v>
      </c>
      <c r="J2105" s="1">
        <v>0</v>
      </c>
      <c r="K2105" s="2">
        <v>10.0</v>
      </c>
    </row>
    <row r="2106" spans="1:12">
      <c r="A2106" s="3" t="s">
        <v>2194</v>
      </c>
      <c r="B2106" s="3" t="s">
        <v>2195</v>
      </c>
      <c r="C2106" s="3" t="s">
        <v>54</v>
      </c>
      <c r="D2106" s="3"/>
      <c r="E2106" s="2" t="str">
        <f>HYPERLINK("https://old.ukr-mobil.com/akkumulyator_iphone_8_original_9960", "Перейти")</f>
        <v>Перейти</v>
      </c>
      <c r="F2106" s="2">
        <v>9960</v>
      </c>
      <c r="G2106" s="4" t="s">
        <v>2236</v>
      </c>
      <c r="H2106" s="1">
        <v>49</v>
      </c>
      <c r="I2106" s="1">
        <v>22</v>
      </c>
      <c r="J2106" s="1">
        <v>32</v>
      </c>
      <c r="K2106" s="2">
        <v>7.75</v>
      </c>
    </row>
    <row r="2107" spans="1:12">
      <c r="A2107" s="3" t="s">
        <v>2194</v>
      </c>
      <c r="B2107" s="3" t="s">
        <v>2195</v>
      </c>
      <c r="C2107" s="3" t="s">
        <v>54</v>
      </c>
      <c r="D2107" s="3"/>
      <c r="E2107" s="2" t="str">
        <f>HYPERLINK("https://old.ukr-mobil.com/akkumulyator_apple_iphone_se_2020_original_10002176", "Перейти")</f>
        <v>Перейти</v>
      </c>
      <c r="F2107" s="2">
        <v>10002176</v>
      </c>
      <c r="G2107" s="4" t="s">
        <v>2237</v>
      </c>
      <c r="H2107" s="1">
        <v>0</v>
      </c>
      <c r="I2107" s="1">
        <v>0</v>
      </c>
      <c r="J2107" s="1">
        <v>2</v>
      </c>
      <c r="K2107" s="2">
        <v>8.4</v>
      </c>
    </row>
    <row r="2108" spans="1:12">
      <c r="A2108" s="3" t="s">
        <v>2194</v>
      </c>
      <c r="B2108" s="3" t="s">
        <v>2195</v>
      </c>
      <c r="C2108" s="3" t="s">
        <v>54</v>
      </c>
      <c r="D2108" s="3"/>
      <c r="E2108" s="2" t="str">
        <f>HYPERLINK("https://old.ukr-mobil.com/index.php?route=product&amp;product_id=10005611", "Перейти")</f>
        <v>Перейти</v>
      </c>
      <c r="F2108" s="2">
        <v>10005611</v>
      </c>
      <c r="G2108" s="4" t="s">
        <v>2238</v>
      </c>
      <c r="H2108" s="1">
        <v>50</v>
      </c>
      <c r="I2108" s="1">
        <v>22</v>
      </c>
      <c r="J2108" s="1">
        <v>20</v>
      </c>
      <c r="K2108" s="2">
        <v>13.9</v>
      </c>
    </row>
    <row r="2109" spans="1:12">
      <c r="A2109" s="3" t="s">
        <v>2194</v>
      </c>
      <c r="B2109" s="3" t="s">
        <v>2195</v>
      </c>
      <c r="C2109" s="3" t="s">
        <v>54</v>
      </c>
      <c r="D2109" s="3"/>
      <c r="E2109" s="2" t="str">
        <f>HYPERLINK("https://old.ukr-mobil.com/akkumulyator_iphone_x_1810_mah_sunshine_12249", "Перейти")</f>
        <v>Перейти</v>
      </c>
      <c r="F2109" s="2">
        <v>12249</v>
      </c>
      <c r="G2109" s="4" t="s">
        <v>2239</v>
      </c>
      <c r="H2109" s="1">
        <v>0</v>
      </c>
      <c r="I2109" s="1">
        <v>0</v>
      </c>
      <c r="J2109" s="1">
        <v>0</v>
      </c>
      <c r="K2109" s="2">
        <v>20.0</v>
      </c>
    </row>
    <row r="2110" spans="1:12">
      <c r="A2110" s="3" t="s">
        <v>2194</v>
      </c>
      <c r="B2110" s="3" t="s">
        <v>2195</v>
      </c>
      <c r="C2110" s="3" t="s">
        <v>54</v>
      </c>
      <c r="D2110" s="3"/>
      <c r="E2110" s="2" t="str">
        <f>HYPERLINK("https://old.ukr-mobil.com/akkumulyator_iphone_x_original_10354", "Перейти")</f>
        <v>Перейти</v>
      </c>
      <c r="F2110" s="2">
        <v>10354</v>
      </c>
      <c r="G2110" s="4" t="s">
        <v>2240</v>
      </c>
      <c r="H2110" s="1">
        <v>0</v>
      </c>
      <c r="I2110" s="1">
        <v>0</v>
      </c>
      <c r="J2110" s="1">
        <v>0</v>
      </c>
      <c r="K2110" s="2">
        <v>7.0</v>
      </c>
    </row>
    <row r="2111" spans="1:12">
      <c r="A2111" s="3" t="s">
        <v>2194</v>
      </c>
      <c r="B2111" s="3" t="s">
        <v>2195</v>
      </c>
      <c r="C2111" s="3" t="s">
        <v>54</v>
      </c>
      <c r="D2111" s="3"/>
      <c r="E2111" s="2" t="str">
        <f>HYPERLINK("https://old.ukr-mobil.com/index.php?route=product&amp;product_id=10005626", "Перейти")</f>
        <v>Перейти</v>
      </c>
      <c r="F2111" s="2">
        <v>10005626</v>
      </c>
      <c r="G2111" s="4" t="s">
        <v>2241</v>
      </c>
      <c r="H2111" s="1">
        <v>52</v>
      </c>
      <c r="I2111" s="1">
        <v>22</v>
      </c>
      <c r="J2111" s="1">
        <v>9</v>
      </c>
      <c r="K2111" s="2">
        <v>8.0</v>
      </c>
    </row>
    <row r="2112" spans="1:12">
      <c r="A2112" s="3" t="s">
        <v>2194</v>
      </c>
      <c r="B2112" s="3" t="s">
        <v>2195</v>
      </c>
      <c r="C2112" s="3" t="s">
        <v>54</v>
      </c>
      <c r="D2112" s="3"/>
      <c r="E2112" s="2" t="str">
        <f>HYPERLINK("https://old.ukr-mobil.com/akkumulyator_iphone_xr_original_12235", "Перейти")</f>
        <v>Перейти</v>
      </c>
      <c r="F2112" s="2">
        <v>12235</v>
      </c>
      <c r="G2112" s="4" t="s">
        <v>2242</v>
      </c>
      <c r="H2112" s="1">
        <v>14</v>
      </c>
      <c r="I2112" s="1">
        <v>6</v>
      </c>
      <c r="J2112" s="1">
        <v>43</v>
      </c>
      <c r="K2112" s="2">
        <v>12.5</v>
      </c>
    </row>
    <row r="2113" spans="1:12">
      <c r="A2113" s="3" t="s">
        <v>2194</v>
      </c>
      <c r="B2113" s="3" t="s">
        <v>2195</v>
      </c>
      <c r="C2113" s="3" t="s">
        <v>54</v>
      </c>
      <c r="D2113" s="3"/>
      <c r="E2113" s="2" t="str">
        <f>HYPERLINK("https://old.ukr-mobil.com/akkumulyator_apple_iphone_xs_max_li-ion_3_8_v_3174_mah_bez_kontrollera_original_prc_10002673", "Перейти")</f>
        <v>Перейти</v>
      </c>
      <c r="F2113" s="2">
        <v>10002673</v>
      </c>
      <c r="G2113" s="4" t="s">
        <v>2243</v>
      </c>
      <c r="H2113" s="1">
        <v>289</v>
      </c>
      <c r="I2113" s="1">
        <v>22</v>
      </c>
      <c r="J2113" s="1">
        <v>47</v>
      </c>
      <c r="K2113" s="2">
        <v>5.0</v>
      </c>
    </row>
    <row r="2114" spans="1:12">
      <c r="A2114" s="3" t="s">
        <v>2194</v>
      </c>
      <c r="B2114" s="3" t="s">
        <v>2195</v>
      </c>
      <c r="C2114" s="3" t="s">
        <v>54</v>
      </c>
      <c r="D2114" s="3"/>
      <c r="E2114" s="2" t="str">
        <f>HYPERLINK("https://old.ukr-mobil.com/akkumulyator_iphone_xs_max_original_12237", "Перейти")</f>
        <v>Перейти</v>
      </c>
      <c r="F2114" s="2">
        <v>12237</v>
      </c>
      <c r="G2114" s="4" t="s">
        <v>2244</v>
      </c>
      <c r="H2114" s="1">
        <v>0</v>
      </c>
      <c r="I2114" s="1">
        <v>0</v>
      </c>
      <c r="J2114" s="1">
        <v>0</v>
      </c>
      <c r="K2114" s="2">
        <v>13.0</v>
      </c>
    </row>
    <row r="2115" spans="1:12">
      <c r="A2115" s="3" t="s">
        <v>2194</v>
      </c>
      <c r="B2115" s="3" t="s">
        <v>2195</v>
      </c>
      <c r="C2115" s="3" t="s">
        <v>54</v>
      </c>
      <c r="D2115" s="3"/>
      <c r="E2115" s="2" t="str">
        <f>HYPERLINK("https://old.ukr-mobil.com/akkumulyator_apple_iphone_xs_max_sunshine_10002175", "Перейти")</f>
        <v>Перейти</v>
      </c>
      <c r="F2115" s="2">
        <v>10002175</v>
      </c>
      <c r="G2115" s="4" t="s">
        <v>2245</v>
      </c>
      <c r="H2115" s="1">
        <v>8</v>
      </c>
      <c r="I2115" s="1">
        <v>4</v>
      </c>
      <c r="J2115" s="1">
        <v>7</v>
      </c>
      <c r="K2115" s="2">
        <v>24.5</v>
      </c>
    </row>
    <row r="2116" spans="1:12">
      <c r="A2116" s="3" t="s">
        <v>2194</v>
      </c>
      <c r="B2116" s="3" t="s">
        <v>2195</v>
      </c>
      <c r="C2116" s="3" t="s">
        <v>54</v>
      </c>
      <c r="D2116" s="3"/>
      <c r="E2116" s="2" t="str">
        <f>HYPERLINK("https://old.ukr-mobil.com/akkumulyator_apple_iphone_xs_li-ion_3_81_v_2658_mah_bez_kontrollera_original_prc_10002672", "Перейти")</f>
        <v>Перейти</v>
      </c>
      <c r="F2116" s="2">
        <v>10002672</v>
      </c>
      <c r="G2116" s="4" t="s">
        <v>2246</v>
      </c>
      <c r="H2116" s="1">
        <v>90</v>
      </c>
      <c r="I2116" s="1">
        <v>15</v>
      </c>
      <c r="J2116" s="1">
        <v>32</v>
      </c>
      <c r="K2116" s="2">
        <v>11.0</v>
      </c>
    </row>
    <row r="2117" spans="1:12">
      <c r="A2117" s="3" t="s">
        <v>2194</v>
      </c>
      <c r="B2117" s="3" t="s">
        <v>2195</v>
      </c>
      <c r="C2117" s="3" t="s">
        <v>54</v>
      </c>
      <c r="D2117" s="3"/>
      <c r="E2117" s="2" t="str">
        <f>HYPERLINK("https://old.ukr-mobil.com/akkumulyator_iphone_xs_original_12236", "Перейти")</f>
        <v>Перейти</v>
      </c>
      <c r="F2117" s="2">
        <v>12236</v>
      </c>
      <c r="G2117" s="4" t="s">
        <v>2247</v>
      </c>
      <c r="H2117" s="1">
        <v>0</v>
      </c>
      <c r="I2117" s="1">
        <v>0</v>
      </c>
      <c r="J2117" s="1">
        <v>0</v>
      </c>
      <c r="K2117" s="2">
        <v>16.0</v>
      </c>
    </row>
    <row r="2118" spans="1:12">
      <c r="A2118" s="3" t="s">
        <v>2194</v>
      </c>
      <c r="B2118" s="3" t="s">
        <v>2195</v>
      </c>
      <c r="C2118" s="3" t="s">
        <v>54</v>
      </c>
      <c r="D2118" s="3"/>
      <c r="E2118" s="2" t="str">
        <f>HYPERLINK("https://old.ukr-mobil.com/akkumulyator_apple_iphone_xs_sunshine_10002174", "Перейти")</f>
        <v>Перейти</v>
      </c>
      <c r="F2118" s="2">
        <v>10002174</v>
      </c>
      <c r="G2118" s="4" t="s">
        <v>2248</v>
      </c>
      <c r="H2118" s="1">
        <v>0</v>
      </c>
      <c r="I2118" s="1">
        <v>0</v>
      </c>
      <c r="J2118" s="1">
        <v>0</v>
      </c>
      <c r="K2118" s="2">
        <v>21.0</v>
      </c>
    </row>
    <row r="2119" spans="1:12">
      <c r="A2119" s="3" t="s">
        <v>2194</v>
      </c>
      <c r="B2119" s="3" t="s">
        <v>2195</v>
      </c>
      <c r="C2119" s="3" t="s">
        <v>54</v>
      </c>
      <c r="D2119" s="3"/>
      <c r="E2119" s="2" t="str">
        <f>HYPERLINK("https://old.ukr-mobil.com/skotch_fiksacii_akkumulyatora_apple_iphone_6_plus_6s_plus_10929", "Перейти")</f>
        <v>Перейти</v>
      </c>
      <c r="F2119" s="2">
        <v>10929</v>
      </c>
      <c r="G2119" s="4" t="s">
        <v>2249</v>
      </c>
      <c r="H2119" s="1">
        <v>0</v>
      </c>
      <c r="I2119" s="1">
        <v>0</v>
      </c>
      <c r="J2119" s="1">
        <v>0</v>
      </c>
      <c r="K2119" s="2">
        <v>0.3</v>
      </c>
    </row>
    <row r="2120" spans="1:12">
      <c r="A2120" s="3" t="s">
        <v>2194</v>
      </c>
      <c r="B2120" s="3" t="s">
        <v>2195</v>
      </c>
      <c r="C2120" s="3" t="s">
        <v>54</v>
      </c>
      <c r="D2120" s="3"/>
      <c r="E2120" s="2" t="str">
        <f>HYPERLINK("https://old.ukr-mobil.com/skotch_fiksacii_akkumulyatora_apple_iphone_6_6s_10930", "Перейти")</f>
        <v>Перейти</v>
      </c>
      <c r="F2120" s="2">
        <v>10930</v>
      </c>
      <c r="G2120" s="4" t="s">
        <v>2250</v>
      </c>
      <c r="H2120" s="1">
        <v>0</v>
      </c>
      <c r="I2120" s="1">
        <v>0</v>
      </c>
      <c r="J2120" s="1">
        <v>0</v>
      </c>
      <c r="K2120" s="2">
        <v>0.2</v>
      </c>
    </row>
    <row r="2121" spans="1:12">
      <c r="A2121" s="3" t="s">
        <v>2194</v>
      </c>
      <c r="B2121" s="3" t="s">
        <v>2195</v>
      </c>
      <c r="C2121" s="3" t="s">
        <v>2251</v>
      </c>
      <c r="D2121" s="3"/>
      <c r="E2121" s="2" t="str">
        <f>HYPERLINK("https://old.ukr-mobil.com/akkumulyator_blackview_a100_li426587htt_4680_mah_original_10004408", "Перейти")</f>
        <v>Перейти</v>
      </c>
      <c r="F2121" s="2">
        <v>10004408</v>
      </c>
      <c r="G2121" s="4" t="s">
        <v>2252</v>
      </c>
      <c r="H2121" s="1">
        <v>0</v>
      </c>
      <c r="I2121" s="1">
        <v>0</v>
      </c>
      <c r="J2121" s="1">
        <v>0</v>
      </c>
      <c r="K2121" s="2">
        <v>12.0</v>
      </c>
    </row>
    <row r="2122" spans="1:12">
      <c r="A2122" s="3" t="s">
        <v>2194</v>
      </c>
      <c r="B2122" s="3" t="s">
        <v>2195</v>
      </c>
      <c r="C2122" s="3" t="s">
        <v>2251</v>
      </c>
      <c r="D2122" s="3"/>
      <c r="E2122" s="2" t="str">
        <f>HYPERLINK("https://old.ukr-mobil.com/akkumulyator_blackview_a55_li446586phtt_4080_mah_original_10004411", "Перейти")</f>
        <v>Перейти</v>
      </c>
      <c r="F2122" s="2">
        <v>10004411</v>
      </c>
      <c r="G2122" s="4" t="s">
        <v>2253</v>
      </c>
      <c r="H2122" s="1">
        <v>7</v>
      </c>
      <c r="I2122" s="1">
        <v>3</v>
      </c>
      <c r="J2122" s="1">
        <v>0</v>
      </c>
      <c r="K2122" s="2">
        <v>8.0</v>
      </c>
    </row>
    <row r="2123" spans="1:12">
      <c r="A2123" s="3" t="s">
        <v>2194</v>
      </c>
      <c r="B2123" s="3" t="s">
        <v>2195</v>
      </c>
      <c r="C2123" s="3" t="s">
        <v>2251</v>
      </c>
      <c r="D2123" s="3"/>
      <c r="E2123" s="2" t="str">
        <f>HYPERLINK("https://old.ukr-mobil.com/akkumulyator_blackview_a60_405988p_4080_mah_original_10004410", "Перейти")</f>
        <v>Перейти</v>
      </c>
      <c r="F2123" s="2">
        <v>10004410</v>
      </c>
      <c r="G2123" s="4" t="s">
        <v>2254</v>
      </c>
      <c r="H2123" s="1">
        <v>0</v>
      </c>
      <c r="I2123" s="1">
        <v>0</v>
      </c>
      <c r="J2123" s="1">
        <v>0</v>
      </c>
      <c r="K2123" s="2">
        <v>8.5</v>
      </c>
    </row>
    <row r="2124" spans="1:12">
      <c r="A2124" s="3" t="s">
        <v>2194</v>
      </c>
      <c r="B2124" s="3" t="s">
        <v>2195</v>
      </c>
      <c r="C2124" s="3" t="s">
        <v>2251</v>
      </c>
      <c r="D2124" s="3"/>
      <c r="E2124" s="2" t="str">
        <f>HYPERLINK("https://old.ukr-mobil.com/akkumulyator_blackview_a90_li426483pujly_4280_mah_original_10004464", "Перейти")</f>
        <v>Перейти</v>
      </c>
      <c r="F2124" s="2">
        <v>10004464</v>
      </c>
      <c r="G2124" s="4" t="s">
        <v>2255</v>
      </c>
      <c r="H2124" s="1">
        <v>0</v>
      </c>
      <c r="I2124" s="1">
        <v>0</v>
      </c>
      <c r="J2124" s="1">
        <v>0</v>
      </c>
      <c r="K2124" s="2">
        <v>13.0</v>
      </c>
    </row>
    <row r="2125" spans="1:12">
      <c r="A2125" s="3" t="s">
        <v>2194</v>
      </c>
      <c r="B2125" s="3" t="s">
        <v>2195</v>
      </c>
      <c r="C2125" s="3" t="s">
        <v>2251</v>
      </c>
      <c r="D2125" s="3"/>
      <c r="E2125" s="2" t="str">
        <f>HYPERLINK("https://old.ukr-mobil.com/akkumulyator_blackview_bv4900_li616077htt_5580_mah_original_10004409", "Перейти")</f>
        <v>Перейти</v>
      </c>
      <c r="F2125" s="2">
        <v>10004409</v>
      </c>
      <c r="G2125" s="4" t="s">
        <v>2256</v>
      </c>
      <c r="H2125" s="1">
        <v>0</v>
      </c>
      <c r="I2125" s="1">
        <v>0</v>
      </c>
      <c r="J2125" s="1">
        <v>0</v>
      </c>
      <c r="K2125" s="2">
        <v>13.0</v>
      </c>
    </row>
    <row r="2126" spans="1:12">
      <c r="A2126" s="3" t="s">
        <v>2194</v>
      </c>
      <c r="B2126" s="3" t="s">
        <v>2195</v>
      </c>
      <c r="C2126" s="3" t="s">
        <v>2251</v>
      </c>
      <c r="D2126" s="3"/>
      <c r="E2126" s="2" t="str">
        <f>HYPERLINK("https://old.ukr-mobil.com/akkumulyator_blackview_bv5900_5580_mah_original_10004468", "Перейти")</f>
        <v>Перейти</v>
      </c>
      <c r="F2126" s="2">
        <v>10004468</v>
      </c>
      <c r="G2126" s="4" t="s">
        <v>2257</v>
      </c>
      <c r="H2126" s="1">
        <v>2</v>
      </c>
      <c r="I2126" s="1">
        <v>2</v>
      </c>
      <c r="J2126" s="1">
        <v>0</v>
      </c>
      <c r="K2126" s="2">
        <v>8.0</v>
      </c>
    </row>
    <row r="2127" spans="1:12">
      <c r="A2127" s="3" t="s">
        <v>2194</v>
      </c>
      <c r="B2127" s="3" t="s">
        <v>2195</v>
      </c>
      <c r="C2127" s="3" t="s">
        <v>2251</v>
      </c>
      <c r="D2127" s="3"/>
      <c r="E2127" s="2" t="str">
        <f>HYPERLINK("https://old.ukr-mobil.com/akkumulyator_blackview_bv6800_726280p_6850_mah_original_10004486", "Перейти")</f>
        <v>Перейти</v>
      </c>
      <c r="F2127" s="2">
        <v>10004486</v>
      </c>
      <c r="G2127" s="4" t="s">
        <v>2258</v>
      </c>
      <c r="H2127" s="1">
        <v>0</v>
      </c>
      <c r="I2127" s="1">
        <v>0</v>
      </c>
      <c r="J2127" s="1">
        <v>0</v>
      </c>
      <c r="K2127" s="2">
        <v>10.0</v>
      </c>
    </row>
    <row r="2128" spans="1:12">
      <c r="A2128" s="3" t="s">
        <v>2194</v>
      </c>
      <c r="B2128" s="3" t="s">
        <v>2195</v>
      </c>
      <c r="C2128" s="3" t="s">
        <v>2259</v>
      </c>
      <c r="D2128" s="3"/>
      <c r="E2128" s="2" t="str">
        <f>HYPERLINK("https://old.ukr-mobil.com/index.php?route=product&amp;product_id=10005771", "Перейти")</f>
        <v>Перейти</v>
      </c>
      <c r="F2128" s="2">
        <v>10005771</v>
      </c>
      <c r="G2128" s="4" t="s">
        <v>2260</v>
      </c>
      <c r="H2128" s="1">
        <v>14</v>
      </c>
      <c r="I2128" s="1">
        <v>5</v>
      </c>
      <c r="J2128" s="1">
        <v>0</v>
      </c>
      <c r="K2128" s="2">
        <v>8.5</v>
      </c>
    </row>
    <row r="2129" spans="1:12">
      <c r="A2129" s="3" t="s">
        <v>2194</v>
      </c>
      <c r="B2129" s="3" t="s">
        <v>2195</v>
      </c>
      <c r="C2129" s="3" t="s">
        <v>2259</v>
      </c>
      <c r="D2129" s="3"/>
      <c r="E2129" s="2" t="str">
        <f>HYPERLINK("https://old.ukr-mobil.com/akkumulyator_doogee_n20_bat1919084350_4350_mah_original_10004485", "Перейти")</f>
        <v>Перейти</v>
      </c>
      <c r="F2129" s="2">
        <v>10004485</v>
      </c>
      <c r="G2129" s="4" t="s">
        <v>2261</v>
      </c>
      <c r="H2129" s="1">
        <v>5</v>
      </c>
      <c r="I2129" s="1">
        <v>3</v>
      </c>
      <c r="J2129" s="1">
        <v>0</v>
      </c>
      <c r="K2129" s="2">
        <v>8.0</v>
      </c>
    </row>
    <row r="2130" spans="1:12">
      <c r="A2130" s="3" t="s">
        <v>2194</v>
      </c>
      <c r="B2130" s="3" t="s">
        <v>2195</v>
      </c>
      <c r="C2130" s="3" t="s">
        <v>2259</v>
      </c>
      <c r="D2130" s="3"/>
      <c r="E2130" s="2" t="str">
        <f>HYPERLINK("https://old.ukr-mobil.com/akkumulyator_doogee_s35_pro_bat20n1154350_4350_mah_original_10004470", "Перейти")</f>
        <v>Перейти</v>
      </c>
      <c r="F2130" s="2">
        <v>10004470</v>
      </c>
      <c r="G2130" s="4" t="s">
        <v>2262</v>
      </c>
      <c r="H2130" s="1">
        <v>5</v>
      </c>
      <c r="I2130" s="1">
        <v>0</v>
      </c>
      <c r="J2130" s="1">
        <v>0</v>
      </c>
      <c r="K2130" s="2">
        <v>9.0</v>
      </c>
    </row>
    <row r="2131" spans="1:12">
      <c r="A2131" s="3" t="s">
        <v>2194</v>
      </c>
      <c r="B2131" s="3" t="s">
        <v>2195</v>
      </c>
      <c r="C2131" s="3" t="s">
        <v>2259</v>
      </c>
      <c r="D2131" s="3"/>
      <c r="E2131" s="2" t="str">
        <f>HYPERLINK("https://old.ukr-mobil.com/akkumulyator_doogee_s58_pro_bat20m125180_5180_mah_original_10004471", "Перейти")</f>
        <v>Перейти</v>
      </c>
      <c r="F2131" s="2">
        <v>10004471</v>
      </c>
      <c r="G2131" s="4" t="s">
        <v>2263</v>
      </c>
      <c r="H2131" s="1">
        <v>0</v>
      </c>
      <c r="I2131" s="1">
        <v>0</v>
      </c>
      <c r="J2131" s="1">
        <v>0</v>
      </c>
      <c r="K2131" s="2">
        <v>12.5</v>
      </c>
    </row>
    <row r="2132" spans="1:12">
      <c r="A2132" s="3" t="s">
        <v>2194</v>
      </c>
      <c r="B2132" s="3" t="s">
        <v>2195</v>
      </c>
      <c r="C2132" s="3" t="s">
        <v>2259</v>
      </c>
      <c r="D2132" s="3"/>
      <c r="E2132" s="2" t="str">
        <f>HYPERLINK("https://old.ukr-mobil.com/akkumulyator_doogee_s59_pro_bat20m1710050_10050_mah_original_10004478", "Перейти")</f>
        <v>Перейти</v>
      </c>
      <c r="F2132" s="2">
        <v>10004478</v>
      </c>
      <c r="G2132" s="4" t="s">
        <v>2264</v>
      </c>
      <c r="H2132" s="1">
        <v>0</v>
      </c>
      <c r="I2132" s="1">
        <v>0</v>
      </c>
      <c r="J2132" s="1">
        <v>0</v>
      </c>
      <c r="K2132" s="2">
        <v>20.0</v>
      </c>
    </row>
    <row r="2133" spans="1:12">
      <c r="A2133" s="3" t="s">
        <v>2194</v>
      </c>
      <c r="B2133" s="3" t="s">
        <v>2195</v>
      </c>
      <c r="C2133" s="3" t="s">
        <v>2259</v>
      </c>
      <c r="D2133" s="3"/>
      <c r="E2133" s="2" t="str">
        <f>HYPERLINK("https://old.ukr-mobil.com/akkumulyator_doogee_s68_pro_bat19m116300_6300_mah_original_10004484", "Перейти")</f>
        <v>Перейти</v>
      </c>
      <c r="F2133" s="2">
        <v>10004484</v>
      </c>
      <c r="G2133" s="4" t="s">
        <v>2265</v>
      </c>
      <c r="H2133" s="1">
        <v>0</v>
      </c>
      <c r="I2133" s="1">
        <v>0</v>
      </c>
      <c r="J2133" s="1">
        <v>0</v>
      </c>
      <c r="K2133" s="2">
        <v>15.0</v>
      </c>
    </row>
    <row r="2134" spans="1:12">
      <c r="A2134" s="3" t="s">
        <v>2194</v>
      </c>
      <c r="B2134" s="3" t="s">
        <v>2195</v>
      </c>
      <c r="C2134" s="3" t="s">
        <v>2259</v>
      </c>
      <c r="D2134" s="3"/>
      <c r="E2134" s="2" t="str">
        <f>HYPERLINK("https://old.ukr-mobil.com/akkumulyator_doogee_s86_s86_pro_bat20zn1308500_8500_mah_original_10004469", "Перейти")</f>
        <v>Перейти</v>
      </c>
      <c r="F2134" s="2">
        <v>10004469</v>
      </c>
      <c r="G2134" s="4" t="s">
        <v>2266</v>
      </c>
      <c r="H2134" s="1">
        <v>0</v>
      </c>
      <c r="I2134" s="1">
        <v>0</v>
      </c>
      <c r="J2134" s="1">
        <v>0</v>
      </c>
      <c r="K2134" s="2">
        <v>22.0</v>
      </c>
    </row>
    <row r="2135" spans="1:12">
      <c r="A2135" s="3" t="s">
        <v>2194</v>
      </c>
      <c r="B2135" s="3" t="s">
        <v>2195</v>
      </c>
      <c r="C2135" s="3" t="s">
        <v>2259</v>
      </c>
      <c r="D2135" s="3"/>
      <c r="E2135" s="2" t="str">
        <f>HYPERLINK("https://old.ukr-mobil.com/akkumulyator_doogee_s88_pro_s88_plus_bat20m1310000_10000_mah_original_10004475", "Перейти")</f>
        <v>Перейти</v>
      </c>
      <c r="F2135" s="2">
        <v>10004475</v>
      </c>
      <c r="G2135" s="4" t="s">
        <v>2267</v>
      </c>
      <c r="H2135" s="1">
        <v>0</v>
      </c>
      <c r="I2135" s="1">
        <v>0</v>
      </c>
      <c r="J2135" s="1">
        <v>0</v>
      </c>
      <c r="K2135" s="2">
        <v>20.0</v>
      </c>
    </row>
    <row r="2136" spans="1:12">
      <c r="A2136" s="3" t="s">
        <v>2194</v>
      </c>
      <c r="B2136" s="3" t="s">
        <v>2195</v>
      </c>
      <c r="C2136" s="3" t="s">
        <v>2259</v>
      </c>
      <c r="D2136" s="3"/>
      <c r="E2136" s="2" t="str">
        <f>HYPERLINK("https://old.ukr-mobil.com/akkumulyator_doogee_s89_s89_pro_bat22m2012000_12000_mah_original_10004474", "Перейти")</f>
        <v>Перейти</v>
      </c>
      <c r="F2136" s="2">
        <v>10004474</v>
      </c>
      <c r="G2136" s="4" t="s">
        <v>2268</v>
      </c>
      <c r="H2136" s="1">
        <v>19</v>
      </c>
      <c r="I2136" s="1">
        <v>4</v>
      </c>
      <c r="J2136" s="1">
        <v>0</v>
      </c>
      <c r="K2136" s="2">
        <v>18.0</v>
      </c>
    </row>
    <row r="2137" spans="1:12">
      <c r="A2137" s="3" t="s">
        <v>2194</v>
      </c>
      <c r="B2137" s="3" t="s">
        <v>2195</v>
      </c>
      <c r="C2137" s="3" t="s">
        <v>2259</v>
      </c>
      <c r="D2137" s="3"/>
      <c r="E2137" s="2" t="str">
        <f>HYPERLINK("https://old.ukr-mobil.com/akkumulyator_doogee_s95_pro_bat19m105150_5150_mah_original_10004483", "Перейти")</f>
        <v>Перейти</v>
      </c>
      <c r="F2137" s="2">
        <v>10004483</v>
      </c>
      <c r="G2137" s="4" t="s">
        <v>2269</v>
      </c>
      <c r="H2137" s="1">
        <v>12</v>
      </c>
      <c r="I2137" s="1">
        <v>2</v>
      </c>
      <c r="J2137" s="1">
        <v>0</v>
      </c>
      <c r="K2137" s="2">
        <v>7.5</v>
      </c>
    </row>
    <row r="2138" spans="1:12">
      <c r="A2138" s="3" t="s">
        <v>2194</v>
      </c>
      <c r="B2138" s="3" t="s">
        <v>2195</v>
      </c>
      <c r="C2138" s="3" t="s">
        <v>2259</v>
      </c>
      <c r="D2138" s="3"/>
      <c r="E2138" s="2" t="str">
        <f>HYPERLINK("https://old.ukr-mobil.com/akkumulyator_doogee_s96_pro_bat20zn1296350_6350_mah_original_10004482", "Перейти")</f>
        <v>Перейти</v>
      </c>
      <c r="F2138" s="2">
        <v>10004482</v>
      </c>
      <c r="G2138" s="4" t="s">
        <v>2270</v>
      </c>
      <c r="H2138" s="1">
        <v>0</v>
      </c>
      <c r="I2138" s="1">
        <v>0</v>
      </c>
      <c r="J2138" s="1">
        <v>0</v>
      </c>
      <c r="K2138" s="2">
        <v>12.0</v>
      </c>
    </row>
    <row r="2139" spans="1:12">
      <c r="A2139" s="3" t="s">
        <v>2194</v>
      </c>
      <c r="B2139" s="3" t="s">
        <v>2195</v>
      </c>
      <c r="C2139" s="3" t="s">
        <v>2259</v>
      </c>
      <c r="D2139" s="3"/>
      <c r="E2139" s="2" t="str">
        <f>HYPERLINK("https://old.ukr-mobil.com/akkumulyator_doogee_s97_pro_bat21zn1318500_8500_mah_original_10004481", "Перейти")</f>
        <v>Перейти</v>
      </c>
      <c r="F2139" s="2">
        <v>10004481</v>
      </c>
      <c r="G2139" s="4" t="s">
        <v>2271</v>
      </c>
      <c r="H2139" s="1">
        <v>0</v>
      </c>
      <c r="I2139" s="1">
        <v>0</v>
      </c>
      <c r="J2139" s="1">
        <v>0</v>
      </c>
      <c r="K2139" s="2">
        <v>20.0</v>
      </c>
    </row>
    <row r="2140" spans="1:12">
      <c r="A2140" s="3" t="s">
        <v>2194</v>
      </c>
      <c r="B2140" s="3" t="s">
        <v>2195</v>
      </c>
      <c r="C2140" s="3" t="s">
        <v>2259</v>
      </c>
      <c r="D2140" s="3"/>
      <c r="E2140" s="2" t="str">
        <f>HYPERLINK("https://old.ukr-mobil.com/akkumulyator_doogee_s98_s98_pro_bat21zn1356000_6000_mah_original_10004473", "Перейти")</f>
        <v>Перейти</v>
      </c>
      <c r="F2140" s="2">
        <v>10004473</v>
      </c>
      <c r="G2140" s="4" t="s">
        <v>2272</v>
      </c>
      <c r="H2140" s="1">
        <v>0</v>
      </c>
      <c r="I2140" s="1">
        <v>0</v>
      </c>
      <c r="J2140" s="1">
        <v>0</v>
      </c>
      <c r="K2140" s="2">
        <v>19.0</v>
      </c>
    </row>
    <row r="2141" spans="1:12">
      <c r="A2141" s="3" t="s">
        <v>2194</v>
      </c>
      <c r="B2141" s="3" t="s">
        <v>2195</v>
      </c>
      <c r="C2141" s="3" t="s">
        <v>2259</v>
      </c>
      <c r="D2141" s="3"/>
      <c r="E2141" s="2" t="str">
        <f>HYPERLINK("https://old.ukr-mobil.com/akkumulyator_doogee_s99_6000_mah_original_10004476", "Перейти")</f>
        <v>Перейти</v>
      </c>
      <c r="F2141" s="2">
        <v>10004476</v>
      </c>
      <c r="G2141" s="4" t="s">
        <v>2273</v>
      </c>
      <c r="H2141" s="1">
        <v>13</v>
      </c>
      <c r="I2141" s="1">
        <v>4</v>
      </c>
      <c r="J2141" s="1">
        <v>0</v>
      </c>
      <c r="K2141" s="2">
        <v>8.0</v>
      </c>
    </row>
    <row r="2142" spans="1:12">
      <c r="A2142" s="3" t="s">
        <v>2194</v>
      </c>
      <c r="B2142" s="3" t="s">
        <v>2195</v>
      </c>
      <c r="C2142" s="3" t="s">
        <v>2259</v>
      </c>
      <c r="D2142" s="3"/>
      <c r="E2142" s="2" t="str">
        <f>HYPERLINK("https://old.ukr-mobil.com/akkumulyator_doogee_v10_5g_v11_5g_bat21m188500_8500_mah_original_10004480", "Перейти")</f>
        <v>Перейти</v>
      </c>
      <c r="F2142" s="2">
        <v>10004480</v>
      </c>
      <c r="G2142" s="4" t="s">
        <v>2274</v>
      </c>
      <c r="H2142" s="1">
        <v>0</v>
      </c>
      <c r="I2142" s="1">
        <v>0</v>
      </c>
      <c r="J2142" s="1">
        <v>0</v>
      </c>
      <c r="K2142" s="2">
        <v>20.0</v>
      </c>
    </row>
    <row r="2143" spans="1:12">
      <c r="A2143" s="3" t="s">
        <v>2194</v>
      </c>
      <c r="B2143" s="3" t="s">
        <v>2195</v>
      </c>
      <c r="C2143" s="3" t="s">
        <v>2259</v>
      </c>
      <c r="D2143" s="3"/>
      <c r="E2143" s="2" t="str">
        <f>HYPERLINK("https://old.ukr-mobil.com/akkumulyator_doogee_v20_bat21zn1336000_6000_mah_original_10004479", "Перейти")</f>
        <v>Перейти</v>
      </c>
      <c r="F2143" s="2">
        <v>10004479</v>
      </c>
      <c r="G2143" s="4" t="s">
        <v>2275</v>
      </c>
      <c r="H2143" s="1">
        <v>8</v>
      </c>
      <c r="I2143" s="1">
        <v>2</v>
      </c>
      <c r="J2143" s="1">
        <v>0</v>
      </c>
      <c r="K2143" s="2">
        <v>14.0</v>
      </c>
    </row>
    <row r="2144" spans="1:12">
      <c r="A2144" s="3" t="s">
        <v>2194</v>
      </c>
      <c r="B2144" s="3" t="s">
        <v>2195</v>
      </c>
      <c r="C2144" s="3" t="s">
        <v>2259</v>
      </c>
      <c r="D2144" s="3"/>
      <c r="E2144" s="2" t="str">
        <f>HYPERLINK("https://old.ukr-mobil.com/akkumulyator_doogee_x95_bat1919104350_4350_mah_original_10004472", "Перейти")</f>
        <v>Перейти</v>
      </c>
      <c r="F2144" s="2">
        <v>10004472</v>
      </c>
      <c r="G2144" s="4" t="s">
        <v>2276</v>
      </c>
      <c r="H2144" s="1">
        <v>0</v>
      </c>
      <c r="I2144" s="1">
        <v>0</v>
      </c>
      <c r="J2144" s="1">
        <v>0</v>
      </c>
      <c r="K2144" s="2">
        <v>14.0</v>
      </c>
    </row>
    <row r="2145" spans="1:12">
      <c r="A2145" s="3" t="s">
        <v>2194</v>
      </c>
      <c r="B2145" s="3" t="s">
        <v>2195</v>
      </c>
      <c r="C2145" s="3" t="s">
        <v>2259</v>
      </c>
      <c r="D2145" s="3"/>
      <c r="E2145" s="2" t="str">
        <f>HYPERLINK("https://old.ukr-mobil.com/akkumulyator_doogee_x97_pro_x98_pro_bat2219a4200_4200_mah_original_10004477", "Перейти")</f>
        <v>Перейти</v>
      </c>
      <c r="F2145" s="2">
        <v>10004477</v>
      </c>
      <c r="G2145" s="4" t="s">
        <v>2277</v>
      </c>
      <c r="H2145" s="1">
        <v>16</v>
      </c>
      <c r="I2145" s="1">
        <v>4</v>
      </c>
      <c r="J2145" s="1">
        <v>0</v>
      </c>
      <c r="K2145" s="2">
        <v>9.0</v>
      </c>
    </row>
    <row r="2146" spans="1:12">
      <c r="A2146" s="3" t="s">
        <v>2194</v>
      </c>
      <c r="B2146" s="3" t="s">
        <v>2195</v>
      </c>
      <c r="C2146" s="3" t="s">
        <v>952</v>
      </c>
      <c r="D2146" s="3"/>
      <c r="E2146" s="2" t="str">
        <f>HYPERLINK("https://old.ukr-mobil.com/akkumulyator_google_pixel_2_xl_bl-t35_3520_mah_original_prc_10001832", "Перейти")</f>
        <v>Перейти</v>
      </c>
      <c r="F2146" s="2">
        <v>10001832</v>
      </c>
      <c r="G2146" s="4" t="s">
        <v>2278</v>
      </c>
      <c r="H2146" s="1">
        <v>1</v>
      </c>
      <c r="I2146" s="1">
        <v>0</v>
      </c>
      <c r="J2146" s="1">
        <v>0</v>
      </c>
      <c r="K2146" s="2">
        <v>6.95</v>
      </c>
    </row>
    <row r="2147" spans="1:12">
      <c r="A2147" s="3" t="s">
        <v>2194</v>
      </c>
      <c r="B2147" s="3" t="s">
        <v>2195</v>
      </c>
      <c r="C2147" s="3" t="s">
        <v>952</v>
      </c>
      <c r="D2147" s="3"/>
      <c r="E2147" s="2" t="str">
        <f>HYPERLINK("https://old.ukr-mobil.com/akkumulyator_google_pixel_3_xl_g013c-b_3450_mah_original_prc_10002538", "Перейти")</f>
        <v>Перейти</v>
      </c>
      <c r="F2147" s="2">
        <v>10002538</v>
      </c>
      <c r="G2147" s="4" t="s">
        <v>2279</v>
      </c>
      <c r="H2147" s="1">
        <v>0</v>
      </c>
      <c r="I2147" s="1">
        <v>0</v>
      </c>
      <c r="J2147" s="1">
        <v>0</v>
      </c>
      <c r="K2147" s="2">
        <v>13.0</v>
      </c>
    </row>
    <row r="2148" spans="1:12">
      <c r="A2148" s="3" t="s">
        <v>2194</v>
      </c>
      <c r="B2148" s="3" t="s">
        <v>2195</v>
      </c>
      <c r="C2148" s="3" t="s">
        <v>952</v>
      </c>
      <c r="D2148" s="3"/>
      <c r="E2148" s="2" t="str">
        <f>HYPERLINK("https://old.ukr-mobil.com/akkumulyator_google_pixel_3_g013a-b_2915_mah_10000672", "Перейти")</f>
        <v>Перейти</v>
      </c>
      <c r="F2148" s="2">
        <v>10000672</v>
      </c>
      <c r="G2148" s="4" t="s">
        <v>2280</v>
      </c>
      <c r="H2148" s="1">
        <v>0</v>
      </c>
      <c r="I2148" s="1">
        <v>0</v>
      </c>
      <c r="J2148" s="1">
        <v>0</v>
      </c>
      <c r="K2148" s="2">
        <v>9.5</v>
      </c>
    </row>
    <row r="2149" spans="1:12">
      <c r="A2149" s="3" t="s">
        <v>2194</v>
      </c>
      <c r="B2149" s="3" t="s">
        <v>2195</v>
      </c>
      <c r="C2149" s="3" t="s">
        <v>952</v>
      </c>
      <c r="D2149" s="3"/>
      <c r="E2149" s="2" t="str">
        <f>HYPERLINK("https://old.ukr-mobil.com/akkumulyator_google_pixel_3a_xl_g020a-b_3700_mah_original_prc_10001534", "Перейти")</f>
        <v>Перейти</v>
      </c>
      <c r="F2149" s="2">
        <v>10001534</v>
      </c>
      <c r="G2149" s="4" t="s">
        <v>2281</v>
      </c>
      <c r="H2149" s="1">
        <v>60</v>
      </c>
      <c r="I2149" s="1">
        <v>11</v>
      </c>
      <c r="J2149" s="1">
        <v>15</v>
      </c>
      <c r="K2149" s="2">
        <v>6.95</v>
      </c>
    </row>
    <row r="2150" spans="1:12">
      <c r="A2150" s="3" t="s">
        <v>2194</v>
      </c>
      <c r="B2150" s="3" t="s">
        <v>2195</v>
      </c>
      <c r="C2150" s="3" t="s">
        <v>952</v>
      </c>
      <c r="D2150" s="3"/>
      <c r="E2150" s="2" t="str">
        <f>HYPERLINK("https://old.ukr-mobil.com/akkumulyator_google_pixel_3a_g020e-b_3000_mah_10000673", "Перейти")</f>
        <v>Перейти</v>
      </c>
      <c r="F2150" s="2">
        <v>10000673</v>
      </c>
      <c r="G2150" s="4" t="s">
        <v>2282</v>
      </c>
      <c r="H2150" s="1">
        <v>50</v>
      </c>
      <c r="I2150" s="1">
        <v>6</v>
      </c>
      <c r="J2150" s="1">
        <v>8</v>
      </c>
      <c r="K2150" s="2">
        <v>6.5</v>
      </c>
    </row>
    <row r="2151" spans="1:12">
      <c r="A2151" s="3" t="s">
        <v>2194</v>
      </c>
      <c r="B2151" s="3" t="s">
        <v>2195</v>
      </c>
      <c r="C2151" s="3" t="s">
        <v>952</v>
      </c>
      <c r="D2151" s="3"/>
      <c r="E2151" s="2" t="str">
        <f>HYPERLINK("https://old.ukr-mobil.com/akkumulyator_google_pixel_4_xl_g020j-b_3700_mah_original_prc_10001536", "Перейти")</f>
        <v>Перейти</v>
      </c>
      <c r="F2151" s="2">
        <v>10001536</v>
      </c>
      <c r="G2151" s="4" t="s">
        <v>2283</v>
      </c>
      <c r="H2151" s="1">
        <v>96</v>
      </c>
      <c r="I2151" s="1">
        <v>8</v>
      </c>
      <c r="J2151" s="1">
        <v>33</v>
      </c>
      <c r="K2151" s="2">
        <v>6.95</v>
      </c>
    </row>
    <row r="2152" spans="1:12">
      <c r="A2152" s="3" t="s">
        <v>2194</v>
      </c>
      <c r="B2152" s="3" t="s">
        <v>2195</v>
      </c>
      <c r="C2152" s="3" t="s">
        <v>952</v>
      </c>
      <c r="D2152" s="3"/>
      <c r="E2152" s="2" t="str">
        <f>HYPERLINK("https://old.ukr-mobil.com/akkumulyator_google_pixel_4_g020i-b_2800_mah_original_prc_10001535", "Перейти")</f>
        <v>Перейти</v>
      </c>
      <c r="F2152" s="2">
        <v>10001535</v>
      </c>
      <c r="G2152" s="4" t="s">
        <v>2284</v>
      </c>
      <c r="H2152" s="1">
        <v>0</v>
      </c>
      <c r="I2152" s="1">
        <v>0</v>
      </c>
      <c r="J2152" s="1">
        <v>0</v>
      </c>
      <c r="K2152" s="2">
        <v>9.0</v>
      </c>
    </row>
    <row r="2153" spans="1:12">
      <c r="A2153" s="3" t="s">
        <v>2194</v>
      </c>
      <c r="B2153" s="3" t="s">
        <v>2195</v>
      </c>
      <c r="C2153" s="3" t="s">
        <v>952</v>
      </c>
      <c r="D2153" s="3"/>
      <c r="E2153" s="2" t="str">
        <f>HYPERLINK("https://old.ukr-mobil.com/akkumulyator_google_pixel_5_gtb1f_4080_mah_original_prc_10002537", "Перейти")</f>
        <v>Перейти</v>
      </c>
      <c r="F2153" s="2">
        <v>10002537</v>
      </c>
      <c r="G2153" s="4" t="s">
        <v>2285</v>
      </c>
      <c r="H2153" s="1">
        <v>2</v>
      </c>
      <c r="I2153" s="1">
        <v>1</v>
      </c>
      <c r="J2153" s="1">
        <v>1</v>
      </c>
      <c r="K2153" s="2">
        <v>6.0</v>
      </c>
    </row>
    <row r="2154" spans="1:12">
      <c r="A2154" s="3" t="s">
        <v>2194</v>
      </c>
      <c r="B2154" s="3" t="s">
        <v>2195</v>
      </c>
      <c r="C2154" s="3" t="s">
        <v>952</v>
      </c>
      <c r="D2154" s="3"/>
      <c r="E2154" s="2" t="str">
        <f>HYPERLINK("https://old.ukr-mobil.com/index.php?route=product&amp;product_id=10005344", "Перейти")</f>
        <v>Перейти</v>
      </c>
      <c r="F2154" s="2">
        <v>10005344</v>
      </c>
      <c r="G2154" s="4" t="s">
        <v>2286</v>
      </c>
      <c r="H2154" s="1">
        <v>26</v>
      </c>
      <c r="I2154" s="1">
        <v>10</v>
      </c>
      <c r="J2154" s="1">
        <v>9</v>
      </c>
      <c r="K2154" s="2">
        <v>5.5</v>
      </c>
    </row>
    <row r="2155" spans="1:12">
      <c r="A2155" s="3" t="s">
        <v>2194</v>
      </c>
      <c r="B2155" s="3" t="s">
        <v>2195</v>
      </c>
      <c r="C2155" s="3" t="s">
        <v>952</v>
      </c>
      <c r="D2155" s="3"/>
      <c r="E2155" s="2" t="str">
        <f>HYPERLINK("https://old.ukr-mobil.com/index.php?route=product&amp;product_id=10005342", "Перейти")</f>
        <v>Перейти</v>
      </c>
      <c r="F2155" s="2">
        <v>10005342</v>
      </c>
      <c r="G2155" s="4" t="s">
        <v>2287</v>
      </c>
      <c r="H2155" s="1">
        <v>23</v>
      </c>
      <c r="I2155" s="1">
        <v>7</v>
      </c>
      <c r="J2155" s="1">
        <v>9</v>
      </c>
      <c r="K2155" s="2">
        <v>6.0</v>
      </c>
    </row>
    <row r="2156" spans="1:12">
      <c r="A2156" s="3" t="s">
        <v>2194</v>
      </c>
      <c r="B2156" s="3" t="s">
        <v>2195</v>
      </c>
      <c r="C2156" s="3" t="s">
        <v>952</v>
      </c>
      <c r="D2156" s="3"/>
      <c r="E2156" s="2" t="str">
        <f>HYPERLINK("https://old.ukr-mobil.com/index.php?route=product&amp;product_id=10005343", "Перейти")</f>
        <v>Перейти</v>
      </c>
      <c r="F2156" s="2">
        <v>10005343</v>
      </c>
      <c r="G2156" s="4" t="s">
        <v>2288</v>
      </c>
      <c r="H2156" s="1">
        <v>0</v>
      </c>
      <c r="I2156" s="1">
        <v>0</v>
      </c>
      <c r="J2156" s="1">
        <v>0</v>
      </c>
      <c r="K2156" s="2">
        <v>11.65</v>
      </c>
    </row>
    <row r="2157" spans="1:12">
      <c r="A2157" s="3" t="s">
        <v>2194</v>
      </c>
      <c r="B2157" s="3" t="s">
        <v>2195</v>
      </c>
      <c r="C2157" s="3" t="s">
        <v>952</v>
      </c>
      <c r="D2157" s="3"/>
      <c r="E2157" s="2" t="str">
        <f>HYPERLINK("https://old.ukr-mobil.com/akkumulyator_google_pixel_b2pw4100_2770_mah_10000670", "Перейти")</f>
        <v>Перейти</v>
      </c>
      <c r="F2157" s="2">
        <v>10000670</v>
      </c>
      <c r="G2157" s="4" t="s">
        <v>2289</v>
      </c>
      <c r="H2157" s="1">
        <v>0</v>
      </c>
      <c r="I2157" s="1">
        <v>0</v>
      </c>
      <c r="J2157" s="1">
        <v>0</v>
      </c>
      <c r="K2157" s="2">
        <v>7.0</v>
      </c>
    </row>
    <row r="2158" spans="1:12">
      <c r="A2158" s="3" t="s">
        <v>2194</v>
      </c>
      <c r="B2158" s="3" t="s">
        <v>2195</v>
      </c>
      <c r="C2158" s="3" t="s">
        <v>640</v>
      </c>
      <c r="D2158" s="3"/>
      <c r="E2158" s="2" t="str">
        <f>HYPERLINK("https://old.ukr-mobil.com/akkumulyator_huawei_honor_20_honor_8x_hb386590ecw_3750_mah_10000988", "Перейти")</f>
        <v>Перейти</v>
      </c>
      <c r="F2158" s="2">
        <v>10000988</v>
      </c>
      <c r="G2158" s="4" t="s">
        <v>2290</v>
      </c>
      <c r="H2158" s="1">
        <v>52</v>
      </c>
      <c r="I2158" s="1">
        <v>55</v>
      </c>
      <c r="J2158" s="1">
        <v>44</v>
      </c>
      <c r="K2158" s="2">
        <v>5.0</v>
      </c>
    </row>
    <row r="2159" spans="1:12">
      <c r="A2159" s="3" t="s">
        <v>2194</v>
      </c>
      <c r="B2159" s="3" t="s">
        <v>2195</v>
      </c>
      <c r="C2159" s="3" t="s">
        <v>640</v>
      </c>
      <c r="D2159" s="3"/>
      <c r="E2159" s="2" t="str">
        <f>HYPERLINK("https://old.ukr-mobil.com/akkumulyator_huawei_honor_20_honor_8x_hb386590ecw_3750_mah_original_10001282", "Перейти")</f>
        <v>Перейти</v>
      </c>
      <c r="F2159" s="2">
        <v>10001282</v>
      </c>
      <c r="G2159" s="4" t="s">
        <v>2291</v>
      </c>
      <c r="H2159" s="1">
        <v>4</v>
      </c>
      <c r="I2159" s="1">
        <v>6</v>
      </c>
      <c r="J2159" s="1">
        <v>8</v>
      </c>
      <c r="K2159" s="2">
        <v>7.0</v>
      </c>
    </row>
    <row r="2160" spans="1:12">
      <c r="A2160" s="3" t="s">
        <v>2194</v>
      </c>
      <c r="B2160" s="3" t="s">
        <v>2195</v>
      </c>
      <c r="C2160" s="3" t="s">
        <v>640</v>
      </c>
      <c r="D2160" s="3"/>
      <c r="E2160" s="2" t="str">
        <f>HYPERLINK("https://old.ukr-mobil.com/akkumulyator_huawei_ascend_p7_5164", "Перейти")</f>
        <v>Перейти</v>
      </c>
      <c r="F2160" s="2">
        <v>5164</v>
      </c>
      <c r="G2160" s="4" t="s">
        <v>2292</v>
      </c>
      <c r="H2160" s="1">
        <v>1</v>
      </c>
      <c r="I2160" s="1">
        <v>0</v>
      </c>
      <c r="J2160" s="1">
        <v>0</v>
      </c>
      <c r="K2160" s="2">
        <v>6.0</v>
      </c>
    </row>
    <row r="2161" spans="1:12">
      <c r="A2161" s="3" t="s">
        <v>2194</v>
      </c>
      <c r="B2161" s="3" t="s">
        <v>2195</v>
      </c>
      <c r="C2161" s="3" t="s">
        <v>640</v>
      </c>
      <c r="D2161" s="3"/>
      <c r="E2161" s="2" t="str">
        <f>HYPERLINK("https://old.ukr-mobil.com/akkumulyator_huawei_enjoy_7_honor_6a_honor_6c_honor_6c_pro_nova_nova_lite_2017_p9_lite_mini_y5_2017_y6_pro_2017_hb405979ecw_2920_mah_10722", "Перейти")</f>
        <v>Перейти</v>
      </c>
      <c r="F2161" s="2">
        <v>10722</v>
      </c>
      <c r="G2161" s="4" t="s">
        <v>2293</v>
      </c>
      <c r="H2161" s="1">
        <v>2</v>
      </c>
      <c r="I2161" s="1">
        <v>0</v>
      </c>
      <c r="J2161" s="1">
        <v>0</v>
      </c>
      <c r="K2161" s="2">
        <v>5.0</v>
      </c>
    </row>
    <row r="2162" spans="1:12">
      <c r="A2162" s="3" t="s">
        <v>2194</v>
      </c>
      <c r="B2162" s="3" t="s">
        <v>2195</v>
      </c>
      <c r="C2162" s="3" t="s">
        <v>640</v>
      </c>
      <c r="D2162" s="3"/>
      <c r="E2162" s="2" t="str">
        <f>HYPERLINK("https://old.ukr-mobil.com/akkumulyator_huawei_honor_6a_honor_6c_honor_6c_pro_nova_nova_lite_2017_p9_lite_mini_y5_2017_y6_pro_2017_hb405979ecw_2920_mah_original_10001280", "Перейти")</f>
        <v>Перейти</v>
      </c>
      <c r="F2162" s="2">
        <v>10001280</v>
      </c>
      <c r="G2162" s="4" t="s">
        <v>2294</v>
      </c>
      <c r="H2162" s="1">
        <v>26</v>
      </c>
      <c r="I2162" s="1">
        <v>4</v>
      </c>
      <c r="J2162" s="1">
        <v>10</v>
      </c>
      <c r="K2162" s="2">
        <v>5.5</v>
      </c>
    </row>
    <row r="2163" spans="1:12">
      <c r="A2163" s="3" t="s">
        <v>2194</v>
      </c>
      <c r="B2163" s="3" t="s">
        <v>2195</v>
      </c>
      <c r="C2163" s="3" t="s">
        <v>640</v>
      </c>
      <c r="D2163" s="3"/>
      <c r="E2163" s="2" t="str">
        <f>HYPERLINK("https://old.ukr-mobil.com/akkumulyator_huawei_honor_7x_mate_10_lite_p_smart_plus_p30_lite_hb356687ecw_3340mah_12061", "Перейти")</f>
        <v>Перейти</v>
      </c>
      <c r="F2163" s="2">
        <v>12061</v>
      </c>
      <c r="G2163" s="4" t="s">
        <v>2295</v>
      </c>
      <c r="H2163" s="1">
        <v>14</v>
      </c>
      <c r="I2163" s="1">
        <v>4</v>
      </c>
      <c r="J2163" s="1">
        <v>3</v>
      </c>
      <c r="K2163" s="2">
        <v>5.0</v>
      </c>
    </row>
    <row r="2164" spans="1:12">
      <c r="A2164" s="3" t="s">
        <v>2194</v>
      </c>
      <c r="B2164" s="3" t="s">
        <v>2195</v>
      </c>
      <c r="C2164" s="3" t="s">
        <v>640</v>
      </c>
      <c r="D2164" s="3"/>
      <c r="E2164" s="2" t="str">
        <f>HYPERLINK("https://old.ukr-mobil.com/akkumulyator_huawei_honor_7x_mate_10_lite_p_smart_plus_p30_lite_hb356687ecw_3340mah_original_10001250", "Перейти")</f>
        <v>Перейти</v>
      </c>
      <c r="F2164" s="2">
        <v>10001250</v>
      </c>
      <c r="G2164" s="4" t="s">
        <v>2296</v>
      </c>
      <c r="H2164" s="1">
        <v>62</v>
      </c>
      <c r="I2164" s="1">
        <v>4</v>
      </c>
      <c r="J2164" s="1">
        <v>25</v>
      </c>
      <c r="K2164" s="2">
        <v>4.4</v>
      </c>
    </row>
    <row r="2165" spans="1:12">
      <c r="A2165" s="3" t="s">
        <v>2194</v>
      </c>
      <c r="B2165" s="3" t="s">
        <v>2195</v>
      </c>
      <c r="C2165" s="3" t="s">
        <v>640</v>
      </c>
      <c r="D2165" s="3"/>
      <c r="E2165" s="2" t="str">
        <f>HYPERLINK("https://old.ukr-mobil.com/akkumulyator_huawei_p_smart_2019_honor_10_lite_hb396286ecw_3400mah_12062", "Перейти")</f>
        <v>Перейти</v>
      </c>
      <c r="F2165" s="2">
        <v>12062</v>
      </c>
      <c r="G2165" s="4" t="s">
        <v>2297</v>
      </c>
      <c r="H2165" s="1">
        <v>0</v>
      </c>
      <c r="I2165" s="1">
        <v>0</v>
      </c>
      <c r="J2165" s="1">
        <v>0</v>
      </c>
      <c r="K2165" s="2">
        <v>6.75</v>
      </c>
    </row>
    <row r="2166" spans="1:12">
      <c r="A2166" s="3" t="s">
        <v>2194</v>
      </c>
      <c r="B2166" s="3" t="s">
        <v>2195</v>
      </c>
      <c r="C2166" s="3" t="s">
        <v>640</v>
      </c>
      <c r="D2166" s="3"/>
      <c r="E2166" s="2" t="str">
        <f>HYPERLINK("https://old.ukr-mobil.com/akkumulyator_huawei_p_smart_2019_honor_10_lite_hb396286ecw_3400mah_original_10001281", "Перейти")</f>
        <v>Перейти</v>
      </c>
      <c r="F2166" s="2">
        <v>10001281</v>
      </c>
      <c r="G2166" s="4" t="s">
        <v>2298</v>
      </c>
      <c r="H2166" s="1">
        <v>52</v>
      </c>
      <c r="I2166" s="1">
        <v>11</v>
      </c>
      <c r="J2166" s="1">
        <v>14</v>
      </c>
      <c r="K2166" s="2">
        <v>4.5</v>
      </c>
    </row>
    <row r="2167" spans="1:12">
      <c r="A2167" s="3" t="s">
        <v>2194</v>
      </c>
      <c r="B2167" s="3" t="s">
        <v>2195</v>
      </c>
      <c r="C2167" s="3" t="s">
        <v>640</v>
      </c>
      <c r="D2167" s="3"/>
      <c r="E2167" s="2" t="str">
        <f>HYPERLINK("https://old.ukr-mobil.com/index.php?route=product&amp;product_id=10005209", "Перейти")</f>
        <v>Перейти</v>
      </c>
      <c r="F2167" s="2">
        <v>10005209</v>
      </c>
      <c r="G2167" s="4" t="s">
        <v>2299</v>
      </c>
      <c r="H2167" s="1">
        <v>0</v>
      </c>
      <c r="I2167" s="1">
        <v>0</v>
      </c>
      <c r="J2167" s="1">
        <v>1</v>
      </c>
      <c r="K2167" s="2">
        <v>6.0</v>
      </c>
    </row>
    <row r="2168" spans="1:12">
      <c r="A2168" s="3" t="s">
        <v>2194</v>
      </c>
      <c r="B2168" s="3" t="s">
        <v>2195</v>
      </c>
      <c r="C2168" s="3" t="s">
        <v>640</v>
      </c>
      <c r="D2168" s="3"/>
      <c r="E2168" s="2" t="str">
        <f>HYPERLINK("https://old.ukr-mobil.com/akkumulyator_huawei_p_smart_z_honor_9x_y9_prime_2019_hb446486ecw_3900mah_original_prc_10002011", "Перейти")</f>
        <v>Перейти</v>
      </c>
      <c r="F2168" s="2">
        <v>10002011</v>
      </c>
      <c r="G2168" s="4" t="s">
        <v>2300</v>
      </c>
      <c r="H2168" s="1">
        <v>19</v>
      </c>
      <c r="I2168" s="1">
        <v>27</v>
      </c>
      <c r="J2168" s="1">
        <v>18</v>
      </c>
      <c r="K2168" s="2">
        <v>5.0</v>
      </c>
    </row>
    <row r="2169" spans="1:12">
      <c r="A2169" s="3" t="s">
        <v>2194</v>
      </c>
      <c r="B2169" s="3" t="s">
        <v>2195</v>
      </c>
      <c r="C2169" s="3" t="s">
        <v>640</v>
      </c>
      <c r="D2169" s="3"/>
      <c r="E2169" s="2" t="str">
        <f>HYPERLINK("https://old.ukr-mobil.com/akkumulyator_huawei_p10_lite_p20_lite_p_smart_honor_9_lite_hb366481ecw_2900mah_10721", "Перейти")</f>
        <v>Перейти</v>
      </c>
      <c r="F2169" s="2">
        <v>10721</v>
      </c>
      <c r="G2169" s="4" t="s">
        <v>2301</v>
      </c>
      <c r="H2169" s="1">
        <v>1</v>
      </c>
      <c r="I2169" s="1">
        <v>0</v>
      </c>
      <c r="J2169" s="1">
        <v>0</v>
      </c>
      <c r="K2169" s="2">
        <v>5.5</v>
      </c>
    </row>
    <row r="2170" spans="1:12">
      <c r="A2170" s="3" t="s">
        <v>2194</v>
      </c>
      <c r="B2170" s="3" t="s">
        <v>2195</v>
      </c>
      <c r="C2170" s="3" t="s">
        <v>640</v>
      </c>
      <c r="D2170" s="3"/>
      <c r="E2170" s="2" t="str">
        <f>HYPERLINK("https://old.ukr-mobil.com/akkumulyator_huawei_p10_lite_p20_lite_p_smart_honor_9_lite_y6_2018_hb366481ecw_2900mah_original_10001279", "Перейти")</f>
        <v>Перейти</v>
      </c>
      <c r="F2170" s="2">
        <v>10001279</v>
      </c>
      <c r="G2170" s="4" t="s">
        <v>2302</v>
      </c>
      <c r="H2170" s="1">
        <v>10</v>
      </c>
      <c r="I2170" s="1">
        <v>7</v>
      </c>
      <c r="J2170" s="1">
        <v>7</v>
      </c>
      <c r="K2170" s="2">
        <v>3.5</v>
      </c>
    </row>
    <row r="2171" spans="1:12">
      <c r="A2171" s="3" t="s">
        <v>2194</v>
      </c>
      <c r="B2171" s="3" t="s">
        <v>2195</v>
      </c>
      <c r="C2171" s="3" t="s">
        <v>640</v>
      </c>
      <c r="D2171" s="3"/>
      <c r="E2171" s="2" t="str">
        <f>HYPERLINK("https://old.ukr-mobil.com/akkumulyator_huawei_p10_hb386280ecw_3200_mah_10723", "Перейти")</f>
        <v>Перейти</v>
      </c>
      <c r="F2171" s="2">
        <v>10723</v>
      </c>
      <c r="G2171" s="4" t="s">
        <v>2303</v>
      </c>
      <c r="H2171" s="1">
        <v>0</v>
      </c>
      <c r="I2171" s="1">
        <v>0</v>
      </c>
      <c r="J2171" s="1">
        <v>0</v>
      </c>
      <c r="K2171" s="2">
        <v>6.35</v>
      </c>
    </row>
    <row r="2172" spans="1:12">
      <c r="A2172" s="3" t="s">
        <v>2194</v>
      </c>
      <c r="B2172" s="3" t="s">
        <v>2195</v>
      </c>
      <c r="C2172" s="3" t="s">
        <v>640</v>
      </c>
      <c r="D2172" s="3"/>
      <c r="E2172" s="2" t="str">
        <f>HYPERLINK("https://old.ukr-mobil.com/index.php?route=product&amp;product_id=10005207", "Перейти")</f>
        <v>Перейти</v>
      </c>
      <c r="F2172" s="2">
        <v>10005207</v>
      </c>
      <c r="G2172" s="4" t="s">
        <v>2304</v>
      </c>
      <c r="H2172" s="1">
        <v>0</v>
      </c>
      <c r="I2172" s="1">
        <v>0</v>
      </c>
      <c r="J2172" s="1">
        <v>1</v>
      </c>
      <c r="K2172" s="2">
        <v>7.0</v>
      </c>
    </row>
    <row r="2173" spans="1:12">
      <c r="A2173" s="3" t="s">
        <v>2194</v>
      </c>
      <c r="B2173" s="3" t="s">
        <v>2195</v>
      </c>
      <c r="C2173" s="3" t="s">
        <v>640</v>
      </c>
      <c r="D2173" s="3"/>
      <c r="E2173" s="2" t="str">
        <f>HYPERLINK("https://old.ukr-mobil.com/akkumulyator_huawei_p30_hb436380ecw_3650_mah_10000987", "Перейти")</f>
        <v>Перейти</v>
      </c>
      <c r="F2173" s="2">
        <v>10000987</v>
      </c>
      <c r="G2173" s="4" t="s">
        <v>2305</v>
      </c>
      <c r="H2173" s="1">
        <v>1</v>
      </c>
      <c r="I2173" s="1">
        <v>0</v>
      </c>
      <c r="J2173" s="1">
        <v>0</v>
      </c>
      <c r="K2173" s="2">
        <v>5.5</v>
      </c>
    </row>
    <row r="2174" spans="1:12">
      <c r="A2174" s="3" t="s">
        <v>2194</v>
      </c>
      <c r="B2174" s="3" t="s">
        <v>2195</v>
      </c>
      <c r="C2174" s="3" t="s">
        <v>640</v>
      </c>
      <c r="D2174" s="3"/>
      <c r="E2174" s="2" t="str">
        <f>HYPERLINK("https://old.ukr-mobil.com/akkumulyator_huawei_p40_lite_mate_30_hb486586ecw_4200mah_original_prc_10001998", "Перейти")</f>
        <v>Перейти</v>
      </c>
      <c r="F2174" s="2">
        <v>10001998</v>
      </c>
      <c r="G2174" s="4" t="s">
        <v>2306</v>
      </c>
      <c r="H2174" s="1">
        <v>33</v>
      </c>
      <c r="I2174" s="1">
        <v>23</v>
      </c>
      <c r="J2174" s="1">
        <v>13</v>
      </c>
      <c r="K2174" s="2">
        <v>5.5</v>
      </c>
    </row>
    <row r="2175" spans="1:12">
      <c r="A2175" s="3" t="s">
        <v>2194</v>
      </c>
      <c r="B2175" s="3" t="s">
        <v>2195</v>
      </c>
      <c r="C2175" s="3" t="s">
        <v>640</v>
      </c>
      <c r="D2175" s="3"/>
      <c r="E2175" s="2" t="str">
        <f>HYPERLINK("https://old.ukr-mobil.com/index.php?route=product&amp;product_id=10005210", "Перейти")</f>
        <v>Перейти</v>
      </c>
      <c r="F2175" s="2">
        <v>10005210</v>
      </c>
      <c r="G2175" s="4" t="s">
        <v>2307</v>
      </c>
      <c r="H2175" s="1">
        <v>0</v>
      </c>
      <c r="I2175" s="1">
        <v>0</v>
      </c>
      <c r="J2175" s="1">
        <v>2</v>
      </c>
      <c r="K2175" s="2">
        <v>6.5</v>
      </c>
    </row>
    <row r="2176" spans="1:12">
      <c r="A2176" s="3" t="s">
        <v>2194</v>
      </c>
      <c r="B2176" s="3" t="s">
        <v>2195</v>
      </c>
      <c r="C2176" s="3" t="s">
        <v>640</v>
      </c>
      <c r="D2176" s="3"/>
      <c r="E2176" s="2" t="str">
        <f>HYPERLINK("https://old.ukr-mobil.com/index.php?route=product&amp;product_id=10005208", "Перейти")</f>
        <v>Перейти</v>
      </c>
      <c r="F2176" s="2">
        <v>10005208</v>
      </c>
      <c r="G2176" s="4" t="s">
        <v>2308</v>
      </c>
      <c r="H2176" s="1">
        <v>12</v>
      </c>
      <c r="I2176" s="1">
        <v>5</v>
      </c>
      <c r="J2176" s="1">
        <v>5</v>
      </c>
      <c r="K2176" s="2">
        <v>5.5</v>
      </c>
    </row>
    <row r="2177" spans="1:12">
      <c r="A2177" s="3" t="s">
        <v>2194</v>
      </c>
      <c r="B2177" s="3" t="s">
        <v>2195</v>
      </c>
      <c r="C2177" s="3" t="s">
        <v>640</v>
      </c>
      <c r="D2177" s="3"/>
      <c r="E2177" s="2" t="str">
        <f>HYPERLINK("https://old.ukr-mobil.com/akkumulyator_huawei_y6p_2020_honor_9a_hb526489eew_5000mah_original_prc_10002012", "Перейти")</f>
        <v>Перейти</v>
      </c>
      <c r="F2177" s="2">
        <v>10002012</v>
      </c>
      <c r="G2177" s="4" t="s">
        <v>2309</v>
      </c>
      <c r="H2177" s="1">
        <v>46</v>
      </c>
      <c r="I2177" s="1">
        <v>23</v>
      </c>
      <c r="J2177" s="1">
        <v>15</v>
      </c>
      <c r="K2177" s="2">
        <v>4.5</v>
      </c>
    </row>
    <row r="2178" spans="1:12">
      <c r="A2178" s="3" t="s">
        <v>2194</v>
      </c>
      <c r="B2178" s="3" t="s">
        <v>2195</v>
      </c>
      <c r="C2178" s="3" t="s">
        <v>640</v>
      </c>
      <c r="D2178" s="3"/>
      <c r="E2178" s="2" t="str">
        <f>HYPERLINK("https://old.ukr-mobil.com/akkumulyator_huawei_y7_2017_y7_prime_2017_hb406689ecw_4000_mah_10000696", "Перейти")</f>
        <v>Перейти</v>
      </c>
      <c r="F2178" s="2">
        <v>10000696</v>
      </c>
      <c r="G2178" s="4" t="s">
        <v>2310</v>
      </c>
      <c r="H2178" s="1">
        <v>0</v>
      </c>
      <c r="I2178" s="1">
        <v>0</v>
      </c>
      <c r="J2178" s="1">
        <v>0</v>
      </c>
      <c r="K2178" s="2">
        <v>6.5</v>
      </c>
    </row>
    <row r="2179" spans="1:12">
      <c r="A2179" s="3" t="s">
        <v>2194</v>
      </c>
      <c r="B2179" s="3" t="s">
        <v>2195</v>
      </c>
      <c r="C2179" s="3" t="s">
        <v>640</v>
      </c>
      <c r="D2179" s="3"/>
      <c r="E2179" s="2" t="str">
        <f>HYPERLINK("https://old.ukr-mobil.com/akkumulyator_huawei_y7_2017_y7_prime_2017_hb406689ecw_4000_mah_original_10001283", "Перейти")</f>
        <v>Перейти</v>
      </c>
      <c r="F2179" s="2">
        <v>10001283</v>
      </c>
      <c r="G2179" s="4" t="s">
        <v>2311</v>
      </c>
      <c r="H2179" s="1">
        <v>1</v>
      </c>
      <c r="I2179" s="1">
        <v>0</v>
      </c>
      <c r="J2179" s="1">
        <v>0</v>
      </c>
      <c r="K2179" s="2">
        <v>5.0</v>
      </c>
    </row>
    <row r="2180" spans="1:12">
      <c r="A2180" s="3" t="s">
        <v>2194</v>
      </c>
      <c r="B2180" s="3" t="s">
        <v>2195</v>
      </c>
      <c r="C2180" s="3" t="s">
        <v>1048</v>
      </c>
      <c r="D2180" s="3"/>
      <c r="E2180" s="2" t="str">
        <f>HYPERLINK("https://old.ukr-mobil.com/akkumulyator_lenovo_a516_a706_a760_a630e_a820e_bl209_5883", "Перейти")</f>
        <v>Перейти</v>
      </c>
      <c r="F2180" s="2">
        <v>5883</v>
      </c>
      <c r="G2180" s="4" t="s">
        <v>2312</v>
      </c>
      <c r="H2180" s="1">
        <v>0</v>
      </c>
      <c r="I2180" s="1">
        <v>0</v>
      </c>
      <c r="J2180" s="1">
        <v>0</v>
      </c>
      <c r="K2180" s="2">
        <v>5.04</v>
      </c>
    </row>
    <row r="2181" spans="1:12">
      <c r="A2181" s="3" t="s">
        <v>2194</v>
      </c>
      <c r="B2181" s="3" t="s">
        <v>2195</v>
      </c>
      <c r="C2181" s="3" t="s">
        <v>1048</v>
      </c>
      <c r="D2181" s="3"/>
      <c r="E2181" s="2" t="str">
        <f>HYPERLINK("https://old.ukr-mobil.com/akkumulyator_lenovo_s850_s850t_bl220_2150mah_10726", "Перейти")</f>
        <v>Перейти</v>
      </c>
      <c r="F2181" s="2">
        <v>10726</v>
      </c>
      <c r="G2181" s="4" t="s">
        <v>2313</v>
      </c>
      <c r="H2181" s="1">
        <v>2</v>
      </c>
      <c r="I2181" s="1">
        <v>0</v>
      </c>
      <c r="J2181" s="1">
        <v>0</v>
      </c>
      <c r="K2181" s="2">
        <v>8.06</v>
      </c>
    </row>
    <row r="2182" spans="1:12">
      <c r="A2182" s="3" t="s">
        <v>2194</v>
      </c>
      <c r="B2182" s="3" t="s">
        <v>2195</v>
      </c>
      <c r="C2182" s="3" t="s">
        <v>1056</v>
      </c>
      <c r="D2182" s="3"/>
      <c r="E2182" s="2" t="str">
        <f>HYPERLINK("https://old.ukr-mobil.com/akkumulyator_lg_optimus_g2_f320_f320l_f320s_f320k_f300_f260_bl-54sg_10942", "Перейти")</f>
        <v>Перейти</v>
      </c>
      <c r="F2182" s="2">
        <v>10942</v>
      </c>
      <c r="G2182" s="4" t="s">
        <v>2314</v>
      </c>
      <c r="H2182" s="1">
        <v>17</v>
      </c>
      <c r="I2182" s="1">
        <v>4</v>
      </c>
      <c r="J2182" s="1">
        <v>2</v>
      </c>
      <c r="K2182" s="2">
        <v>4.5</v>
      </c>
    </row>
    <row r="2183" spans="1:12">
      <c r="A2183" s="3" t="s">
        <v>2194</v>
      </c>
      <c r="B2183" s="3" t="s">
        <v>2195</v>
      </c>
      <c r="C2183" s="3" t="s">
        <v>1059</v>
      </c>
      <c r="D2183" s="3"/>
      <c r="E2183" s="2" t="str">
        <f>HYPERLINK("https://old.ukr-mobil.com/akkumulyator_meizu_c9_c9_pro_ba818_3100_mah_bez_logotipa_original_prc_10003186", "Перейти")</f>
        <v>Перейти</v>
      </c>
      <c r="F2183" s="2">
        <v>10003186</v>
      </c>
      <c r="G2183" s="4" t="s">
        <v>2315</v>
      </c>
      <c r="H2183" s="1">
        <v>21</v>
      </c>
      <c r="I2183" s="1">
        <v>6</v>
      </c>
      <c r="J2183" s="1">
        <v>2</v>
      </c>
      <c r="K2183" s="2">
        <v>5.5</v>
      </c>
    </row>
    <row r="2184" spans="1:12">
      <c r="A2184" s="3" t="s">
        <v>2194</v>
      </c>
      <c r="B2184" s="3" t="s">
        <v>2195</v>
      </c>
      <c r="C2184" s="3" t="s">
        <v>1059</v>
      </c>
      <c r="D2184" s="3"/>
      <c r="E2184" s="2" t="str">
        <f>HYPERLINK("https://old.ukr-mobil.com/akkumulyator_meizu_m3_m3_mini_m3s_bt68_10743", "Перейти")</f>
        <v>Перейти</v>
      </c>
      <c r="F2184" s="2">
        <v>10743</v>
      </c>
      <c r="G2184" s="4" t="s">
        <v>2316</v>
      </c>
      <c r="H2184" s="1">
        <v>3</v>
      </c>
      <c r="I2184" s="1">
        <v>0</v>
      </c>
      <c r="J2184" s="1">
        <v>2</v>
      </c>
      <c r="K2184" s="2">
        <v>5.0</v>
      </c>
    </row>
    <row r="2185" spans="1:12">
      <c r="A2185" s="3" t="s">
        <v>2194</v>
      </c>
      <c r="B2185" s="3" t="s">
        <v>2195</v>
      </c>
      <c r="C2185" s="3" t="s">
        <v>1059</v>
      </c>
      <c r="D2185" s="3"/>
      <c r="E2185" s="2" t="str">
        <f>HYPERLINK("https://old.ukr-mobil.com/akkumulyator_meizu_m5_ba611_9808", "Перейти")</f>
        <v>Перейти</v>
      </c>
      <c r="F2185" s="2">
        <v>9808</v>
      </c>
      <c r="G2185" s="4" t="s">
        <v>2317</v>
      </c>
      <c r="H2185" s="1">
        <v>2</v>
      </c>
      <c r="I2185" s="1">
        <v>2</v>
      </c>
      <c r="J2185" s="1">
        <v>2</v>
      </c>
      <c r="K2185" s="2">
        <v>5.5</v>
      </c>
    </row>
    <row r="2186" spans="1:12">
      <c r="A2186" s="3" t="s">
        <v>2194</v>
      </c>
      <c r="B2186" s="3" t="s">
        <v>2195</v>
      </c>
      <c r="C2186" s="3" t="s">
        <v>1059</v>
      </c>
      <c r="D2186" s="3"/>
      <c r="E2186" s="2" t="str">
        <f>HYPERLINK("https://old.ukr-mobil.com/akkumulyator_meizu_m5c_bt710_3060_mah_10744", "Перейти")</f>
        <v>Перейти</v>
      </c>
      <c r="F2186" s="2">
        <v>10744</v>
      </c>
      <c r="G2186" s="4" t="s">
        <v>2318</v>
      </c>
      <c r="H2186" s="1">
        <v>0</v>
      </c>
      <c r="I2186" s="1">
        <v>0</v>
      </c>
      <c r="J2186" s="1">
        <v>0</v>
      </c>
      <c r="K2186" s="2">
        <v>8.06</v>
      </c>
    </row>
    <row r="2187" spans="1:12">
      <c r="A2187" s="3" t="s">
        <v>2194</v>
      </c>
      <c r="B2187" s="3" t="s">
        <v>2195</v>
      </c>
      <c r="C2187" s="3" t="s">
        <v>1059</v>
      </c>
      <c r="D2187" s="3"/>
      <c r="E2187" s="2" t="str">
        <f>HYPERLINK("https://old.ukr-mobil.com/akkumulyator_meizu_m8_note_note_8_ba822_3500_mah_bez_logotipa_original_prc_10003188", "Перейти")</f>
        <v>Перейти</v>
      </c>
      <c r="F2187" s="2">
        <v>10003188</v>
      </c>
      <c r="G2187" s="4" t="s">
        <v>2319</v>
      </c>
      <c r="H2187" s="1">
        <v>13</v>
      </c>
      <c r="I2187" s="1">
        <v>5</v>
      </c>
      <c r="J2187" s="1">
        <v>7</v>
      </c>
      <c r="K2187" s="2">
        <v>6.0</v>
      </c>
    </row>
    <row r="2188" spans="1:12">
      <c r="A2188" s="3" t="s">
        <v>2194</v>
      </c>
      <c r="B2188" s="3" t="s">
        <v>2195</v>
      </c>
      <c r="C2188" s="3" t="s">
        <v>1059</v>
      </c>
      <c r="D2188" s="3"/>
      <c r="E2188" s="2" t="str">
        <f>HYPERLINK("https://old.ukr-mobil.com/akkumulyator_meizu_m9_note_note_9_ba923_3900_mah_bez_logotipa_original_prc_10003187", "Перейти")</f>
        <v>Перейти</v>
      </c>
      <c r="F2188" s="2">
        <v>10003187</v>
      </c>
      <c r="G2188" s="4" t="s">
        <v>2320</v>
      </c>
      <c r="H2188" s="1">
        <v>13</v>
      </c>
      <c r="I2188" s="1">
        <v>3</v>
      </c>
      <c r="J2188" s="1">
        <v>3</v>
      </c>
      <c r="K2188" s="2">
        <v>7.5</v>
      </c>
    </row>
    <row r="2189" spans="1:12">
      <c r="A2189" s="3" t="s">
        <v>2194</v>
      </c>
      <c r="B2189" s="3" t="s">
        <v>2195</v>
      </c>
      <c r="C2189" s="3" t="s">
        <v>1068</v>
      </c>
      <c r="D2189" s="3"/>
      <c r="E2189" s="2" t="str">
        <f>HYPERLINK("https://old.ukr-mobil.com/index.php?route=product&amp;product_id=10005006", "Перейти")</f>
        <v>Перейти</v>
      </c>
      <c r="F2189" s="2">
        <v>10005006</v>
      </c>
      <c r="G2189" s="4" t="s">
        <v>2321</v>
      </c>
      <c r="H2189" s="1">
        <v>21</v>
      </c>
      <c r="I2189" s="1">
        <v>15</v>
      </c>
      <c r="J2189" s="1">
        <v>10</v>
      </c>
      <c r="K2189" s="2">
        <v>5.5</v>
      </c>
    </row>
    <row r="2190" spans="1:12">
      <c r="A2190" s="3" t="s">
        <v>2194</v>
      </c>
      <c r="B2190" s="3" t="s">
        <v>2195</v>
      </c>
      <c r="C2190" s="3" t="s">
        <v>1068</v>
      </c>
      <c r="D2190" s="3"/>
      <c r="E2190" s="2" t="str">
        <f>HYPERLINK("https://old.ukr-mobil.com/index.php?route=product&amp;product_id=10005007", "Перейти")</f>
        <v>Перейти</v>
      </c>
      <c r="F2190" s="2">
        <v>10005007</v>
      </c>
      <c r="G2190" s="4" t="s">
        <v>2322</v>
      </c>
      <c r="H2190" s="1">
        <v>17</v>
      </c>
      <c r="I2190" s="1">
        <v>12</v>
      </c>
      <c r="J2190" s="1">
        <v>7</v>
      </c>
      <c r="K2190" s="2">
        <v>6.0</v>
      </c>
    </row>
    <row r="2191" spans="1:12">
      <c r="A2191" s="3" t="s">
        <v>2194</v>
      </c>
      <c r="B2191" s="3" t="s">
        <v>2195</v>
      </c>
      <c r="C2191" s="3" t="s">
        <v>1068</v>
      </c>
      <c r="D2191" s="3"/>
      <c r="E2191" s="2" t="str">
        <f>HYPERLINK("https://old.ukr-mobil.com/index.php?route=product&amp;product_id=10005005", "Перейти")</f>
        <v>Перейти</v>
      </c>
      <c r="F2191" s="2">
        <v>10005005</v>
      </c>
      <c r="G2191" s="4" t="s">
        <v>2323</v>
      </c>
      <c r="H2191" s="1">
        <v>13</v>
      </c>
      <c r="I2191" s="1">
        <v>4</v>
      </c>
      <c r="J2191" s="1">
        <v>0</v>
      </c>
      <c r="K2191" s="2">
        <v>5.0</v>
      </c>
    </row>
    <row r="2192" spans="1:12">
      <c r="A2192" s="3" t="s">
        <v>2194</v>
      </c>
      <c r="B2192" s="3" t="s">
        <v>2195</v>
      </c>
      <c r="C2192" s="3" t="s">
        <v>1068</v>
      </c>
      <c r="D2192" s="3"/>
      <c r="E2192" s="2" t="str">
        <f>HYPERLINK("https://old.ukr-mobil.com/akkumulyator_motorola_g7_play_xt1952_je40_3000_mah_original_prc_10002707", "Перейти")</f>
        <v>Перейти</v>
      </c>
      <c r="F2192" s="2">
        <v>10002707</v>
      </c>
      <c r="G2192" s="4" t="s">
        <v>2324</v>
      </c>
      <c r="H2192" s="1">
        <v>7</v>
      </c>
      <c r="I2192" s="1">
        <v>9</v>
      </c>
      <c r="J2192" s="1">
        <v>3</v>
      </c>
      <c r="K2192" s="2">
        <v>4.5</v>
      </c>
    </row>
    <row r="2193" spans="1:12">
      <c r="A2193" s="3" t="s">
        <v>2194</v>
      </c>
      <c r="B2193" s="3" t="s">
        <v>2195</v>
      </c>
      <c r="C2193" s="3" t="s">
        <v>1068</v>
      </c>
      <c r="D2193" s="3"/>
      <c r="E2193" s="2" t="str">
        <f>HYPERLINK("https://old.ukr-mobil.com/akkumulyator_motorola_g7_power_xt1955_g9_play_xt2083_jk50_5000_mah_original_prc_10002699", "Перейти")</f>
        <v>Перейти</v>
      </c>
      <c r="F2193" s="2">
        <v>10002699</v>
      </c>
      <c r="G2193" s="4" t="s">
        <v>2325</v>
      </c>
      <c r="H2193" s="1">
        <v>1</v>
      </c>
      <c r="I2193" s="1">
        <v>0</v>
      </c>
      <c r="J2193" s="1">
        <v>0</v>
      </c>
      <c r="K2193" s="2">
        <v>5.5</v>
      </c>
    </row>
    <row r="2194" spans="1:12">
      <c r="A2194" s="3" t="s">
        <v>2194</v>
      </c>
      <c r="B2194" s="3" t="s">
        <v>2195</v>
      </c>
      <c r="C2194" s="3" t="s">
        <v>1068</v>
      </c>
      <c r="D2194" s="3"/>
      <c r="E2194" s="2" t="str">
        <f>HYPERLINK("https://old.ukr-mobil.com/akkumulyator_motorola_g8_xt2045_g8_play_xt2015_one_macro_g_fast_kg40_4000_mah_original_prc_10002703", "Перейти")</f>
        <v>Перейти</v>
      </c>
      <c r="F2194" s="2">
        <v>10002703</v>
      </c>
      <c r="G2194" s="4" t="s">
        <v>2326</v>
      </c>
      <c r="H2194" s="1">
        <v>9</v>
      </c>
      <c r="I2194" s="1">
        <v>3</v>
      </c>
      <c r="J2194" s="1">
        <v>4</v>
      </c>
      <c r="K2194" s="2">
        <v>4.5</v>
      </c>
    </row>
    <row r="2195" spans="1:12">
      <c r="A2195" s="3" t="s">
        <v>2194</v>
      </c>
      <c r="B2195" s="3" t="s">
        <v>2195</v>
      </c>
      <c r="C2195" s="3" t="s">
        <v>1068</v>
      </c>
      <c r="D2195" s="3"/>
      <c r="E2195" s="2" t="str">
        <f>HYPERLINK("https://old.ukr-mobil.com/akkumulyator_motorola_g8_plus_xt2019_kd40_4000_mah_original_prc_10002702", "Перейти")</f>
        <v>Перейти</v>
      </c>
      <c r="F2195" s="2">
        <v>10002702</v>
      </c>
      <c r="G2195" s="4" t="s">
        <v>2327</v>
      </c>
      <c r="H2195" s="1">
        <v>0</v>
      </c>
      <c r="I2195" s="1">
        <v>0</v>
      </c>
      <c r="J2195" s="1">
        <v>0</v>
      </c>
      <c r="K2195" s="2">
        <v>10.0</v>
      </c>
    </row>
    <row r="2196" spans="1:12">
      <c r="A2196" s="3" t="s">
        <v>2194</v>
      </c>
      <c r="B2196" s="3" t="s">
        <v>2195</v>
      </c>
      <c r="C2196" s="3" t="s">
        <v>1068</v>
      </c>
      <c r="D2196" s="3"/>
      <c r="E2196" s="2" t="str">
        <f>HYPERLINK("https://old.ukr-mobil.com/akkumulyator_motorola_g8_power_xt2041-1_xt2041-3_g_power_kz50_5000_mah_original_prc_10002706", "Перейти")</f>
        <v>Перейти</v>
      </c>
      <c r="F2196" s="2">
        <v>10002706</v>
      </c>
      <c r="G2196" s="4" t="s">
        <v>2328</v>
      </c>
      <c r="H2196" s="1">
        <v>17</v>
      </c>
      <c r="I2196" s="1">
        <v>4</v>
      </c>
      <c r="J2196" s="1">
        <v>1</v>
      </c>
      <c r="K2196" s="2">
        <v>4.5</v>
      </c>
    </row>
    <row r="2197" spans="1:12">
      <c r="A2197" s="3" t="s">
        <v>2194</v>
      </c>
      <c r="B2197" s="3" t="s">
        <v>2195</v>
      </c>
      <c r="C2197" s="3" t="s">
        <v>1068</v>
      </c>
      <c r="D2197" s="3"/>
      <c r="E2197" s="2" t="str">
        <f>HYPERLINK("https://old.ukr-mobil.com/akkumulyator_motorola_one_action_xt2013-2_one_vision_xt1970_kr40_3500_mah_original_prc_10002705", "Перейти")</f>
        <v>Перейти</v>
      </c>
      <c r="F2197" s="2">
        <v>10002705</v>
      </c>
      <c r="G2197" s="4" t="s">
        <v>2329</v>
      </c>
      <c r="H2197" s="1">
        <v>1</v>
      </c>
      <c r="I2197" s="1">
        <v>0</v>
      </c>
      <c r="J2197" s="1">
        <v>0</v>
      </c>
      <c r="K2197" s="2">
        <v>9.0</v>
      </c>
    </row>
    <row r="2198" spans="1:12">
      <c r="A2198" s="3" t="s">
        <v>2194</v>
      </c>
      <c r="B2198" s="3" t="s">
        <v>2195</v>
      </c>
      <c r="C2198" s="3" t="s">
        <v>1068</v>
      </c>
      <c r="D2198" s="3"/>
      <c r="E2198" s="2" t="str">
        <f>HYPERLINK("https://old.ukr-mobil.com/akkumulyator_motorola_one_zoom_xt2010_one_pro_kp50_4000_mah_original_prc_10002704", "Перейти")</f>
        <v>Перейти</v>
      </c>
      <c r="F2198" s="2">
        <v>10002704</v>
      </c>
      <c r="G2198" s="4" t="s">
        <v>2330</v>
      </c>
      <c r="H2198" s="1">
        <v>7</v>
      </c>
      <c r="I2198" s="1">
        <v>3</v>
      </c>
      <c r="J2198" s="1">
        <v>4</v>
      </c>
      <c r="K2198" s="2">
        <v>6.5</v>
      </c>
    </row>
    <row r="2199" spans="1:12">
      <c r="A2199" s="3" t="s">
        <v>2194</v>
      </c>
      <c r="B2199" s="3" t="s">
        <v>2195</v>
      </c>
      <c r="C2199" s="3" t="s">
        <v>1068</v>
      </c>
      <c r="D2199" s="3"/>
      <c r="E2199" s="2" t="str">
        <f>HYPERLINK("https://old.ukr-mobil.com/akkumulyator_motorola_xt1021_xt1022_xt1025_moto_e_el40_10753", "Перейти")</f>
        <v>Перейти</v>
      </c>
      <c r="F2199" s="2">
        <v>10753</v>
      </c>
      <c r="G2199" s="4" t="s">
        <v>2331</v>
      </c>
      <c r="H2199" s="1">
        <v>5</v>
      </c>
      <c r="I2199" s="1">
        <v>2</v>
      </c>
      <c r="J2199" s="1">
        <v>1</v>
      </c>
      <c r="K2199" s="2">
        <v>2.0</v>
      </c>
    </row>
    <row r="2200" spans="1:12">
      <c r="A2200" s="3" t="s">
        <v>2194</v>
      </c>
      <c r="B2200" s="3" t="s">
        <v>2195</v>
      </c>
      <c r="C2200" s="3" t="s">
        <v>1068</v>
      </c>
      <c r="D2200" s="3"/>
      <c r="E2200" s="2" t="str">
        <f>HYPERLINK("https://old.ukr-mobil.com/akkumulyator_motorola_xt1032_moto_g_ed30_10760", "Перейти")</f>
        <v>Перейти</v>
      </c>
      <c r="F2200" s="2">
        <v>10760</v>
      </c>
      <c r="G2200" s="4" t="s">
        <v>2332</v>
      </c>
      <c r="H2200" s="1">
        <v>1</v>
      </c>
      <c r="I2200" s="1">
        <v>0</v>
      </c>
      <c r="J2200" s="1">
        <v>0</v>
      </c>
      <c r="K2200" s="2">
        <v>9.07</v>
      </c>
    </row>
    <row r="2201" spans="1:12">
      <c r="A2201" s="3" t="s">
        <v>2194</v>
      </c>
      <c r="B2201" s="3" t="s">
        <v>2195</v>
      </c>
      <c r="C2201" s="3" t="s">
        <v>1068</v>
      </c>
      <c r="D2201" s="3"/>
      <c r="E2201" s="2" t="str">
        <f>HYPERLINK("https://old.ukr-mobil.com/akkumulyator_motorola_xt1080_eu20_10000492", "Перейти")</f>
        <v>Перейти</v>
      </c>
      <c r="F2201" s="2">
        <v>10000492</v>
      </c>
      <c r="G2201" s="4" t="s">
        <v>2333</v>
      </c>
      <c r="H2201" s="1">
        <v>5</v>
      </c>
      <c r="I2201" s="1">
        <v>0</v>
      </c>
      <c r="J2201" s="1">
        <v>1</v>
      </c>
      <c r="K2201" s="2">
        <v>4.0</v>
      </c>
    </row>
    <row r="2202" spans="1:12">
      <c r="A2202" s="3" t="s">
        <v>2194</v>
      </c>
      <c r="B2202" s="3" t="s">
        <v>2195</v>
      </c>
      <c r="C2202" s="3" t="s">
        <v>1068</v>
      </c>
      <c r="D2202" s="3"/>
      <c r="E2202" s="2" t="str">
        <f>HYPERLINK("https://old.ukr-mobil.com/akkumulyator_motorola_xt1505_moto_e2_xt1511_moto_e2_xt1526_moto_e2_xt1527_moto_e2_xt1528_moto_e2_ft40_10749", "Перейти")</f>
        <v>Перейти</v>
      </c>
      <c r="F2202" s="2">
        <v>10749</v>
      </c>
      <c r="G2202" s="4" t="s">
        <v>2334</v>
      </c>
      <c r="H2202" s="1">
        <v>1</v>
      </c>
      <c r="I2202" s="1">
        <v>1</v>
      </c>
      <c r="J2202" s="1">
        <v>2</v>
      </c>
      <c r="K2202" s="2">
        <v>3.5</v>
      </c>
    </row>
    <row r="2203" spans="1:12">
      <c r="A2203" s="3" t="s">
        <v>2194</v>
      </c>
      <c r="B2203" s="3" t="s">
        <v>2195</v>
      </c>
      <c r="C2203" s="3" t="s">
        <v>1068</v>
      </c>
      <c r="D2203" s="3"/>
      <c r="E2203" s="2" t="str">
        <f>HYPERLINK("https://old.ukr-mobil.com/akkumulyator_motorola_xt1548_fc40_10000493", "Перейти")</f>
        <v>Перейти</v>
      </c>
      <c r="F2203" s="2">
        <v>10000493</v>
      </c>
      <c r="G2203" s="4" t="s">
        <v>2335</v>
      </c>
      <c r="H2203" s="1">
        <v>2</v>
      </c>
      <c r="I2203" s="1">
        <v>0</v>
      </c>
      <c r="J2203" s="1">
        <v>0</v>
      </c>
      <c r="K2203" s="2">
        <v>5.5</v>
      </c>
    </row>
    <row r="2204" spans="1:12">
      <c r="A2204" s="3" t="s">
        <v>2194</v>
      </c>
      <c r="B2204" s="3" t="s">
        <v>2195</v>
      </c>
      <c r="C2204" s="3" t="s">
        <v>1068</v>
      </c>
      <c r="D2204" s="3"/>
      <c r="E2204" s="2" t="str">
        <f>HYPERLINK("https://old.ukr-mobil.com/akkumulyator_motorola_xt1562_moto_x_play_xt1563_x_play_fl40_3425mah_10761", "Перейти")</f>
        <v>Перейти</v>
      </c>
      <c r="F2204" s="2">
        <v>10761</v>
      </c>
      <c r="G2204" s="4" t="s">
        <v>2336</v>
      </c>
      <c r="H2204" s="1">
        <v>1</v>
      </c>
      <c r="I2204" s="1">
        <v>0</v>
      </c>
      <c r="J2204" s="1">
        <v>0</v>
      </c>
      <c r="K2204" s="2">
        <v>7.5</v>
      </c>
    </row>
    <row r="2205" spans="1:12">
      <c r="A2205" s="3" t="s">
        <v>2194</v>
      </c>
      <c r="B2205" s="3" t="s">
        <v>2195</v>
      </c>
      <c r="C2205" s="3" t="s">
        <v>1068</v>
      </c>
      <c r="D2205" s="3"/>
      <c r="E2205" s="2" t="str">
        <f>HYPERLINK("https://old.ukr-mobil.com/akkumulyator_motorola_xt1572_fx30_xt1575_xt1570_moto_x_style_moto_x_pure_edition_fx30_10000491", "Перейти")</f>
        <v>Перейти</v>
      </c>
      <c r="F2205" s="2">
        <v>10000491</v>
      </c>
      <c r="G2205" s="4" t="s">
        <v>2337</v>
      </c>
      <c r="H2205" s="1">
        <v>0</v>
      </c>
      <c r="I2205" s="1">
        <v>0</v>
      </c>
      <c r="J2205" s="1">
        <v>0</v>
      </c>
      <c r="K2205" s="2">
        <v>8.0</v>
      </c>
    </row>
    <row r="2206" spans="1:12">
      <c r="A2206" s="3" t="s">
        <v>2194</v>
      </c>
      <c r="B2206" s="3" t="s">
        <v>2195</v>
      </c>
      <c r="C2206" s="3" t="s">
        <v>1068</v>
      </c>
      <c r="D2206" s="3"/>
      <c r="E2206" s="2" t="str">
        <f>HYPERLINK("https://old.ukr-mobil.com/akkumulyator_motorola_xt1580_moto_x_force_fb55_3550_mah_12232", "Перейти")</f>
        <v>Перейти</v>
      </c>
      <c r="F2206" s="2">
        <v>12232</v>
      </c>
      <c r="G2206" s="4" t="s">
        <v>2338</v>
      </c>
      <c r="H2206" s="1">
        <v>0</v>
      </c>
      <c r="I2206" s="1">
        <v>0</v>
      </c>
      <c r="J2206" s="1">
        <v>0</v>
      </c>
      <c r="K2206" s="2">
        <v>7.5</v>
      </c>
    </row>
    <row r="2207" spans="1:12">
      <c r="A2207" s="3" t="s">
        <v>2194</v>
      </c>
      <c r="B2207" s="3" t="s">
        <v>2195</v>
      </c>
      <c r="C2207" s="3" t="s">
        <v>1068</v>
      </c>
      <c r="D2207" s="3"/>
      <c r="E2207" s="2" t="str">
        <f>HYPERLINK("https://old.ukr-mobil.com/akkumulyator_motorola_xt1580_moto_x_force_xt1585_droid_turbo_2_fb55_3550_mah_original_10001284", "Перейти")</f>
        <v>Перейти</v>
      </c>
      <c r="F2207" s="2">
        <v>10001284</v>
      </c>
      <c r="G2207" s="4" t="s">
        <v>2339</v>
      </c>
      <c r="H2207" s="1">
        <v>39</v>
      </c>
      <c r="I2207" s="1">
        <v>11</v>
      </c>
      <c r="J2207" s="1">
        <v>9</v>
      </c>
      <c r="K2207" s="2">
        <v>5.5</v>
      </c>
    </row>
    <row r="2208" spans="1:12">
      <c r="A2208" s="3" t="s">
        <v>2194</v>
      </c>
      <c r="B2208" s="3" t="s">
        <v>2195</v>
      </c>
      <c r="C2208" s="3" t="s">
        <v>1068</v>
      </c>
      <c r="D2208" s="3"/>
      <c r="E2208" s="2" t="str">
        <f>HYPERLINK("https://old.ukr-mobil.com/akkumulyator_motorola_xt1600_moto_g4_play_xt1601_moto_g4_play_xt1603_moto_g4_play_xt1607_moto_g4_play_xt1609_moto_g4_play_gk40_2800mah_10750", "Перейти")</f>
        <v>Перейти</v>
      </c>
      <c r="F2208" s="2">
        <v>10750</v>
      </c>
      <c r="G2208" s="4" t="s">
        <v>2340</v>
      </c>
      <c r="H2208" s="1">
        <v>0</v>
      </c>
      <c r="I2208" s="1">
        <v>0</v>
      </c>
      <c r="J2208" s="1">
        <v>0</v>
      </c>
      <c r="K2208" s="2">
        <v>7.0</v>
      </c>
    </row>
    <row r="2209" spans="1:12">
      <c r="A2209" s="3" t="s">
        <v>2194</v>
      </c>
      <c r="B2209" s="3" t="s">
        <v>2195</v>
      </c>
      <c r="C2209" s="3" t="s">
        <v>1068</v>
      </c>
      <c r="D2209" s="3"/>
      <c r="E2209" s="2" t="str">
        <f>HYPERLINK("https://old.ukr-mobil.com/akkumulyator_motorola_xt1640_moto_g4_plus_xt1641_moto_g4_plus_xt1642_moto_g4_plus_xt1643_moto_g4_plus_xt1644_moto_g4_plus_ga40_3000mah_10751", "Перейти")</f>
        <v>Перейти</v>
      </c>
      <c r="F2209" s="2">
        <v>10751</v>
      </c>
      <c r="G2209" s="4" t="s">
        <v>2341</v>
      </c>
      <c r="H2209" s="1">
        <v>0</v>
      </c>
      <c r="I2209" s="1">
        <v>0</v>
      </c>
      <c r="J2209" s="1">
        <v>0</v>
      </c>
      <c r="K2209" s="2">
        <v>6.0</v>
      </c>
    </row>
    <row r="2210" spans="1:12">
      <c r="A2210" s="3" t="s">
        <v>2194</v>
      </c>
      <c r="B2210" s="3" t="s">
        <v>2195</v>
      </c>
      <c r="C2210" s="3" t="s">
        <v>1068</v>
      </c>
      <c r="D2210" s="3"/>
      <c r="E2210" s="2" t="str">
        <f>HYPERLINK("https://old.ukr-mobil.com/akkumulyator_motorola_xt1640_moto_g4_plus_xt1641_moto_g4_plus_xt1642_moto_g4_plus_xt1643_moto_g4_plus_ga40_3000mah_original_prc_10001365", "Перейти")</f>
        <v>Перейти</v>
      </c>
      <c r="F2210" s="2">
        <v>10001365</v>
      </c>
      <c r="G2210" s="4" t="s">
        <v>2342</v>
      </c>
      <c r="H2210" s="1">
        <v>0</v>
      </c>
      <c r="I2210" s="1">
        <v>0</v>
      </c>
      <c r="J2210" s="1">
        <v>0</v>
      </c>
      <c r="K2210" s="2">
        <v>6.0</v>
      </c>
    </row>
    <row r="2211" spans="1:12">
      <c r="A2211" s="3" t="s">
        <v>2194</v>
      </c>
      <c r="B2211" s="3" t="s">
        <v>2195</v>
      </c>
      <c r="C2211" s="3" t="s">
        <v>1068</v>
      </c>
      <c r="D2211" s="3"/>
      <c r="E2211" s="2" t="str">
        <f>HYPERLINK("https://old.ukr-mobil.com/akkumulyator_motorola_xt1650-03_moto_z_gv30_2380_mah_10747", "Перейти")</f>
        <v>Перейти</v>
      </c>
      <c r="F2211" s="2">
        <v>10747</v>
      </c>
      <c r="G2211" s="4" t="s">
        <v>2343</v>
      </c>
      <c r="H2211" s="1">
        <v>1</v>
      </c>
      <c r="I2211" s="1">
        <v>0</v>
      </c>
      <c r="J2211" s="1">
        <v>0</v>
      </c>
      <c r="K2211" s="2">
        <v>4.0</v>
      </c>
    </row>
    <row r="2212" spans="1:12">
      <c r="A2212" s="3" t="s">
        <v>2194</v>
      </c>
      <c r="B2212" s="3" t="s">
        <v>2195</v>
      </c>
      <c r="C2212" s="3" t="s">
        <v>1068</v>
      </c>
      <c r="D2212" s="3"/>
      <c r="E2212" s="2" t="str">
        <f>HYPERLINK("https://old.ukr-mobil.com/akkumulyator_motorola_xt1650_moto_z_gv30_2380_mah_original_prc_10001364", "Перейти")</f>
        <v>Перейти</v>
      </c>
      <c r="F2212" s="2">
        <v>10001364</v>
      </c>
      <c r="G2212" s="4" t="s">
        <v>2344</v>
      </c>
      <c r="H2212" s="1">
        <v>0</v>
      </c>
      <c r="I2212" s="1">
        <v>0</v>
      </c>
      <c r="J2212" s="1">
        <v>0</v>
      </c>
      <c r="K2212" s="2">
        <v>9.0</v>
      </c>
    </row>
    <row r="2213" spans="1:12">
      <c r="A2213" s="3" t="s">
        <v>2194</v>
      </c>
      <c r="B2213" s="3" t="s">
        <v>2195</v>
      </c>
      <c r="C2213" s="3" t="s">
        <v>1068</v>
      </c>
      <c r="D2213" s="3"/>
      <c r="E2213" s="2" t="str">
        <f>HYPERLINK("https://old.ukr-mobil.com/akkumulyator_motorola_xt1685_moto_g5_plus_hg40_3000_mah_10748", "Перейти")</f>
        <v>Перейти</v>
      </c>
      <c r="F2213" s="2">
        <v>10748</v>
      </c>
      <c r="G2213" s="4" t="s">
        <v>2345</v>
      </c>
      <c r="H2213" s="1">
        <v>0</v>
      </c>
      <c r="I2213" s="1">
        <v>0</v>
      </c>
      <c r="J2213" s="1">
        <v>0</v>
      </c>
      <c r="K2213" s="2">
        <v>7.0</v>
      </c>
    </row>
    <row r="2214" spans="1:12">
      <c r="A2214" s="3" t="s">
        <v>2194</v>
      </c>
      <c r="B2214" s="3" t="s">
        <v>2195</v>
      </c>
      <c r="C2214" s="3" t="s">
        <v>1068</v>
      </c>
      <c r="D2214" s="3"/>
      <c r="E2214" s="2" t="str">
        <f>HYPERLINK("https://old.ukr-mobil.com/akkumulyator_motorola_xt1789_moto_z2_force_hd40_2730_mah_original_prc_10001785", "Перейти")</f>
        <v>Перейти</v>
      </c>
      <c r="F2214" s="2">
        <v>10001785</v>
      </c>
      <c r="G2214" s="4" t="s">
        <v>2346</v>
      </c>
      <c r="H2214" s="1">
        <v>1</v>
      </c>
      <c r="I2214" s="1">
        <v>3</v>
      </c>
      <c r="J2214" s="1">
        <v>5</v>
      </c>
      <c r="K2214" s="2">
        <v>4.0</v>
      </c>
    </row>
    <row r="2215" spans="1:12">
      <c r="A2215" s="3" t="s">
        <v>2194</v>
      </c>
      <c r="B2215" s="3" t="s">
        <v>2195</v>
      </c>
      <c r="C2215" s="3" t="s">
        <v>1068</v>
      </c>
      <c r="D2215" s="3"/>
      <c r="E2215" s="2" t="str">
        <f>HYPERLINK("https://old.ukr-mobil.com/akkumulyator_motorola_xt1926_moto_g6_plus_jt40_3200_mah_original_prc_10002701", "Перейти")</f>
        <v>Перейти</v>
      </c>
      <c r="F2215" s="2">
        <v>10002701</v>
      </c>
      <c r="G2215" s="4" t="s">
        <v>2347</v>
      </c>
      <c r="H2215" s="1">
        <v>17</v>
      </c>
      <c r="I2215" s="1">
        <v>4</v>
      </c>
      <c r="J2215" s="1">
        <v>4</v>
      </c>
      <c r="K2215" s="2">
        <v>4.5</v>
      </c>
    </row>
    <row r="2216" spans="1:12">
      <c r="A2216" s="3" t="s">
        <v>2194</v>
      </c>
      <c r="B2216" s="3" t="s">
        <v>2195</v>
      </c>
      <c r="C2216" s="3" t="s">
        <v>1068</v>
      </c>
      <c r="D2216" s="3"/>
      <c r="E2216" s="2" t="str">
        <f>HYPERLINK("https://old.ukr-mobil.com/akkumulyator_motorola_xt1929_moto_z3_play_js40_2800_mah_original_prc_10002700", "Перейти")</f>
        <v>Перейти</v>
      </c>
      <c r="F2216" s="2">
        <v>10002700</v>
      </c>
      <c r="G2216" s="4" t="s">
        <v>2348</v>
      </c>
      <c r="H2216" s="1">
        <v>0</v>
      </c>
      <c r="I2216" s="1">
        <v>0</v>
      </c>
      <c r="J2216" s="1">
        <v>0</v>
      </c>
      <c r="K2216" s="2">
        <v>7.0</v>
      </c>
    </row>
    <row r="2217" spans="1:12">
      <c r="A2217" s="3" t="s">
        <v>2194</v>
      </c>
      <c r="B2217" s="3" t="s">
        <v>2195</v>
      </c>
      <c r="C2217" s="3" t="s">
        <v>1068</v>
      </c>
      <c r="D2217" s="3"/>
      <c r="E2217" s="2" t="str">
        <f>HYPERLINK("https://old.ukr-mobil.com/akkumulyator_motorola_xt1962_xt1965_moto_g7_jg30_3000_mah_original_prc_10002304", "Перейти")</f>
        <v>Перейти</v>
      </c>
      <c r="F2217" s="2">
        <v>10002304</v>
      </c>
      <c r="G2217" s="4" t="s">
        <v>2349</v>
      </c>
      <c r="H2217" s="1">
        <v>17</v>
      </c>
      <c r="I2217" s="1">
        <v>5</v>
      </c>
      <c r="J2217" s="1">
        <v>5</v>
      </c>
      <c r="K2217" s="2">
        <v>4.5</v>
      </c>
    </row>
    <row r="2218" spans="1:12">
      <c r="A2218" s="3" t="s">
        <v>2194</v>
      </c>
      <c r="B2218" s="3" t="s">
        <v>2195</v>
      </c>
      <c r="C2218" s="3" t="s">
        <v>1086</v>
      </c>
      <c r="D2218" s="3"/>
      <c r="E2218" s="2" t="str">
        <f>HYPERLINK("https://old.ukr-mobil.com/akkumulyator_nokia_2_3_ta-1211_ta-1214_ta-1206_ta-1209_3_2_dual_sim_ta-1156_ta-1164_wt240_4000_mah_original_prc_10002681", "Перейти")</f>
        <v>Перейти</v>
      </c>
      <c r="F2218" s="2">
        <v>10002681</v>
      </c>
      <c r="G2218" s="4" t="s">
        <v>2350</v>
      </c>
      <c r="H2218" s="1">
        <v>6</v>
      </c>
      <c r="I2218" s="1">
        <v>0</v>
      </c>
      <c r="J2218" s="1">
        <v>2</v>
      </c>
      <c r="K2218" s="2">
        <v>5.0</v>
      </c>
    </row>
    <row r="2219" spans="1:12">
      <c r="A2219" s="3" t="s">
        <v>2194</v>
      </c>
      <c r="B2219" s="3" t="s">
        <v>2195</v>
      </c>
      <c r="C2219" s="3" t="s">
        <v>1086</v>
      </c>
      <c r="D2219" s="3"/>
      <c r="E2219" s="2" t="str">
        <f>HYPERLINK("https://old.ukr-mobil.com/akkumulyator_nokia_g10_ta-1334_ta-1351_g20_ta-1336_ta-1334_wt340_5000_mah_original_prc_10002965", "Перейти")</f>
        <v>Перейти</v>
      </c>
      <c r="F2219" s="2">
        <v>10002965</v>
      </c>
      <c r="G2219" s="4" t="s">
        <v>2351</v>
      </c>
      <c r="H2219" s="1">
        <v>0</v>
      </c>
      <c r="I2219" s="1">
        <v>0</v>
      </c>
      <c r="J2219" s="1">
        <v>1</v>
      </c>
      <c r="K2219" s="2">
        <v>6.5</v>
      </c>
    </row>
    <row r="2220" spans="1:12">
      <c r="A2220" s="3" t="s">
        <v>2194</v>
      </c>
      <c r="B2220" s="3" t="s">
        <v>2195</v>
      </c>
      <c r="C2220" s="3" t="s">
        <v>1090</v>
      </c>
      <c r="D2220" s="3"/>
      <c r="E2220" s="2" t="str">
        <f>HYPERLINK("https://old.ukr-mobil.com/akkumulyator_oneplus_5_oneplus_5t_blp637_3210_mah_original_prc_10001539", "Перейти")</f>
        <v>Перейти</v>
      </c>
      <c r="F2220" s="2">
        <v>10001539</v>
      </c>
      <c r="G2220" s="4" t="s">
        <v>2352</v>
      </c>
      <c r="H2220" s="1">
        <v>1</v>
      </c>
      <c r="I2220" s="1">
        <v>0</v>
      </c>
      <c r="J2220" s="1">
        <v>0</v>
      </c>
      <c r="K2220" s="2">
        <v>6.5</v>
      </c>
    </row>
    <row r="2221" spans="1:12">
      <c r="A2221" s="3" t="s">
        <v>2194</v>
      </c>
      <c r="B2221" s="3" t="s">
        <v>2195</v>
      </c>
      <c r="C2221" s="3" t="s">
        <v>1090</v>
      </c>
      <c r="D2221" s="3"/>
      <c r="E2221" s="2" t="str">
        <f>HYPERLINK("https://old.ukr-mobil.com/akkumulyator_oneplus_6_blp657_3210_mah_original_prc_10001540", "Перейти")</f>
        <v>Перейти</v>
      </c>
      <c r="F2221" s="2">
        <v>10001540</v>
      </c>
      <c r="G2221" s="4" t="s">
        <v>2353</v>
      </c>
      <c r="H2221" s="1">
        <v>5</v>
      </c>
      <c r="I2221" s="1">
        <v>0</v>
      </c>
      <c r="J2221" s="1">
        <v>0</v>
      </c>
      <c r="K2221" s="2">
        <v>7.0</v>
      </c>
    </row>
    <row r="2222" spans="1:12">
      <c r="A2222" s="3" t="s">
        <v>2194</v>
      </c>
      <c r="B2222" s="3" t="s">
        <v>2195</v>
      </c>
      <c r="C2222" s="3" t="s">
        <v>1090</v>
      </c>
      <c r="D2222" s="3"/>
      <c r="E2222" s="2" t="str">
        <f>HYPERLINK("https://old.ukr-mobil.com/akkumulyator_oneplus_6t_oneplus_7_blp685_3610_mah_original_prc_10001541", "Перейти")</f>
        <v>Перейти</v>
      </c>
      <c r="F2222" s="2">
        <v>10001541</v>
      </c>
      <c r="G2222" s="4" t="s">
        <v>2354</v>
      </c>
      <c r="H2222" s="1">
        <v>2</v>
      </c>
      <c r="I2222" s="1">
        <v>0</v>
      </c>
      <c r="J2222" s="1">
        <v>0</v>
      </c>
      <c r="K2222" s="2">
        <v>7.75</v>
      </c>
    </row>
    <row r="2223" spans="1:12">
      <c r="A2223" s="3" t="s">
        <v>2194</v>
      </c>
      <c r="B2223" s="3" t="s">
        <v>2195</v>
      </c>
      <c r="C2223" s="3" t="s">
        <v>1090</v>
      </c>
      <c r="D2223" s="3"/>
      <c r="E2223" s="2" t="str">
        <f>HYPERLINK("https://old.ukr-mobil.com/akkumulyator_oneplus_7t_blp743_3725_mah_original_prc_10001542", "Перейти")</f>
        <v>Перейти</v>
      </c>
      <c r="F2223" s="2">
        <v>10001542</v>
      </c>
      <c r="G2223" s="4" t="s">
        <v>2355</v>
      </c>
      <c r="H2223" s="1">
        <v>0</v>
      </c>
      <c r="I2223" s="1">
        <v>0</v>
      </c>
      <c r="J2223" s="1">
        <v>2</v>
      </c>
      <c r="K2223" s="2">
        <v>8.0</v>
      </c>
    </row>
    <row r="2224" spans="1:12">
      <c r="A2224" s="3" t="s">
        <v>2194</v>
      </c>
      <c r="B2224" s="3" t="s">
        <v>2195</v>
      </c>
      <c r="C2224" s="3" t="s">
        <v>1090</v>
      </c>
      <c r="D2224" s="3"/>
      <c r="E2224" s="2" t="str">
        <f>HYPERLINK("https://old.ukr-mobil.com/akkumulyator_oneplus_8_in2013_in2017_in2010_in2019_blp761_4230_mah_original_prc_10003491", "Перейти")</f>
        <v>Перейти</v>
      </c>
      <c r="F2224" s="2">
        <v>10003491</v>
      </c>
      <c r="G2224" s="4" t="s">
        <v>2356</v>
      </c>
      <c r="H2224" s="1">
        <v>1</v>
      </c>
      <c r="I2224" s="1">
        <v>0</v>
      </c>
      <c r="J2224" s="1">
        <v>0</v>
      </c>
      <c r="K2224" s="2">
        <v>13.0</v>
      </c>
    </row>
    <row r="2225" spans="1:12">
      <c r="A2225" s="3" t="s">
        <v>2194</v>
      </c>
      <c r="B2225" s="3" t="s">
        <v>2195</v>
      </c>
      <c r="C2225" s="3" t="s">
        <v>796</v>
      </c>
      <c r="D2225" s="3"/>
      <c r="E2225" s="2" t="str">
        <f>HYPERLINK("https://old.ukr-mobil.com/index.php?route=product&amp;product_id=10005235", "Перейти")</f>
        <v>Перейти</v>
      </c>
      <c r="F2225" s="2">
        <v>10005235</v>
      </c>
      <c r="G2225" s="4" t="s">
        <v>2357</v>
      </c>
      <c r="H2225" s="1">
        <v>6</v>
      </c>
      <c r="I2225" s="1">
        <v>4</v>
      </c>
      <c r="J2225" s="1">
        <v>1</v>
      </c>
      <c r="K2225" s="2">
        <v>5.0</v>
      </c>
    </row>
    <row r="2226" spans="1:12">
      <c r="A2226" s="3" t="s">
        <v>2194</v>
      </c>
      <c r="B2226" s="3" t="s">
        <v>2195</v>
      </c>
      <c r="C2226" s="3" t="s">
        <v>796</v>
      </c>
      <c r="D2226" s="3"/>
      <c r="E2226" s="2" t="str">
        <f>HYPERLINK("https://old.ukr-mobil.com/index.php?route=product&amp;product_id=10005252", "Перейти")</f>
        <v>Перейти</v>
      </c>
      <c r="F2226" s="2">
        <v>10005252</v>
      </c>
      <c r="G2226" s="4" t="s">
        <v>2358</v>
      </c>
      <c r="H2226" s="1">
        <v>4</v>
      </c>
      <c r="I2226" s="1">
        <v>3</v>
      </c>
      <c r="J2226" s="1">
        <v>3</v>
      </c>
      <c r="K2226" s="2">
        <v>5.5</v>
      </c>
    </row>
    <row r="2227" spans="1:12">
      <c r="A2227" s="3" t="s">
        <v>2194</v>
      </c>
      <c r="B2227" s="3" t="s">
        <v>2195</v>
      </c>
      <c r="C2227" s="3" t="s">
        <v>796</v>
      </c>
      <c r="D2227" s="3"/>
      <c r="E2227" s="2" t="str">
        <f>HYPERLINK("https://old.ukr-mobil.com/akkumulyator_oppo_a5_2020_a9_2020_blp727_5000_mah_original_prc_10001995", "Перейти")</f>
        <v>Перейти</v>
      </c>
      <c r="F2227" s="2">
        <v>10001995</v>
      </c>
      <c r="G2227" s="4" t="s">
        <v>2359</v>
      </c>
      <c r="H2227" s="1">
        <v>15</v>
      </c>
      <c r="I2227" s="1">
        <v>10</v>
      </c>
      <c r="J2227" s="1">
        <v>4</v>
      </c>
      <c r="K2227" s="2">
        <v>4.5</v>
      </c>
    </row>
    <row r="2228" spans="1:12">
      <c r="A2228" s="3" t="s">
        <v>2194</v>
      </c>
      <c r="B2228" s="3" t="s">
        <v>2195</v>
      </c>
      <c r="C2228" s="3" t="s">
        <v>796</v>
      </c>
      <c r="D2228" s="3"/>
      <c r="E2228" s="2" t="str">
        <f>HYPERLINK("https://old.ukr-mobil.com/akkumulyator_oppo_a52_a72_a92_blp781_5000_mah_original_prc_10001996", "Перейти")</f>
        <v>Перейти</v>
      </c>
      <c r="F2228" s="2">
        <v>10001996</v>
      </c>
      <c r="G2228" s="4" t="s">
        <v>2360</v>
      </c>
      <c r="H2228" s="1">
        <v>16</v>
      </c>
      <c r="I2228" s="1">
        <v>5</v>
      </c>
      <c r="J2228" s="1">
        <v>5</v>
      </c>
      <c r="K2228" s="2">
        <v>4.5</v>
      </c>
    </row>
    <row r="2229" spans="1:12">
      <c r="A2229" s="3" t="s">
        <v>2194</v>
      </c>
      <c r="B2229" s="3" t="s">
        <v>2195</v>
      </c>
      <c r="C2229" s="3" t="s">
        <v>796</v>
      </c>
      <c r="D2229" s="3"/>
      <c r="E2229" s="2" t="str">
        <f>HYPERLINK("https://old.ukr-mobil.com/akkumulyator_oppo_a74_4g_blp851_5000_mah_original_prc_10003492", "Перейти")</f>
        <v>Перейти</v>
      </c>
      <c r="F2229" s="2">
        <v>10003492</v>
      </c>
      <c r="G2229" s="4" t="s">
        <v>2361</v>
      </c>
      <c r="H2229" s="1">
        <v>16</v>
      </c>
      <c r="I2229" s="1">
        <v>2</v>
      </c>
      <c r="J2229" s="1">
        <v>6</v>
      </c>
      <c r="K2229" s="2">
        <v>8.0</v>
      </c>
    </row>
    <row r="2230" spans="1:12">
      <c r="A2230" s="3" t="s">
        <v>2194</v>
      </c>
      <c r="B2230" s="3" t="s">
        <v>2195</v>
      </c>
      <c r="C2230" s="3" t="s">
        <v>796</v>
      </c>
      <c r="D2230" s="3"/>
      <c r="E2230" s="2" t="str">
        <f>HYPERLINK("https://old.ukr-mobil.com/index.php?route=product&amp;product_id=10005250", "Перейти")</f>
        <v>Перейти</v>
      </c>
      <c r="F2230" s="2">
        <v>10005250</v>
      </c>
      <c r="G2230" s="4" t="s">
        <v>2362</v>
      </c>
      <c r="H2230" s="1">
        <v>0</v>
      </c>
      <c r="I2230" s="1">
        <v>0</v>
      </c>
      <c r="J2230" s="1">
        <v>1</v>
      </c>
      <c r="K2230" s="2">
        <v>6.5</v>
      </c>
    </row>
    <row r="2231" spans="1:12">
      <c r="A2231" s="3" t="s">
        <v>2194</v>
      </c>
      <c r="B2231" s="3" t="s">
        <v>2195</v>
      </c>
      <c r="C2231" s="3" t="s">
        <v>796</v>
      </c>
      <c r="D2231" s="3"/>
      <c r="E2231" s="2" t="str">
        <f>HYPERLINK("https://old.ukr-mobil.com/akkumulyator_oppo_realme_5_realme_5s_realme_c3_blp729_5000_mah_original_prc_10003493", "Перейти")</f>
        <v>Перейти</v>
      </c>
      <c r="F2231" s="2">
        <v>10003493</v>
      </c>
      <c r="G2231" s="4" t="s">
        <v>2363</v>
      </c>
      <c r="H2231" s="1">
        <v>0</v>
      </c>
      <c r="I2231" s="1">
        <v>0</v>
      </c>
      <c r="J2231" s="1">
        <v>0</v>
      </c>
      <c r="K2231" s="2">
        <v>8.0</v>
      </c>
    </row>
    <row r="2232" spans="1:12">
      <c r="A2232" s="3" t="s">
        <v>2194</v>
      </c>
      <c r="B2232" s="3" t="s">
        <v>2195</v>
      </c>
      <c r="C2232" s="3" t="s">
        <v>796</v>
      </c>
      <c r="D2232" s="3"/>
      <c r="E2232" s="2" t="str">
        <f>HYPERLINK("https://old.ukr-mobil.com/akkumulyator_oppo_realme_6_realme_6_pro_realme_6s_blp757_4300_mah_original_prc_10001997", "Перейти")</f>
        <v>Перейти</v>
      </c>
      <c r="F2232" s="2">
        <v>10001997</v>
      </c>
      <c r="G2232" s="4" t="s">
        <v>2364</v>
      </c>
      <c r="H2232" s="1">
        <v>1</v>
      </c>
      <c r="I2232" s="1">
        <v>0</v>
      </c>
      <c r="J2232" s="1">
        <v>0</v>
      </c>
      <c r="K2232" s="2">
        <v>7.0</v>
      </c>
    </row>
    <row r="2233" spans="1:12">
      <c r="A2233" s="3" t="s">
        <v>2194</v>
      </c>
      <c r="B2233" s="3" t="s">
        <v>2195</v>
      </c>
      <c r="C2233" s="3" t="s">
        <v>796</v>
      </c>
      <c r="D2233" s="3"/>
      <c r="E2233" s="2" t="str">
        <f>HYPERLINK("https://old.ukr-mobil.com/akkumulyator_oppo_realme_7i_realme_c11_realme_c17_blp803_5000_mah_original_prc_10003494", "Перейти")</f>
        <v>Перейти</v>
      </c>
      <c r="F2233" s="2">
        <v>10003494</v>
      </c>
      <c r="G2233" s="4" t="s">
        <v>2365</v>
      </c>
      <c r="H2233" s="1">
        <v>18</v>
      </c>
      <c r="I2233" s="1">
        <v>7</v>
      </c>
      <c r="J2233" s="1">
        <v>4</v>
      </c>
      <c r="K2233" s="2">
        <v>6.0</v>
      </c>
    </row>
    <row r="2234" spans="1:12">
      <c r="A2234" s="3" t="s">
        <v>2194</v>
      </c>
      <c r="B2234" s="3" t="s">
        <v>2195</v>
      </c>
      <c r="C2234" s="3" t="s">
        <v>796</v>
      </c>
      <c r="D2234" s="3"/>
      <c r="E2234" s="2" t="str">
        <f>HYPERLINK("https://old.ukr-mobil.com/index.php?route=product&amp;product_id=10005232", "Перейти")</f>
        <v>Перейти</v>
      </c>
      <c r="F2234" s="2">
        <v>10005232</v>
      </c>
      <c r="G2234" s="4" t="s">
        <v>2366</v>
      </c>
      <c r="H2234" s="1">
        <v>6</v>
      </c>
      <c r="I2234" s="1">
        <v>4</v>
      </c>
      <c r="J2234" s="1">
        <v>3</v>
      </c>
      <c r="K2234" s="2">
        <v>8.0</v>
      </c>
    </row>
    <row r="2235" spans="1:12">
      <c r="A2235" s="3" t="s">
        <v>2194</v>
      </c>
      <c r="B2235" s="3" t="s">
        <v>2195</v>
      </c>
      <c r="C2235" s="3" t="s">
        <v>796</v>
      </c>
      <c r="D2235" s="3"/>
      <c r="E2235" s="2" t="str">
        <f>HYPERLINK("https://old.ukr-mobil.com/index.php?route=product&amp;product_id=10005233", "Перейти")</f>
        <v>Перейти</v>
      </c>
      <c r="F2235" s="2">
        <v>10005233</v>
      </c>
      <c r="G2235" s="4" t="s">
        <v>2367</v>
      </c>
      <c r="H2235" s="1">
        <v>0</v>
      </c>
      <c r="I2235" s="1">
        <v>3</v>
      </c>
      <c r="J2235" s="1">
        <v>1</v>
      </c>
      <c r="K2235" s="2">
        <v>6.5</v>
      </c>
    </row>
    <row r="2236" spans="1:12">
      <c r="A2236" s="3" t="s">
        <v>2194</v>
      </c>
      <c r="B2236" s="3" t="s">
        <v>2195</v>
      </c>
      <c r="C2236" s="3" t="s">
        <v>796</v>
      </c>
      <c r="D2236" s="3"/>
      <c r="E2236" s="2" t="str">
        <f>HYPERLINK("https://old.ukr-mobil.com/index.php?route=product&amp;product_id=10005234", "Перейти")</f>
        <v>Перейти</v>
      </c>
      <c r="F2236" s="2">
        <v>10005234</v>
      </c>
      <c r="G2236" s="4" t="s">
        <v>2368</v>
      </c>
      <c r="H2236" s="1">
        <v>0</v>
      </c>
      <c r="I2236" s="1">
        <v>0</v>
      </c>
      <c r="J2236" s="1">
        <v>0</v>
      </c>
      <c r="K2236" s="2">
        <v>7.0</v>
      </c>
    </row>
    <row r="2237" spans="1:12">
      <c r="A2237" s="3" t="s">
        <v>2194</v>
      </c>
      <c r="B2237" s="3" t="s">
        <v>2195</v>
      </c>
      <c r="C2237" s="3" t="s">
        <v>796</v>
      </c>
      <c r="D2237" s="3"/>
      <c r="E2237" s="2" t="str">
        <f>HYPERLINK("https://old.ukr-mobil.com/akkumulyator_oppo_realme_c12_blp793_6000_mah_original_prc_10002966", "Перейти")</f>
        <v>Перейти</v>
      </c>
      <c r="F2237" s="2">
        <v>10002966</v>
      </c>
      <c r="G2237" s="4" t="s">
        <v>2369</v>
      </c>
      <c r="H2237" s="1">
        <v>38</v>
      </c>
      <c r="I2237" s="1">
        <v>9</v>
      </c>
      <c r="J2237" s="1">
        <v>10</v>
      </c>
      <c r="K2237" s="2">
        <v>5.0</v>
      </c>
    </row>
    <row r="2238" spans="1:12">
      <c r="A2238" s="3" t="s">
        <v>2194</v>
      </c>
      <c r="B2238" s="3" t="s">
        <v>2195</v>
      </c>
      <c r="C2238" s="3" t="s">
        <v>653</v>
      </c>
      <c r="D2238" s="3"/>
      <c r="E2238" s="2" t="str">
        <f>HYPERLINK("https://old.ukr-mobil.com/index.php?route=product&amp;product_id=10005196", "Перейти")</f>
        <v>Перейти</v>
      </c>
      <c r="F2238" s="2">
        <v>10005196</v>
      </c>
      <c r="G2238" s="4" t="s">
        <v>2370</v>
      </c>
      <c r="H2238" s="1">
        <v>59</v>
      </c>
      <c r="I2238" s="1">
        <v>15</v>
      </c>
      <c r="J2238" s="1">
        <v>15</v>
      </c>
      <c r="K2238" s="2">
        <v>3.0</v>
      </c>
    </row>
    <row r="2239" spans="1:12">
      <c r="A2239" s="3" t="s">
        <v>2194</v>
      </c>
      <c r="B2239" s="3" t="s">
        <v>2195</v>
      </c>
      <c r="C2239" s="3" t="s">
        <v>653</v>
      </c>
      <c r="D2239" s="3"/>
      <c r="E2239" s="2" t="str">
        <f>HYPERLINK("https://old.ukr-mobil.com/akkumulyator_samsung_a015_galaxy_a01_ql1695_3000mah_original_prc_10001972", "Перейти")</f>
        <v>Перейти</v>
      </c>
      <c r="F2239" s="2">
        <v>10001972</v>
      </c>
      <c r="G2239" s="4" t="s">
        <v>2371</v>
      </c>
      <c r="H2239" s="1">
        <v>0</v>
      </c>
      <c r="I2239" s="1">
        <v>0</v>
      </c>
      <c r="J2239" s="1">
        <v>0</v>
      </c>
      <c r="K2239" s="2">
        <v>6.0</v>
      </c>
    </row>
    <row r="2240" spans="1:12">
      <c r="A2240" s="3" t="s">
        <v>2194</v>
      </c>
      <c r="B2240" s="3" t="s">
        <v>2195</v>
      </c>
      <c r="C2240" s="3" t="s">
        <v>653</v>
      </c>
      <c r="D2240" s="3"/>
      <c r="E2240" s="2" t="str">
        <f>HYPERLINK("https://old.ukr-mobil.com/akkumulyator_samsung_a217_galaxy_a21s_eb-ba217aby_5000_mah_original_prc_10001973", "Перейти")</f>
        <v>Перейти</v>
      </c>
      <c r="F2240" s="2">
        <v>10001973</v>
      </c>
      <c r="G2240" s="4" t="s">
        <v>2372</v>
      </c>
      <c r="H2240" s="1">
        <v>0</v>
      </c>
      <c r="I2240" s="1">
        <v>0</v>
      </c>
      <c r="J2240" s="1">
        <v>0</v>
      </c>
      <c r="K2240" s="2">
        <v>4.5</v>
      </c>
    </row>
    <row r="2241" spans="1:12">
      <c r="A2241" s="3" t="s">
        <v>2194</v>
      </c>
      <c r="B2241" s="3" t="s">
        <v>2195</v>
      </c>
      <c r="C2241" s="3" t="s">
        <v>653</v>
      </c>
      <c r="D2241" s="3"/>
      <c r="E2241" s="2" t="str">
        <f>HYPERLINK("https://old.ukr-mobil.com/akkumulyator_samsung_a025_galaxy_a02s_hq-50s_5000_mah_original_prc_10002679", "Перейти")</f>
        <v>Перейти</v>
      </c>
      <c r="F2241" s="2">
        <v>10002679</v>
      </c>
      <c r="G2241" s="4" t="s">
        <v>2373</v>
      </c>
      <c r="H2241" s="1">
        <v>0</v>
      </c>
      <c r="I2241" s="1">
        <v>1</v>
      </c>
      <c r="J2241" s="1">
        <v>0</v>
      </c>
      <c r="K2241" s="2">
        <v>4.0</v>
      </c>
    </row>
    <row r="2242" spans="1:12">
      <c r="A2242" s="3" t="s">
        <v>2194</v>
      </c>
      <c r="B2242" s="3" t="s">
        <v>2195</v>
      </c>
      <c r="C2242" s="3" t="s">
        <v>653</v>
      </c>
      <c r="D2242" s="3"/>
      <c r="E2242" s="2" t="str">
        <f>HYPERLINK("https://old.ukr-mobil.com/akkumulyator_samsung_a105_galaxy_a10_2019_a750_galaxy_a7_2018_m105_galaxy_m10_eb-ba750abu_3300mah_10000346", "Перейти")</f>
        <v>Перейти</v>
      </c>
      <c r="F2242" s="2">
        <v>10000346</v>
      </c>
      <c r="G2242" s="4" t="s">
        <v>2374</v>
      </c>
      <c r="H2242" s="1">
        <v>0</v>
      </c>
      <c r="I2242" s="1">
        <v>0</v>
      </c>
      <c r="J2242" s="1">
        <v>0</v>
      </c>
      <c r="K2242" s="2">
        <v>5.0</v>
      </c>
    </row>
    <row r="2243" spans="1:12">
      <c r="A2243" s="3" t="s">
        <v>2194</v>
      </c>
      <c r="B2243" s="3" t="s">
        <v>2195</v>
      </c>
      <c r="C2243" s="3" t="s">
        <v>653</v>
      </c>
      <c r="D2243" s="3"/>
      <c r="E2243" s="2" t="str">
        <f>HYPERLINK("https://old.ukr-mobil.com/akkumulyator_samsung_a105_galaxy_a10_2019_a750_galaxy_a7_2018_m105_galaxy_m10_eb-ba750abu_3300mah_original_prc_10001348", "Перейти")</f>
        <v>Перейти</v>
      </c>
      <c r="F2243" s="2">
        <v>10001348</v>
      </c>
      <c r="G2243" s="4" t="s">
        <v>2375</v>
      </c>
      <c r="H2243" s="1">
        <v>2</v>
      </c>
      <c r="I2243" s="1">
        <v>0</v>
      </c>
      <c r="J2243" s="1">
        <v>0</v>
      </c>
      <c r="K2243" s="2">
        <v>5.0</v>
      </c>
    </row>
    <row r="2244" spans="1:12">
      <c r="A2244" s="3" t="s">
        <v>2194</v>
      </c>
      <c r="B2244" s="3" t="s">
        <v>2195</v>
      </c>
      <c r="C2244" s="3" t="s">
        <v>653</v>
      </c>
      <c r="D2244" s="3"/>
      <c r="E2244" s="2" t="str">
        <f>HYPERLINK("https://old.ukr-mobil.com/akkumulyator_samsung_a107_galaxy_a10s_a207_galaxy_a20s_scud-wt-n6_4000mah_10000748", "Перейти")</f>
        <v>Перейти</v>
      </c>
      <c r="F2244" s="2">
        <v>10000748</v>
      </c>
      <c r="G2244" s="4" t="s">
        <v>2376</v>
      </c>
      <c r="H2244" s="1">
        <v>0</v>
      </c>
      <c r="I2244" s="1">
        <v>0</v>
      </c>
      <c r="J2244" s="1">
        <v>0</v>
      </c>
      <c r="K2244" s="2">
        <v>6.35</v>
      </c>
    </row>
    <row r="2245" spans="1:12">
      <c r="A2245" s="3" t="s">
        <v>2194</v>
      </c>
      <c r="B2245" s="3" t="s">
        <v>2195</v>
      </c>
      <c r="C2245" s="3" t="s">
        <v>653</v>
      </c>
      <c r="D2245" s="3"/>
      <c r="E2245" s="2" t="str">
        <f>HYPERLINK("https://old.ukr-mobil.com/akkumulyator_samsung_a107_galaxy_a10s_a207_galaxy_a20s_scud-wt-n6_4000_mah_original_prc_10001361", "Перейти")</f>
        <v>Перейти</v>
      </c>
      <c r="F2245" s="2">
        <v>10001361</v>
      </c>
      <c r="G2245" s="4" t="s">
        <v>2377</v>
      </c>
      <c r="H2245" s="1">
        <v>5</v>
      </c>
      <c r="I2245" s="1">
        <v>8</v>
      </c>
      <c r="J2245" s="1">
        <v>19</v>
      </c>
      <c r="K2245" s="2">
        <v>5.0</v>
      </c>
    </row>
    <row r="2246" spans="1:12">
      <c r="A2246" s="3" t="s">
        <v>2194</v>
      </c>
      <c r="B2246" s="3" t="s">
        <v>2195</v>
      </c>
      <c r="C2246" s="3" t="s">
        <v>653</v>
      </c>
      <c r="D2246" s="3"/>
      <c r="E2246" s="2" t="str">
        <f>HYPERLINK("https://old.ukr-mobil.com/akkumulyator_samsung_a115_galaxy_a11_hq-70n_4000mah_original_prc_10001971", "Перейти")</f>
        <v>Перейти</v>
      </c>
      <c r="F2246" s="2">
        <v>10001971</v>
      </c>
      <c r="G2246" s="4" t="s">
        <v>2378</v>
      </c>
      <c r="H2246" s="1">
        <v>13</v>
      </c>
      <c r="I2246" s="1">
        <v>3</v>
      </c>
      <c r="J2246" s="1">
        <v>6</v>
      </c>
      <c r="K2246" s="2">
        <v>5.0</v>
      </c>
    </row>
    <row r="2247" spans="1:12">
      <c r="A2247" s="3" t="s">
        <v>2194</v>
      </c>
      <c r="B2247" s="3" t="s">
        <v>2195</v>
      </c>
      <c r="C2247" s="3" t="s">
        <v>653</v>
      </c>
      <c r="D2247" s="3"/>
      <c r="E2247" s="2" t="str">
        <f>HYPERLINK("https://old.ukr-mobil.com/akkumulyator_samsung_a202_galaxy_a20e_eb-ba202abu_3000mah_10000968", "Перейти")</f>
        <v>Перейти</v>
      </c>
      <c r="F2247" s="2">
        <v>10000968</v>
      </c>
      <c r="G2247" s="4" t="s">
        <v>2379</v>
      </c>
      <c r="H2247" s="1">
        <v>1</v>
      </c>
      <c r="I2247" s="1">
        <v>7</v>
      </c>
      <c r="J2247" s="1">
        <v>4</v>
      </c>
      <c r="K2247" s="2">
        <v>5.0</v>
      </c>
    </row>
    <row r="2248" spans="1:12">
      <c r="A2248" s="3" t="s">
        <v>2194</v>
      </c>
      <c r="B2248" s="3" t="s">
        <v>2195</v>
      </c>
      <c r="C2248" s="3" t="s">
        <v>653</v>
      </c>
      <c r="D2248" s="3"/>
      <c r="E2248" s="2" t="str">
        <f>HYPERLINK("https://old.ukr-mobil.com/akkumulyator_samsung_a305_galaxy_a30_a307_galaxy_a30s_a505_galaxy_a50_2019_eb-ba505abn_4000mah_10000345", "Перейти")</f>
        <v>Перейти</v>
      </c>
      <c r="F2248" s="2">
        <v>10000345</v>
      </c>
      <c r="G2248" s="4" t="s">
        <v>2380</v>
      </c>
      <c r="H2248" s="1">
        <v>2</v>
      </c>
      <c r="I2248" s="1">
        <v>0</v>
      </c>
      <c r="J2248" s="1">
        <v>0</v>
      </c>
      <c r="K2248" s="2">
        <v>6.0</v>
      </c>
    </row>
    <row r="2249" spans="1:12">
      <c r="A2249" s="3" t="s">
        <v>2194</v>
      </c>
      <c r="B2249" s="3" t="s">
        <v>2195</v>
      </c>
      <c r="C2249" s="3" t="s">
        <v>653</v>
      </c>
      <c r="D2249" s="3"/>
      <c r="E2249" s="2" t="str">
        <f>HYPERLINK("https://old.ukr-mobil.com/akkumulyator_samsung_a205_a20_a305_a30_a307_a30s_a505_galaxy_a50_eb-ba505abu_4000mah_original_prc_10001349", "Перейти")</f>
        <v>Перейти</v>
      </c>
      <c r="F2249" s="2">
        <v>10001349</v>
      </c>
      <c r="G2249" s="4" t="s">
        <v>2381</v>
      </c>
      <c r="H2249" s="1">
        <v>6</v>
      </c>
      <c r="I2249" s="1">
        <v>0</v>
      </c>
      <c r="J2249" s="1">
        <v>0</v>
      </c>
      <c r="K2249" s="2">
        <v>6.5</v>
      </c>
    </row>
    <row r="2250" spans="1:12">
      <c r="A2250" s="3" t="s">
        <v>2194</v>
      </c>
      <c r="B2250" s="3" t="s">
        <v>2195</v>
      </c>
      <c r="C2250" s="3" t="s">
        <v>653</v>
      </c>
      <c r="D2250" s="3"/>
      <c r="E2250" s="2" t="str">
        <f>HYPERLINK("https://old.ukr-mobil.com/index.php?route=product&amp;product_id=10005195", "Перейти")</f>
        <v>Перейти</v>
      </c>
      <c r="F2250" s="2">
        <v>10005195</v>
      </c>
      <c r="G2250" s="4" t="s">
        <v>2382</v>
      </c>
      <c r="H2250" s="1">
        <v>46</v>
      </c>
      <c r="I2250" s="1">
        <v>19</v>
      </c>
      <c r="J2250" s="1">
        <v>10</v>
      </c>
      <c r="K2250" s="2">
        <v>5.0</v>
      </c>
    </row>
    <row r="2251" spans="1:12">
      <c r="A2251" s="3" t="s">
        <v>2194</v>
      </c>
      <c r="B2251" s="3" t="s">
        <v>2195</v>
      </c>
      <c r="C2251" s="3" t="s">
        <v>653</v>
      </c>
      <c r="D2251" s="3"/>
      <c r="E2251" s="2" t="str">
        <f>HYPERLINK("https://old.ukr-mobil.com/index.php?route=product&amp;product_id=10005194", "Перейти")</f>
        <v>Перейти</v>
      </c>
      <c r="F2251" s="2">
        <v>10005194</v>
      </c>
      <c r="G2251" s="4" t="s">
        <v>2383</v>
      </c>
      <c r="H2251" s="1">
        <v>14</v>
      </c>
      <c r="I2251" s="1">
        <v>3</v>
      </c>
      <c r="J2251" s="1">
        <v>5</v>
      </c>
      <c r="K2251" s="2">
        <v>5.0</v>
      </c>
    </row>
    <row r="2252" spans="1:12">
      <c r="A2252" s="3" t="s">
        <v>2194</v>
      </c>
      <c r="B2252" s="3" t="s">
        <v>2195</v>
      </c>
      <c r="C2252" s="3" t="s">
        <v>653</v>
      </c>
      <c r="D2252" s="3"/>
      <c r="E2252" s="2" t="str">
        <f>HYPERLINK("https://old.ukr-mobil.com/akkumulyator_samsung_a315_galaxy_a31_eb-ba315aby_5000_mah_original_prc_10002000", "Перейти")</f>
        <v>Перейти</v>
      </c>
      <c r="F2252" s="2">
        <v>10002000</v>
      </c>
      <c r="G2252" s="4" t="s">
        <v>2384</v>
      </c>
      <c r="H2252" s="1">
        <v>21</v>
      </c>
      <c r="I2252" s="1">
        <v>6</v>
      </c>
      <c r="J2252" s="1">
        <v>6</v>
      </c>
      <c r="K2252" s="2">
        <v>5.5</v>
      </c>
    </row>
    <row r="2253" spans="1:12">
      <c r="A2253" s="3" t="s">
        <v>2194</v>
      </c>
      <c r="B2253" s="3" t="s">
        <v>2195</v>
      </c>
      <c r="C2253" s="3" t="s">
        <v>653</v>
      </c>
      <c r="D2253" s="3"/>
      <c r="E2253" s="2" t="str">
        <f>HYPERLINK("https://old.ukr-mobil.com/akkumulyator_samsung_a325_galaxy_a32_5g_a426_galaxy_a42_5g_a725_galaxy_a72_eb-ba426aby_5000mah_original_prc_10002967", "Перейти")</f>
        <v>Перейти</v>
      </c>
      <c r="F2253" s="2">
        <v>10002967</v>
      </c>
      <c r="G2253" s="4" t="s">
        <v>2385</v>
      </c>
      <c r="H2253" s="1">
        <v>26</v>
      </c>
      <c r="I2253" s="1">
        <v>4</v>
      </c>
      <c r="J2253" s="1">
        <v>0</v>
      </c>
      <c r="K2253" s="2">
        <v>5.0</v>
      </c>
    </row>
    <row r="2254" spans="1:12">
      <c r="A2254" s="3" t="s">
        <v>2194</v>
      </c>
      <c r="B2254" s="3" t="s">
        <v>2195</v>
      </c>
      <c r="C2254" s="3" t="s">
        <v>653</v>
      </c>
      <c r="D2254" s="3"/>
      <c r="E2254" s="2" t="str">
        <f>HYPERLINK("https://old.ukr-mobil.com/index.php?route=product&amp;product_id=10005200", "Перейти")</f>
        <v>Перейти</v>
      </c>
      <c r="F2254" s="2">
        <v>10005200</v>
      </c>
      <c r="G2254" s="4" t="s">
        <v>2386</v>
      </c>
      <c r="H2254" s="1">
        <v>0</v>
      </c>
      <c r="I2254" s="1">
        <v>0</v>
      </c>
      <c r="J2254" s="1">
        <v>0</v>
      </c>
      <c r="K2254" s="2">
        <v>9.35</v>
      </c>
    </row>
    <row r="2255" spans="1:12">
      <c r="A2255" s="3" t="s">
        <v>2194</v>
      </c>
      <c r="B2255" s="3" t="s">
        <v>2195</v>
      </c>
      <c r="C2255" s="3" t="s">
        <v>653</v>
      </c>
      <c r="D2255" s="3"/>
      <c r="E2255" s="2" t="str">
        <f>HYPERLINK("https://old.ukr-mobil.com/akkumulyator_samsung_a500_galaxy_a5_bms6380_2300mah_7993", "Перейти")</f>
        <v>Перейти</v>
      </c>
      <c r="F2255" s="2">
        <v>7993</v>
      </c>
      <c r="G2255" s="4" t="s">
        <v>2387</v>
      </c>
      <c r="H2255" s="1">
        <v>0</v>
      </c>
      <c r="I2255" s="1">
        <v>0</v>
      </c>
      <c r="J2255" s="1">
        <v>0</v>
      </c>
      <c r="K2255" s="2">
        <v>4.5</v>
      </c>
    </row>
    <row r="2256" spans="1:12">
      <c r="A2256" s="3" t="s">
        <v>2194</v>
      </c>
      <c r="B2256" s="3" t="s">
        <v>2195</v>
      </c>
      <c r="C2256" s="3" t="s">
        <v>653</v>
      </c>
      <c r="D2256" s="3"/>
      <c r="E2256" s="2" t="str">
        <f>HYPERLINK("https://old.ukr-mobil.com/akkumulyator_samsung_a500_galaxy_a5_ba500abe_2300mah_original_prc_10001351", "Перейти")</f>
        <v>Перейти</v>
      </c>
      <c r="F2256" s="2">
        <v>10001351</v>
      </c>
      <c r="G2256" s="4" t="s">
        <v>2388</v>
      </c>
      <c r="H2256" s="1">
        <v>11</v>
      </c>
      <c r="I2256" s="1">
        <v>6</v>
      </c>
      <c r="J2256" s="1">
        <v>2</v>
      </c>
      <c r="K2256" s="2">
        <v>4.85</v>
      </c>
    </row>
    <row r="2257" spans="1:12">
      <c r="A2257" s="3" t="s">
        <v>2194</v>
      </c>
      <c r="B2257" s="3" t="s">
        <v>2195</v>
      </c>
      <c r="C2257" s="3" t="s">
        <v>653</v>
      </c>
      <c r="D2257" s="3"/>
      <c r="E2257" s="2" t="str">
        <f>HYPERLINK("https://old.ukr-mobil.com/akkumulyator_samsung_a515_galaxy_a51_eb-ba515aby_4000_mah_original_prc_10001974", "Перейти")</f>
        <v>Перейти</v>
      </c>
      <c r="F2257" s="2">
        <v>10001974</v>
      </c>
      <c r="G2257" s="4" t="s">
        <v>2389</v>
      </c>
      <c r="H2257" s="1">
        <v>0</v>
      </c>
      <c r="I2257" s="1">
        <v>0</v>
      </c>
      <c r="J2257" s="1">
        <v>0</v>
      </c>
      <c r="K2257" s="2">
        <v>5.0</v>
      </c>
    </row>
    <row r="2258" spans="1:12">
      <c r="A2258" s="3" t="s">
        <v>2194</v>
      </c>
      <c r="B2258" s="3" t="s">
        <v>2195</v>
      </c>
      <c r="C2258" s="3" t="s">
        <v>653</v>
      </c>
      <c r="D2258" s="3"/>
      <c r="E2258" s="2" t="str">
        <f>HYPERLINK("https://old.ukr-mobil.com/index.php?route=product&amp;product_id=10005193", "Перейти")</f>
        <v>Перейти</v>
      </c>
      <c r="F2258" s="2">
        <v>10005193</v>
      </c>
      <c r="G2258" s="4" t="s">
        <v>2390</v>
      </c>
      <c r="H2258" s="1">
        <v>0</v>
      </c>
      <c r="I2258" s="1">
        <v>0</v>
      </c>
      <c r="J2258" s="1">
        <v>1</v>
      </c>
      <c r="K2258" s="2">
        <v>7.5</v>
      </c>
    </row>
    <row r="2259" spans="1:12">
      <c r="A2259" s="3" t="s">
        <v>2194</v>
      </c>
      <c r="B2259" s="3" t="s">
        <v>2195</v>
      </c>
      <c r="C2259" s="3" t="s">
        <v>653</v>
      </c>
      <c r="D2259" s="3"/>
      <c r="E2259" s="2" t="str">
        <f>HYPERLINK("https://old.ukr-mobil.com/akkumulyator_samsung_a605_galaxy_a6_plus_j810_galaxy_j8_eb-bj805abe_3500_mah_10000976", "Перейти")</f>
        <v>Перейти</v>
      </c>
      <c r="F2259" s="2">
        <v>10000976</v>
      </c>
      <c r="G2259" s="4" t="s">
        <v>2391</v>
      </c>
      <c r="H2259" s="1">
        <v>0</v>
      </c>
      <c r="I2259" s="1">
        <v>0</v>
      </c>
      <c r="J2259" s="1">
        <v>0</v>
      </c>
      <c r="K2259" s="2">
        <v>7.5</v>
      </c>
    </row>
    <row r="2260" spans="1:12">
      <c r="A2260" s="3" t="s">
        <v>2194</v>
      </c>
      <c r="B2260" s="3" t="s">
        <v>2195</v>
      </c>
      <c r="C2260" s="3" t="s">
        <v>653</v>
      </c>
      <c r="D2260" s="3"/>
      <c r="E2260" s="2" t="str">
        <f>HYPERLINK("https://old.ukr-mobil.com/akkumulyator_samsung_a606_galaxy_a60_eb-ba606abu_3500mah_10000969", "Перейти")</f>
        <v>Перейти</v>
      </c>
      <c r="F2260" s="2">
        <v>10000969</v>
      </c>
      <c r="G2260" s="4" t="s">
        <v>2392</v>
      </c>
      <c r="H2260" s="1">
        <v>0</v>
      </c>
      <c r="I2260" s="1">
        <v>0</v>
      </c>
      <c r="J2260" s="1">
        <v>1</v>
      </c>
      <c r="K2260" s="2">
        <v>8.0</v>
      </c>
    </row>
    <row r="2261" spans="1:12">
      <c r="A2261" s="3" t="s">
        <v>2194</v>
      </c>
      <c r="B2261" s="3" t="s">
        <v>2195</v>
      </c>
      <c r="C2261" s="3" t="s">
        <v>653</v>
      </c>
      <c r="D2261" s="3"/>
      <c r="E2261" s="2" t="str">
        <f>HYPERLINK("https://old.ukr-mobil.com/akkumulyator_samsung_a700_galaxy_a7_eb-ba700abe_2600mah_7994", "Перейти")</f>
        <v>Перейти</v>
      </c>
      <c r="F2261" s="2">
        <v>7994</v>
      </c>
      <c r="G2261" s="4" t="s">
        <v>2393</v>
      </c>
      <c r="H2261" s="1">
        <v>0</v>
      </c>
      <c r="I2261" s="1">
        <v>1</v>
      </c>
      <c r="J2261" s="1">
        <v>0</v>
      </c>
      <c r="K2261" s="2">
        <v>3.5</v>
      </c>
    </row>
    <row r="2262" spans="1:12">
      <c r="A2262" s="3" t="s">
        <v>2194</v>
      </c>
      <c r="B2262" s="3" t="s">
        <v>2195</v>
      </c>
      <c r="C2262" s="3" t="s">
        <v>653</v>
      </c>
      <c r="D2262" s="3"/>
      <c r="E2262" s="2" t="str">
        <f>HYPERLINK("https://old.ukr-mobil.com/akkumulyator_samsung_a715_galaxy_a71_eb-ba715aby_4500_mah_original_prc_10002968", "Перейти")</f>
        <v>Перейти</v>
      </c>
      <c r="F2262" s="2">
        <v>10002968</v>
      </c>
      <c r="G2262" s="4" t="s">
        <v>2394</v>
      </c>
      <c r="H2262" s="1">
        <v>2</v>
      </c>
      <c r="I2262" s="1">
        <v>1</v>
      </c>
      <c r="J2262" s="1">
        <v>0</v>
      </c>
      <c r="K2262" s="2">
        <v>5.0</v>
      </c>
    </row>
    <row r="2263" spans="1:12">
      <c r="A2263" s="3" t="s">
        <v>2194</v>
      </c>
      <c r="B2263" s="3" t="s">
        <v>2195</v>
      </c>
      <c r="C2263" s="3" t="s">
        <v>653</v>
      </c>
      <c r="D2263" s="3"/>
      <c r="E2263" s="2" t="str">
        <f>HYPERLINK("https://old.ukr-mobil.com/akkumulyator_samsung_a800_galaxy_a8_eb-ba800abe_3050_mah_10000983", "Перейти")</f>
        <v>Перейти</v>
      </c>
      <c r="F2263" s="2">
        <v>10000983</v>
      </c>
      <c r="G2263" s="4" t="s">
        <v>2395</v>
      </c>
      <c r="H2263" s="1">
        <v>6</v>
      </c>
      <c r="I2263" s="1">
        <v>1</v>
      </c>
      <c r="J2263" s="1">
        <v>1</v>
      </c>
      <c r="K2263" s="2">
        <v>3.5</v>
      </c>
    </row>
    <row r="2264" spans="1:12">
      <c r="A2264" s="3" t="s">
        <v>2194</v>
      </c>
      <c r="B2264" s="3" t="s">
        <v>2195</v>
      </c>
      <c r="C2264" s="3" t="s">
        <v>653</v>
      </c>
      <c r="D2264" s="3"/>
      <c r="E2264" s="2" t="str">
        <f>HYPERLINK("https://old.ukr-mobil.com/index.php?route=product&amp;product_id=10005201", "Перейти")</f>
        <v>Перейти</v>
      </c>
      <c r="F2264" s="2">
        <v>10005201</v>
      </c>
      <c r="G2264" s="4" t="s">
        <v>2396</v>
      </c>
      <c r="H2264" s="1">
        <v>9</v>
      </c>
      <c r="I2264" s="1">
        <v>4</v>
      </c>
      <c r="J2264" s="1">
        <v>4</v>
      </c>
      <c r="K2264" s="2">
        <v>9.0</v>
      </c>
    </row>
    <row r="2265" spans="1:12">
      <c r="A2265" s="3" t="s">
        <v>2194</v>
      </c>
      <c r="B2265" s="3" t="s">
        <v>2195</v>
      </c>
      <c r="C2265" s="3" t="s">
        <v>653</v>
      </c>
      <c r="D2265" s="3"/>
      <c r="E2265" s="2" t="str">
        <f>HYPERLINK("https://old.ukr-mobil.com/index.php?route=product&amp;product_id=10005202", "Перейти")</f>
        <v>Перейти</v>
      </c>
      <c r="F2265" s="2">
        <v>10005202</v>
      </c>
      <c r="G2265" s="4" t="s">
        <v>2397</v>
      </c>
      <c r="H2265" s="1">
        <v>12</v>
      </c>
      <c r="I2265" s="1">
        <v>4</v>
      </c>
      <c r="J2265" s="1">
        <v>4</v>
      </c>
      <c r="K2265" s="2">
        <v>9.0</v>
      </c>
    </row>
    <row r="2266" spans="1:12">
      <c r="A2266" s="3" t="s">
        <v>2194</v>
      </c>
      <c r="B2266" s="3" t="s">
        <v>2195</v>
      </c>
      <c r="C2266" s="3" t="s">
        <v>653</v>
      </c>
      <c r="D2266" s="3"/>
      <c r="E2266" s="2" t="str">
        <f>HYPERLINK("https://old.ukr-mobil.com/index.php?route=product&amp;product_id=10005203", "Перейти")</f>
        <v>Перейти</v>
      </c>
      <c r="F2266" s="2">
        <v>10005203</v>
      </c>
      <c r="G2266" s="4" t="s">
        <v>2398</v>
      </c>
      <c r="H2266" s="1">
        <v>1</v>
      </c>
      <c r="I2266" s="1">
        <v>0</v>
      </c>
      <c r="J2266" s="1">
        <v>0</v>
      </c>
      <c r="K2266" s="2">
        <v>11.0</v>
      </c>
    </row>
    <row r="2267" spans="1:12">
      <c r="A2267" s="3" t="s">
        <v>2194</v>
      </c>
      <c r="B2267" s="3" t="s">
        <v>2195</v>
      </c>
      <c r="C2267" s="3" t="s">
        <v>653</v>
      </c>
      <c r="D2267" s="3"/>
      <c r="E2267" s="2" t="str">
        <f>HYPERLINK("https://old.ukr-mobil.com/index.php?route=product&amp;product_id=10005204", "Перейти")</f>
        <v>Перейти</v>
      </c>
      <c r="F2267" s="2">
        <v>10005204</v>
      </c>
      <c r="G2267" s="4" t="s">
        <v>2399</v>
      </c>
      <c r="H2267" s="1">
        <v>11</v>
      </c>
      <c r="I2267" s="1">
        <v>3</v>
      </c>
      <c r="J2267" s="1">
        <v>3</v>
      </c>
      <c r="K2267" s="2">
        <v>11.0</v>
      </c>
    </row>
    <row r="2268" spans="1:12">
      <c r="A2268" s="3" t="s">
        <v>2194</v>
      </c>
      <c r="B2268" s="3" t="s">
        <v>2195</v>
      </c>
      <c r="C2268" s="3" t="s">
        <v>653</v>
      </c>
      <c r="D2268" s="3"/>
      <c r="E2268" s="2" t="str">
        <f>HYPERLINK("https://old.ukr-mobil.com/index.php?route=product&amp;product_id=10005205", "Перейти")</f>
        <v>Перейти</v>
      </c>
      <c r="F2268" s="2">
        <v>10005205</v>
      </c>
      <c r="G2268" s="4" t="s">
        <v>2400</v>
      </c>
      <c r="H2268" s="1">
        <v>5</v>
      </c>
      <c r="I2268" s="1">
        <v>4</v>
      </c>
      <c r="J2268" s="1">
        <v>4</v>
      </c>
      <c r="K2268" s="2">
        <v>6.5</v>
      </c>
    </row>
    <row r="2269" spans="1:12">
      <c r="A2269" s="3" t="s">
        <v>2194</v>
      </c>
      <c r="B2269" s="3" t="s">
        <v>2195</v>
      </c>
      <c r="C2269" s="3" t="s">
        <v>653</v>
      </c>
      <c r="D2269" s="3"/>
      <c r="E2269" s="2" t="str">
        <f>HYPERLINK("https://old.ukr-mobil.com/index.php?route=product&amp;product_id=10005206", "Перейти")</f>
        <v>Перейти</v>
      </c>
      <c r="F2269" s="2">
        <v>10005206</v>
      </c>
      <c r="G2269" s="4" t="s">
        <v>2401</v>
      </c>
      <c r="H2269" s="1">
        <v>11</v>
      </c>
      <c r="I2269" s="1">
        <v>3</v>
      </c>
      <c r="J2269" s="1">
        <v>3</v>
      </c>
      <c r="K2269" s="2">
        <v>8.0</v>
      </c>
    </row>
    <row r="2270" spans="1:12">
      <c r="A2270" s="3" t="s">
        <v>2194</v>
      </c>
      <c r="B2270" s="3" t="s">
        <v>2195</v>
      </c>
      <c r="C2270" s="3" t="s">
        <v>653</v>
      </c>
      <c r="D2270" s="3"/>
      <c r="E2270" s="2" t="str">
        <f>HYPERLINK("https://old.ukr-mobil.com/akkumulyator_samsung_g570_galaxy_j5_prime_eb-bg570abe_2400_mah_10000985", "Перейти")</f>
        <v>Перейти</v>
      </c>
      <c r="F2270" s="2">
        <v>10000985</v>
      </c>
      <c r="G2270" s="4" t="s">
        <v>2402</v>
      </c>
      <c r="H2270" s="1">
        <v>0</v>
      </c>
      <c r="I2270" s="1">
        <v>2</v>
      </c>
      <c r="J2270" s="1">
        <v>2</v>
      </c>
      <c r="K2270" s="2">
        <v>3.5</v>
      </c>
    </row>
    <row r="2271" spans="1:12">
      <c r="A2271" s="3" t="s">
        <v>2194</v>
      </c>
      <c r="B2271" s="3" t="s">
        <v>2195</v>
      </c>
      <c r="C2271" s="3" t="s">
        <v>653</v>
      </c>
      <c r="D2271" s="3"/>
      <c r="E2271" s="2" t="str">
        <f>HYPERLINK("https://old.ukr-mobil.com/akkumulyator_samsung_g610_galaxy_j7_prime_j415_galaxy_j4_plus_2018_eb-bg610abe_3300_mah_10000982", "Перейти")</f>
        <v>Перейти</v>
      </c>
      <c r="F2271" s="2">
        <v>10000982</v>
      </c>
      <c r="G2271" s="4" t="s">
        <v>2403</v>
      </c>
      <c r="H2271" s="1">
        <v>0</v>
      </c>
      <c r="I2271" s="1">
        <v>0</v>
      </c>
      <c r="J2271" s="1">
        <v>0</v>
      </c>
      <c r="K2271" s="2">
        <v>6.5</v>
      </c>
    </row>
    <row r="2272" spans="1:12">
      <c r="A2272" s="3" t="s">
        <v>2194</v>
      </c>
      <c r="B2272" s="3" t="s">
        <v>2195</v>
      </c>
      <c r="C2272" s="3" t="s">
        <v>653</v>
      </c>
      <c r="D2272" s="3"/>
      <c r="E2272" s="2" t="str">
        <f>HYPERLINK("https://old.ukr-mobil.com/akkumulyator_samsung_g928_galaxy_s6_edge_plus_eb-bg928abe_3000_mah_9282", "Перейти")</f>
        <v>Перейти</v>
      </c>
      <c r="F2272" s="2">
        <v>9282</v>
      </c>
      <c r="G2272" s="4" t="s">
        <v>2404</v>
      </c>
      <c r="H2272" s="1">
        <v>1</v>
      </c>
      <c r="I2272" s="1">
        <v>0</v>
      </c>
      <c r="J2272" s="1">
        <v>0</v>
      </c>
      <c r="K2272" s="2">
        <v>4.5</v>
      </c>
    </row>
    <row r="2273" spans="1:12">
      <c r="A2273" s="3" t="s">
        <v>2194</v>
      </c>
      <c r="B2273" s="3" t="s">
        <v>2195</v>
      </c>
      <c r="C2273" s="3" t="s">
        <v>653</v>
      </c>
      <c r="D2273" s="3"/>
      <c r="E2273" s="2" t="str">
        <f>HYPERLINK("https://old.ukr-mobil.com/akkumulyator_samsung_g935_galaxy_s7_edge_eb-bg935abe_3600_mah_original_prc_10001358", "Перейти")</f>
        <v>Перейти</v>
      </c>
      <c r="F2273" s="2">
        <v>10001358</v>
      </c>
      <c r="G2273" s="4" t="s">
        <v>2405</v>
      </c>
      <c r="H2273" s="1">
        <v>0</v>
      </c>
      <c r="I2273" s="1">
        <v>0</v>
      </c>
      <c r="J2273" s="1">
        <v>0</v>
      </c>
      <c r="K2273" s="2">
        <v>4.0</v>
      </c>
    </row>
    <row r="2274" spans="1:12">
      <c r="A2274" s="3" t="s">
        <v>2194</v>
      </c>
      <c r="B2274" s="3" t="s">
        <v>2195</v>
      </c>
      <c r="C2274" s="3" t="s">
        <v>653</v>
      </c>
      <c r="D2274" s="3"/>
      <c r="E2274" s="2" t="str">
        <f>HYPERLINK("https://old.ukr-mobil.com/akkumulyator_samsung_g950_galaxy_s8_eb-bg950abe_3000_mah_original_prc_10001359", "Перейти")</f>
        <v>Перейти</v>
      </c>
      <c r="F2274" s="2">
        <v>10001359</v>
      </c>
      <c r="G2274" s="4" t="s">
        <v>2406</v>
      </c>
      <c r="H2274" s="1">
        <v>29</v>
      </c>
      <c r="I2274" s="1">
        <v>14</v>
      </c>
      <c r="J2274" s="1">
        <v>2</v>
      </c>
      <c r="K2274" s="2">
        <v>5.0</v>
      </c>
    </row>
    <row r="2275" spans="1:12">
      <c r="A2275" s="3" t="s">
        <v>2194</v>
      </c>
      <c r="B2275" s="3" t="s">
        <v>2195</v>
      </c>
      <c r="C2275" s="3" t="s">
        <v>653</v>
      </c>
      <c r="D2275" s="3"/>
      <c r="E2275" s="2" t="str">
        <f>HYPERLINK("https://old.ukr-mobil.com/akkumulyator_samsung_g955_galaxy_s8_plus_eb-bg955abe_3500_mah_original_prc_10001346", "Перейти")</f>
        <v>Перейти</v>
      </c>
      <c r="F2275" s="2">
        <v>10001346</v>
      </c>
      <c r="G2275" s="4" t="s">
        <v>2407</v>
      </c>
      <c r="H2275" s="1">
        <v>57</v>
      </c>
      <c r="I2275" s="1">
        <v>10</v>
      </c>
      <c r="J2275" s="1">
        <v>13</v>
      </c>
      <c r="K2275" s="2">
        <v>4.5</v>
      </c>
    </row>
    <row r="2276" spans="1:12">
      <c r="A2276" s="3" t="s">
        <v>2194</v>
      </c>
      <c r="B2276" s="3" t="s">
        <v>2195</v>
      </c>
      <c r="C2276" s="3" t="s">
        <v>653</v>
      </c>
      <c r="D2276" s="3"/>
      <c r="E2276" s="2" t="str">
        <f>HYPERLINK("https://old.ukr-mobil.com/akkumulyator_samsung_g960_galaxy_s9_eb-bg960abe_3500_mah_10000980", "Перейти")</f>
        <v>Перейти</v>
      </c>
      <c r="F2276" s="2">
        <v>10000980</v>
      </c>
      <c r="G2276" s="4" t="s">
        <v>2408</v>
      </c>
      <c r="H2276" s="1">
        <v>8</v>
      </c>
      <c r="I2276" s="1">
        <v>0</v>
      </c>
      <c r="J2276" s="1">
        <v>0</v>
      </c>
      <c r="K2276" s="2">
        <v>3.5</v>
      </c>
    </row>
    <row r="2277" spans="1:12">
      <c r="A2277" s="3" t="s">
        <v>2194</v>
      </c>
      <c r="B2277" s="3" t="s">
        <v>2195</v>
      </c>
      <c r="C2277" s="3" t="s">
        <v>653</v>
      </c>
      <c r="D2277" s="3"/>
      <c r="E2277" s="2" t="str">
        <f>HYPERLINK("https://old.ukr-mobil.com/akkumulyator_samsung_g965_galaxy_s9_plus_eb-bg965abe_3500_mah_10000981", "Перейти")</f>
        <v>Перейти</v>
      </c>
      <c r="F2277" s="2">
        <v>10000981</v>
      </c>
      <c r="G2277" s="4" t="s">
        <v>2409</v>
      </c>
      <c r="H2277" s="1">
        <v>38</v>
      </c>
      <c r="I2277" s="1">
        <v>6</v>
      </c>
      <c r="J2277" s="1">
        <v>0</v>
      </c>
      <c r="K2277" s="2">
        <v>4.5</v>
      </c>
    </row>
    <row r="2278" spans="1:12">
      <c r="A2278" s="3" t="s">
        <v>2194</v>
      </c>
      <c r="B2278" s="3" t="s">
        <v>2195</v>
      </c>
      <c r="C2278" s="3" t="s">
        <v>653</v>
      </c>
      <c r="D2278" s="3"/>
      <c r="E2278" s="2" t="str">
        <f>HYPERLINK("https://old.ukr-mobil.com/akkumulyator_samsung_g973_galaxy_s10_eb-bg973abu_3400_mah_10000974", "Перейти")</f>
        <v>Перейти</v>
      </c>
      <c r="F2278" s="2">
        <v>10000974</v>
      </c>
      <c r="G2278" s="4" t="s">
        <v>2410</v>
      </c>
      <c r="H2278" s="1">
        <v>2</v>
      </c>
      <c r="I2278" s="1">
        <v>2</v>
      </c>
      <c r="J2278" s="1">
        <v>0</v>
      </c>
      <c r="K2278" s="2">
        <v>4.0</v>
      </c>
    </row>
    <row r="2279" spans="1:12">
      <c r="A2279" s="3" t="s">
        <v>2194</v>
      </c>
      <c r="B2279" s="3" t="s">
        <v>2195</v>
      </c>
      <c r="C2279" s="3" t="s">
        <v>653</v>
      </c>
      <c r="D2279" s="3"/>
      <c r="E2279" s="2" t="str">
        <f>HYPERLINK("https://old.ukr-mobil.com/akkumulyator_samsung_g975_galaxy_s10_plus_eb-bg975abu_4100_mah_10000975", "Перейти")</f>
        <v>Перейти</v>
      </c>
      <c r="F2279" s="2">
        <v>10000975</v>
      </c>
      <c r="G2279" s="4" t="s">
        <v>2411</v>
      </c>
      <c r="H2279" s="1">
        <v>10</v>
      </c>
      <c r="I2279" s="1">
        <v>5</v>
      </c>
      <c r="J2279" s="1">
        <v>0</v>
      </c>
      <c r="K2279" s="2">
        <v>5.0</v>
      </c>
    </row>
    <row r="2280" spans="1:12">
      <c r="A2280" s="3" t="s">
        <v>2194</v>
      </c>
      <c r="B2280" s="3" t="s">
        <v>2195</v>
      </c>
      <c r="C2280" s="3" t="s">
        <v>653</v>
      </c>
      <c r="D2280" s="3"/>
      <c r="E2280" s="2" t="str">
        <f>HYPERLINK("https://old.ukr-mobil.com/akkumulyator_samsung_g980_galaxy_s20_eb-bg980aby_4000_mah_original_prc_10003420", "Перейти")</f>
        <v>Перейти</v>
      </c>
      <c r="F2280" s="2">
        <v>10003420</v>
      </c>
      <c r="G2280" s="4" t="s">
        <v>2412</v>
      </c>
      <c r="H2280" s="1">
        <v>0</v>
      </c>
      <c r="I2280" s="1">
        <v>0</v>
      </c>
      <c r="J2280" s="1">
        <v>0</v>
      </c>
      <c r="K2280" s="2">
        <v>11.0</v>
      </c>
    </row>
    <row r="2281" spans="1:12">
      <c r="A2281" s="3" t="s">
        <v>2194</v>
      </c>
      <c r="B2281" s="3" t="s">
        <v>2195</v>
      </c>
      <c r="C2281" s="3" t="s">
        <v>653</v>
      </c>
      <c r="D2281" s="3"/>
      <c r="E2281" s="2" t="str">
        <f>HYPERLINK("https://old.ukr-mobil.com/akkumulyator_samsung_g985_galaxy_s20_plus_eb-bg985aby_4500_mah_original_prc_10003421", "Перейти")</f>
        <v>Перейти</v>
      </c>
      <c r="F2281" s="2">
        <v>10003421</v>
      </c>
      <c r="G2281" s="4" t="s">
        <v>2413</v>
      </c>
      <c r="H2281" s="1">
        <v>0</v>
      </c>
      <c r="I2281" s="1">
        <v>0</v>
      </c>
      <c r="J2281" s="1">
        <v>0</v>
      </c>
      <c r="K2281" s="2">
        <v>7.0</v>
      </c>
    </row>
    <row r="2282" spans="1:12">
      <c r="A2282" s="3" t="s">
        <v>2194</v>
      </c>
      <c r="B2282" s="3" t="s">
        <v>2195</v>
      </c>
      <c r="C2282" s="3" t="s">
        <v>653</v>
      </c>
      <c r="D2282" s="3"/>
      <c r="E2282" s="2" t="str">
        <f>HYPERLINK("https://old.ukr-mobil.com/akkumulyator_samsung_g988_galaxy_s20_ultra_eb-bg988aby_5000_mah_original_prc_10003422", "Перейти")</f>
        <v>Перейти</v>
      </c>
      <c r="F2282" s="2">
        <v>10003422</v>
      </c>
      <c r="G2282" s="4" t="s">
        <v>2414</v>
      </c>
      <c r="H2282" s="1">
        <v>9</v>
      </c>
      <c r="I2282" s="1">
        <v>0</v>
      </c>
      <c r="J2282" s="1">
        <v>0</v>
      </c>
      <c r="K2282" s="2">
        <v>5.0</v>
      </c>
    </row>
    <row r="2283" spans="1:12">
      <c r="A2283" s="3" t="s">
        <v>2194</v>
      </c>
      <c r="B2283" s="3" t="s">
        <v>2195</v>
      </c>
      <c r="C2283" s="3" t="s">
        <v>653</v>
      </c>
      <c r="D2283" s="3"/>
      <c r="E2283" s="2" t="str">
        <f>HYPERLINK("https://old.ukr-mobil.com/akkumulyator_samsung_g991_galaxy_s21_eb-bg991aby_4000_mah_original_prc_10003423", "Перейти")</f>
        <v>Перейти</v>
      </c>
      <c r="F2283" s="2">
        <v>10003423</v>
      </c>
      <c r="G2283" s="4" t="s">
        <v>2415</v>
      </c>
      <c r="H2283" s="1">
        <v>0</v>
      </c>
      <c r="I2283" s="1">
        <v>0</v>
      </c>
      <c r="J2283" s="1">
        <v>0</v>
      </c>
      <c r="K2283" s="2">
        <v>11.0</v>
      </c>
    </row>
    <row r="2284" spans="1:12">
      <c r="A2284" s="3" t="s">
        <v>2194</v>
      </c>
      <c r="B2284" s="3" t="s">
        <v>2195</v>
      </c>
      <c r="C2284" s="3" t="s">
        <v>653</v>
      </c>
      <c r="D2284" s="3"/>
      <c r="E2284" s="2" t="str">
        <f>HYPERLINK("https://old.ukr-mobil.com/akkumulyator_samsung_g996_galaxy_s21_plus_eb-bg996aby_4800_mah_original_prc_10003424", "Перейти")</f>
        <v>Перейти</v>
      </c>
      <c r="F2284" s="2">
        <v>10003424</v>
      </c>
      <c r="G2284" s="4" t="s">
        <v>2416</v>
      </c>
      <c r="H2284" s="1">
        <v>0</v>
      </c>
      <c r="I2284" s="1">
        <v>0</v>
      </c>
      <c r="J2284" s="1">
        <v>10</v>
      </c>
      <c r="K2284" s="2">
        <v>5.0</v>
      </c>
    </row>
    <row r="2285" spans="1:12">
      <c r="A2285" s="3" t="s">
        <v>2194</v>
      </c>
      <c r="B2285" s="3" t="s">
        <v>2195</v>
      </c>
      <c r="C2285" s="3" t="s">
        <v>653</v>
      </c>
      <c r="D2285" s="3"/>
      <c r="E2285" s="2" t="str">
        <f>HYPERLINK("https://old.ukr-mobil.com/akkumulyator_samsung_g998_galaxy_s21_ultra_eb-bg998aby_5000_mah_original_prc_10003425", "Перейти")</f>
        <v>Перейти</v>
      </c>
      <c r="F2285" s="2">
        <v>10003425</v>
      </c>
      <c r="G2285" s="4" t="s">
        <v>2417</v>
      </c>
      <c r="H2285" s="1">
        <v>0</v>
      </c>
      <c r="I2285" s="1">
        <v>0</v>
      </c>
      <c r="J2285" s="1">
        <v>0</v>
      </c>
      <c r="K2285" s="2">
        <v>6.0</v>
      </c>
    </row>
    <row r="2286" spans="1:12">
      <c r="A2286" s="3" t="s">
        <v>2194</v>
      </c>
      <c r="B2286" s="3" t="s">
        <v>2195</v>
      </c>
      <c r="C2286" s="3" t="s">
        <v>653</v>
      </c>
      <c r="D2286" s="3"/>
      <c r="E2286" s="2" t="str">
        <f>HYPERLINK("https://old.ukr-mobil.com/akkumulyator_samsung_j330_galaxy_j3_2017_eb-bj330abe_2400_mah_10000984", "Перейти")</f>
        <v>Перейти</v>
      </c>
      <c r="F2286" s="2">
        <v>10000984</v>
      </c>
      <c r="G2286" s="4" t="s">
        <v>2418</v>
      </c>
      <c r="H2286" s="1">
        <v>0</v>
      </c>
      <c r="I2286" s="1">
        <v>1</v>
      </c>
      <c r="J2286" s="1">
        <v>5</v>
      </c>
      <c r="K2286" s="2">
        <v>6.0</v>
      </c>
    </row>
    <row r="2287" spans="1:12">
      <c r="A2287" s="3" t="s">
        <v>2194</v>
      </c>
      <c r="B2287" s="3" t="s">
        <v>2195</v>
      </c>
      <c r="C2287" s="3" t="s">
        <v>653</v>
      </c>
      <c r="D2287" s="3"/>
      <c r="E2287" s="2" t="str">
        <f>HYPERLINK("https://old.ukr-mobil.com/akkumulyator_samsung_j700_galaxy_j7_eb-bj700bbc_3000_mah_8274", "Перейти")</f>
        <v>Перейти</v>
      </c>
      <c r="F2287" s="2">
        <v>8274</v>
      </c>
      <c r="G2287" s="4" t="s">
        <v>2419</v>
      </c>
      <c r="H2287" s="1">
        <v>293</v>
      </c>
      <c r="I2287" s="1">
        <v>21</v>
      </c>
      <c r="J2287" s="1">
        <v>14</v>
      </c>
      <c r="K2287" s="2">
        <v>2.0</v>
      </c>
    </row>
    <row r="2288" spans="1:12">
      <c r="A2288" s="3" t="s">
        <v>2194</v>
      </c>
      <c r="B2288" s="3" t="s">
        <v>2195</v>
      </c>
      <c r="C2288" s="3" t="s">
        <v>653</v>
      </c>
      <c r="D2288" s="3"/>
      <c r="E2288" s="2" t="str">
        <f>HYPERLINK("https://old.ukr-mobil.com/akkumulyator_samsung_j530_galaxy_j5_2017_eb-bj530abe_3000_mah_10976", "Перейти")</f>
        <v>Перейти</v>
      </c>
      <c r="F2288" s="2">
        <v>10976</v>
      </c>
      <c r="G2288" s="4" t="s">
        <v>2420</v>
      </c>
      <c r="H2288" s="1">
        <v>1</v>
      </c>
      <c r="I2288" s="1">
        <v>0</v>
      </c>
      <c r="J2288" s="1">
        <v>0</v>
      </c>
      <c r="K2288" s="2">
        <v>5.5</v>
      </c>
    </row>
    <row r="2289" spans="1:12">
      <c r="A2289" s="3" t="s">
        <v>2194</v>
      </c>
      <c r="B2289" s="3" t="s">
        <v>2195</v>
      </c>
      <c r="C2289" s="3" t="s">
        <v>653</v>
      </c>
      <c r="D2289" s="3"/>
      <c r="E2289" s="2" t="str">
        <f>HYPERLINK("https://old.ukr-mobil.com/akkumulyator_samsung_j710_galaxy_j7_2016_eb-bj710cbc_3300_mah_8839", "Перейти")</f>
        <v>Перейти</v>
      </c>
      <c r="F2289" s="2">
        <v>8839</v>
      </c>
      <c r="G2289" s="4" t="s">
        <v>2421</v>
      </c>
      <c r="H2289" s="1">
        <v>26</v>
      </c>
      <c r="I2289" s="1">
        <v>9</v>
      </c>
      <c r="J2289" s="1">
        <v>0</v>
      </c>
      <c r="K2289" s="2">
        <v>3.0</v>
      </c>
    </row>
    <row r="2290" spans="1:12">
      <c r="A2290" s="3" t="s">
        <v>2194</v>
      </c>
      <c r="B2290" s="3" t="s">
        <v>2195</v>
      </c>
      <c r="C2290" s="3" t="s">
        <v>653</v>
      </c>
      <c r="D2290" s="3"/>
      <c r="E2290" s="2" t="str">
        <f>HYPERLINK("https://old.ukr-mobil.com/akkumulyator_samsung_j730_galaxy_j7_2017_eb-bj730abe_3600_mah_original_prc_10001360", "Перейти")</f>
        <v>Перейти</v>
      </c>
      <c r="F2290" s="2">
        <v>10001360</v>
      </c>
      <c r="G2290" s="4" t="s">
        <v>2422</v>
      </c>
      <c r="H2290" s="1">
        <v>5</v>
      </c>
      <c r="I2290" s="1">
        <v>7</v>
      </c>
      <c r="J2290" s="1">
        <v>0</v>
      </c>
      <c r="K2290" s="2">
        <v>3.5</v>
      </c>
    </row>
    <row r="2291" spans="1:12">
      <c r="A2291" s="3" t="s">
        <v>2194</v>
      </c>
      <c r="B2291" s="3" t="s">
        <v>2195</v>
      </c>
      <c r="C2291" s="3" t="s">
        <v>653</v>
      </c>
      <c r="D2291" s="3"/>
      <c r="E2291" s="2" t="str">
        <f>HYPERLINK("https://old.ukr-mobil.com/akkumulyator_samsung_m205_galaxy_m20_m305_galaxy_m30_eb-bg580abu_5000_mah_10000986", "Перейти")</f>
        <v>Перейти</v>
      </c>
      <c r="F2291" s="2">
        <v>10000986</v>
      </c>
      <c r="G2291" s="4" t="s">
        <v>2423</v>
      </c>
      <c r="H2291" s="1">
        <v>13</v>
      </c>
      <c r="I2291" s="1">
        <v>4</v>
      </c>
      <c r="J2291" s="1">
        <v>6</v>
      </c>
      <c r="K2291" s="2">
        <v>5.5</v>
      </c>
    </row>
    <row r="2292" spans="1:12">
      <c r="A2292" s="3" t="s">
        <v>2194</v>
      </c>
      <c r="B2292" s="3" t="s">
        <v>2195</v>
      </c>
      <c r="C2292" s="3" t="s">
        <v>653</v>
      </c>
      <c r="D2292" s="3"/>
      <c r="E2292" s="2" t="str">
        <f>HYPERLINK("https://old.ukr-mobil.com/akkumulyator_samsung_n960_galaxy_note_9_eb-bn965abu_4000_mah_10000979", "Перейти")</f>
        <v>Перейти</v>
      </c>
      <c r="F2292" s="2">
        <v>10000979</v>
      </c>
      <c r="G2292" s="4" t="s">
        <v>2424</v>
      </c>
      <c r="H2292" s="1">
        <v>0</v>
      </c>
      <c r="I2292" s="1">
        <v>0</v>
      </c>
      <c r="J2292" s="1">
        <v>0</v>
      </c>
      <c r="K2292" s="2">
        <v>6.0</v>
      </c>
    </row>
    <row r="2293" spans="1:12">
      <c r="A2293" s="3" t="s">
        <v>2194</v>
      </c>
      <c r="B2293" s="3" t="s">
        <v>2195</v>
      </c>
      <c r="C2293" s="3" t="s">
        <v>653</v>
      </c>
      <c r="D2293" s="3"/>
      <c r="E2293" s="2" t="str">
        <f>HYPERLINK("https://old.ukr-mobil.com/akkumulyator_samsung_n975_galaxy_note_10_plus_eb-bn972abul_4300_mah_original_prc_10002180", "Перейти")</f>
        <v>Перейти</v>
      </c>
      <c r="F2293" s="2">
        <v>10002180</v>
      </c>
      <c r="G2293" s="4" t="s">
        <v>2425</v>
      </c>
      <c r="H2293" s="1">
        <v>0</v>
      </c>
      <c r="I2293" s="1">
        <v>0</v>
      </c>
      <c r="J2293" s="1">
        <v>1</v>
      </c>
      <c r="K2293" s="2">
        <v>5.0</v>
      </c>
    </row>
    <row r="2294" spans="1:12">
      <c r="A2294" s="3" t="s">
        <v>2194</v>
      </c>
      <c r="B2294" s="3" t="s">
        <v>2195</v>
      </c>
      <c r="C2294" s="3" t="s">
        <v>653</v>
      </c>
      <c r="D2294" s="3"/>
      <c r="E2294" s="2" t="str">
        <f>HYPERLINK("https://old.ukr-mobil.com/index.php?route=product&amp;product_id=10005197", "Перейти")</f>
        <v>Перейти</v>
      </c>
      <c r="F2294" s="2">
        <v>10005197</v>
      </c>
      <c r="G2294" s="4" t="s">
        <v>2426</v>
      </c>
      <c r="H2294" s="1">
        <v>0</v>
      </c>
      <c r="I2294" s="1">
        <v>0</v>
      </c>
      <c r="J2294" s="1">
        <v>0</v>
      </c>
      <c r="K2294" s="2">
        <v>7.0</v>
      </c>
    </row>
    <row r="2295" spans="1:12">
      <c r="A2295" s="3" t="s">
        <v>2194</v>
      </c>
      <c r="B2295" s="3" t="s">
        <v>2195</v>
      </c>
      <c r="C2295" s="3" t="s">
        <v>653</v>
      </c>
      <c r="D2295" s="3"/>
      <c r="E2295" s="2" t="str">
        <f>HYPERLINK("https://old.ukr-mobil.com/index.php?route=product&amp;product_id=10005198", "Перейти")</f>
        <v>Перейти</v>
      </c>
      <c r="F2295" s="2">
        <v>10005198</v>
      </c>
      <c r="G2295" s="4" t="s">
        <v>2427</v>
      </c>
      <c r="H2295" s="1">
        <v>11</v>
      </c>
      <c r="I2295" s="1">
        <v>3</v>
      </c>
      <c r="J2295" s="1">
        <v>5</v>
      </c>
      <c r="K2295" s="2">
        <v>5.0</v>
      </c>
    </row>
    <row r="2296" spans="1:12">
      <c r="A2296" s="3" t="s">
        <v>2194</v>
      </c>
      <c r="B2296" s="3" t="s">
        <v>2195</v>
      </c>
      <c r="C2296" s="3" t="s">
        <v>653</v>
      </c>
      <c r="D2296" s="3"/>
      <c r="E2296" s="2" t="str">
        <f>HYPERLINK("https://old.ukr-mobil.com/index.php?route=product&amp;product_id=10005199", "Перейти")</f>
        <v>Перейти</v>
      </c>
      <c r="F2296" s="2">
        <v>10005199</v>
      </c>
      <c r="G2296" s="4" t="s">
        <v>2428</v>
      </c>
      <c r="H2296" s="1">
        <v>10</v>
      </c>
      <c r="I2296" s="1">
        <v>5</v>
      </c>
      <c r="J2296" s="1">
        <v>4</v>
      </c>
      <c r="K2296" s="2">
        <v>5.0</v>
      </c>
    </row>
    <row r="2297" spans="1:12">
      <c r="A2297" s="3" t="s">
        <v>2194</v>
      </c>
      <c r="B2297" s="3" t="s">
        <v>2195</v>
      </c>
      <c r="C2297" s="3" t="s">
        <v>676</v>
      </c>
      <c r="D2297" s="3"/>
      <c r="E2297" s="2" t="str">
        <f>HYPERLINK("https://old.ukr-mobil.com/akkumulyator_sony_xperia_sp_c5302_m35h_5194", "Перейти")</f>
        <v>Перейти</v>
      </c>
      <c r="F2297" s="2">
        <v>5194</v>
      </c>
      <c r="G2297" s="4" t="s">
        <v>2429</v>
      </c>
      <c r="H2297" s="1">
        <v>0</v>
      </c>
      <c r="I2297" s="1">
        <v>1</v>
      </c>
      <c r="J2297" s="1">
        <v>0</v>
      </c>
      <c r="K2297" s="2">
        <v>6.0</v>
      </c>
    </row>
    <row r="2298" spans="1:12">
      <c r="A2298" s="3" t="s">
        <v>2194</v>
      </c>
      <c r="B2298" s="3" t="s">
        <v>2195</v>
      </c>
      <c r="C2298" s="3" t="s">
        <v>676</v>
      </c>
      <c r="D2298" s="3"/>
      <c r="E2298" s="2" t="str">
        <f>HYPERLINK("https://old.ukr-mobil.com/akkumulyator_sony_xperia_z_c6602_l36h_5195", "Перейти")</f>
        <v>Перейти</v>
      </c>
      <c r="F2298" s="2">
        <v>5195</v>
      </c>
      <c r="G2298" s="4" t="s">
        <v>2430</v>
      </c>
      <c r="H2298" s="1">
        <v>1</v>
      </c>
      <c r="I2298" s="1">
        <v>0</v>
      </c>
      <c r="J2298" s="1">
        <v>1</v>
      </c>
      <c r="K2298" s="2">
        <v>4.0</v>
      </c>
    </row>
    <row r="2299" spans="1:12">
      <c r="A2299" s="3" t="s">
        <v>2194</v>
      </c>
      <c r="B2299" s="3" t="s">
        <v>2195</v>
      </c>
      <c r="C2299" s="3" t="s">
        <v>676</v>
      </c>
      <c r="D2299" s="3"/>
      <c r="E2299" s="2" t="str">
        <f>HYPERLINK("https://old.ukr-mobil.com/akkumulyator_sony_xperia_z1_c6902_l39h_5193", "Перейти")</f>
        <v>Перейти</v>
      </c>
      <c r="F2299" s="2">
        <v>5193</v>
      </c>
      <c r="G2299" s="4" t="s">
        <v>2431</v>
      </c>
      <c r="H2299" s="1">
        <v>19</v>
      </c>
      <c r="I2299" s="1">
        <v>0</v>
      </c>
      <c r="J2299" s="1">
        <v>1</v>
      </c>
      <c r="K2299" s="2">
        <v>3.0</v>
      </c>
    </row>
    <row r="2300" spans="1:12">
      <c r="A2300" s="3" t="s">
        <v>2194</v>
      </c>
      <c r="B2300" s="3" t="s">
        <v>2195</v>
      </c>
      <c r="C2300" s="3" t="s">
        <v>1314</v>
      </c>
      <c r="D2300" s="3"/>
      <c r="E2300" s="2" t="str">
        <f>HYPERLINK("https://old.ukr-mobil.com/akkumulyator_tecno_pop_4_pro_bc3_pop_4_bc2_spark_6_go_ke5_spark_5_pro_kd7_camon_15_cd7_bl-49ft_5000_mah_original_prc_10002306", "Перейти")</f>
        <v>Перейти</v>
      </c>
      <c r="F2300" s="2">
        <v>10002306</v>
      </c>
      <c r="G2300" s="4" t="s">
        <v>2432</v>
      </c>
      <c r="H2300" s="1">
        <v>12</v>
      </c>
      <c r="I2300" s="1">
        <v>7</v>
      </c>
      <c r="J2300" s="1">
        <v>7</v>
      </c>
      <c r="K2300" s="2">
        <v>6.0</v>
      </c>
    </row>
    <row r="2301" spans="1:12">
      <c r="A2301" s="3" t="s">
        <v>2194</v>
      </c>
      <c r="B2301" s="3" t="s">
        <v>2195</v>
      </c>
      <c r="C2301" s="3" t="s">
        <v>1314</v>
      </c>
      <c r="D2301" s="3"/>
      <c r="E2301" s="2" t="str">
        <f>HYPERLINK("https://old.ukr-mobil.com/akkumulyator_tecno_pova_2_le7n_bl-68at_7000_mah_original_prc_10003419", "Перейти")</f>
        <v>Перейти</v>
      </c>
      <c r="F2301" s="2">
        <v>10003419</v>
      </c>
      <c r="G2301" s="4" t="s">
        <v>2433</v>
      </c>
      <c r="H2301" s="1">
        <v>5</v>
      </c>
      <c r="I2301" s="1">
        <v>2</v>
      </c>
      <c r="J2301" s="1">
        <v>3</v>
      </c>
      <c r="K2301" s="2">
        <v>6.0</v>
      </c>
    </row>
    <row r="2302" spans="1:12">
      <c r="A2302" s="3" t="s">
        <v>2194</v>
      </c>
      <c r="B2302" s="3" t="s">
        <v>2195</v>
      </c>
      <c r="C2302" s="3" t="s">
        <v>1314</v>
      </c>
      <c r="D2302" s="3"/>
      <c r="E2302" s="2" t="str">
        <f>HYPERLINK("https://old.ukr-mobil.com/index.php?route=product&amp;product_id=10005261", "Перейти")</f>
        <v>Перейти</v>
      </c>
      <c r="F2302" s="2">
        <v>10005261</v>
      </c>
      <c r="G2302" s="4" t="s">
        <v>2434</v>
      </c>
      <c r="H2302" s="1">
        <v>1</v>
      </c>
      <c r="I2302" s="1">
        <v>0</v>
      </c>
      <c r="J2302" s="1">
        <v>0</v>
      </c>
      <c r="K2302" s="2">
        <v>6.0</v>
      </c>
    </row>
    <row r="2303" spans="1:12">
      <c r="A2303" s="3" t="s">
        <v>2194</v>
      </c>
      <c r="B2303" s="3" t="s">
        <v>2195</v>
      </c>
      <c r="C2303" s="3" t="s">
        <v>1314</v>
      </c>
      <c r="D2303" s="3"/>
      <c r="E2303" s="2" t="str">
        <f>HYPERLINK("https://old.ukr-mobil.com/akkumulyator_tecno_spark_4_kc2_kc8_camon_12_cc7_bl-39lt_4000_mah_original_prc_10002307", "Перейти")</f>
        <v>Перейти</v>
      </c>
      <c r="F2303" s="2">
        <v>10002307</v>
      </c>
      <c r="G2303" s="4" t="s">
        <v>2435</v>
      </c>
      <c r="H2303" s="1">
        <v>6</v>
      </c>
      <c r="I2303" s="1">
        <v>4</v>
      </c>
      <c r="J2303" s="1">
        <v>1</v>
      </c>
      <c r="K2303" s="2">
        <v>5.0</v>
      </c>
    </row>
    <row r="2304" spans="1:12">
      <c r="A2304" s="3" t="s">
        <v>2194</v>
      </c>
      <c r="B2304" s="3" t="s">
        <v>2195</v>
      </c>
      <c r="C2304" s="3" t="s">
        <v>1314</v>
      </c>
      <c r="D2304" s="3"/>
      <c r="E2304" s="2" t="str">
        <f>HYPERLINK("https://old.ukr-mobil.com/index.php?route=product&amp;product_id=10005260", "Перейти")</f>
        <v>Перейти</v>
      </c>
      <c r="F2304" s="2">
        <v>10005260</v>
      </c>
      <c r="G2304" s="4" t="s">
        <v>2436</v>
      </c>
      <c r="H2304" s="1">
        <v>13</v>
      </c>
      <c r="I2304" s="1">
        <v>6</v>
      </c>
      <c r="J2304" s="1">
        <v>2</v>
      </c>
      <c r="K2304" s="2">
        <v>5.5</v>
      </c>
    </row>
    <row r="2305" spans="1:12">
      <c r="A2305" s="3" t="s">
        <v>2194</v>
      </c>
      <c r="B2305" s="3" t="s">
        <v>2195</v>
      </c>
      <c r="C2305" s="3" t="s">
        <v>1314</v>
      </c>
      <c r="D2305" s="3"/>
      <c r="E2305" s="2" t="str">
        <f>HYPERLINK("https://old.ukr-mobil.com/index.php?route=product&amp;product_id=10005262", "Перейти")</f>
        <v>Перейти</v>
      </c>
      <c r="F2305" s="2">
        <v>10005262</v>
      </c>
      <c r="G2305" s="4" t="s">
        <v>2437</v>
      </c>
      <c r="H2305" s="1">
        <v>0</v>
      </c>
      <c r="I2305" s="1">
        <v>3</v>
      </c>
      <c r="J2305" s="1">
        <v>0</v>
      </c>
      <c r="K2305" s="2">
        <v>6.95</v>
      </c>
    </row>
    <row r="2306" spans="1:12">
      <c r="A2306" s="3" t="s">
        <v>2194</v>
      </c>
      <c r="B2306" s="3" t="s">
        <v>2195</v>
      </c>
      <c r="C2306" s="3" t="s">
        <v>812</v>
      </c>
      <c r="D2306" s="3"/>
      <c r="E2306" s="2" t="str">
        <f>HYPERLINK("https://old.ukr-mobil.com/index.php?route=product&amp;product_id=10005255", "Перейти")</f>
        <v>Перейти</v>
      </c>
      <c r="F2306" s="2">
        <v>10005255</v>
      </c>
      <c r="G2306" s="4" t="s">
        <v>2438</v>
      </c>
      <c r="H2306" s="1">
        <v>4</v>
      </c>
      <c r="I2306" s="1">
        <v>0</v>
      </c>
      <c r="J2306" s="1">
        <v>0</v>
      </c>
      <c r="K2306" s="2">
        <v>6.0</v>
      </c>
    </row>
    <row r="2307" spans="1:12">
      <c r="A2307" s="3" t="s">
        <v>2194</v>
      </c>
      <c r="B2307" s="3" t="s">
        <v>2195</v>
      </c>
      <c r="C2307" s="3" t="s">
        <v>812</v>
      </c>
      <c r="D2307" s="3"/>
      <c r="E2307" s="2" t="str">
        <f>HYPERLINK("https://old.ukr-mobil.com/index.php?route=product&amp;product_id=10005258", "Перейти")</f>
        <v>Перейти</v>
      </c>
      <c r="F2307" s="2">
        <v>10005258</v>
      </c>
      <c r="G2307" s="4" t="s">
        <v>2439</v>
      </c>
      <c r="H2307" s="1">
        <v>2</v>
      </c>
      <c r="I2307" s="1">
        <v>2</v>
      </c>
      <c r="J2307" s="1">
        <v>2</v>
      </c>
      <c r="K2307" s="2">
        <v>6.5</v>
      </c>
    </row>
    <row r="2308" spans="1:12">
      <c r="A2308" s="3" t="s">
        <v>2194</v>
      </c>
      <c r="B2308" s="3" t="s">
        <v>2195</v>
      </c>
      <c r="C2308" s="3" t="s">
        <v>812</v>
      </c>
      <c r="D2308" s="3"/>
      <c r="E2308" s="2" t="str">
        <f>HYPERLINK("https://old.ukr-mobil.com/index.php?route=product&amp;product_id=10005259", "Перейти")</f>
        <v>Перейти</v>
      </c>
      <c r="F2308" s="2">
        <v>10005259</v>
      </c>
      <c r="G2308" s="4" t="s">
        <v>2440</v>
      </c>
      <c r="H2308" s="1">
        <v>4</v>
      </c>
      <c r="I2308" s="1">
        <v>2</v>
      </c>
      <c r="J2308" s="1">
        <v>2</v>
      </c>
      <c r="K2308" s="2">
        <v>5.5</v>
      </c>
    </row>
    <row r="2309" spans="1:12">
      <c r="A2309" s="3" t="s">
        <v>2194</v>
      </c>
      <c r="B2309" s="3" t="s">
        <v>2195</v>
      </c>
      <c r="C2309" s="3" t="s">
        <v>812</v>
      </c>
      <c r="D2309" s="3"/>
      <c r="E2309" s="2" t="str">
        <f>HYPERLINK("https://old.ukr-mobil.com/index.php?route=product&amp;product_id=10005256", "Перейти")</f>
        <v>Перейти</v>
      </c>
      <c r="F2309" s="2">
        <v>10005256</v>
      </c>
      <c r="G2309" s="4" t="s">
        <v>2441</v>
      </c>
      <c r="H2309" s="1">
        <v>0</v>
      </c>
      <c r="I2309" s="1">
        <v>0</v>
      </c>
      <c r="J2309" s="1">
        <v>0</v>
      </c>
      <c r="K2309" s="2">
        <v>5.5</v>
      </c>
    </row>
    <row r="2310" spans="1:12">
      <c r="A2310" s="3" t="s">
        <v>2194</v>
      </c>
      <c r="B2310" s="3" t="s">
        <v>2195</v>
      </c>
      <c r="C2310" s="3" t="s">
        <v>812</v>
      </c>
      <c r="D2310" s="3"/>
      <c r="E2310" s="2" t="str">
        <f>HYPERLINK("https://old.ukr-mobil.com/index.php?route=product&amp;product_id=10005254", "Перейти")</f>
        <v>Перейти</v>
      </c>
      <c r="F2310" s="2">
        <v>10005254</v>
      </c>
      <c r="G2310" s="4" t="s">
        <v>2442</v>
      </c>
      <c r="H2310" s="1">
        <v>5</v>
      </c>
      <c r="I2310" s="1">
        <v>3</v>
      </c>
      <c r="J2310" s="1">
        <v>2</v>
      </c>
      <c r="K2310" s="2">
        <v>6.0</v>
      </c>
    </row>
    <row r="2311" spans="1:12">
      <c r="A2311" s="3" t="s">
        <v>2194</v>
      </c>
      <c r="B2311" s="3" t="s">
        <v>2195</v>
      </c>
      <c r="C2311" s="3" t="s">
        <v>812</v>
      </c>
      <c r="D2311" s="3"/>
      <c r="E2311" s="2" t="str">
        <f>HYPERLINK("https://old.ukr-mobil.com/index.php?route=product&amp;product_id=10005257", "Перейти")</f>
        <v>Перейти</v>
      </c>
      <c r="F2311" s="2">
        <v>10005257</v>
      </c>
      <c r="G2311" s="4" t="s">
        <v>2443</v>
      </c>
      <c r="H2311" s="1">
        <v>0</v>
      </c>
      <c r="I2311" s="1">
        <v>0</v>
      </c>
      <c r="J2311" s="1">
        <v>0</v>
      </c>
      <c r="K2311" s="2">
        <v>6.0</v>
      </c>
    </row>
    <row r="2312" spans="1:12">
      <c r="A2312" s="3" t="s">
        <v>2194</v>
      </c>
      <c r="B2312" s="3" t="s">
        <v>2195</v>
      </c>
      <c r="C2312" s="3" t="s">
        <v>814</v>
      </c>
      <c r="D2312" s="3"/>
      <c r="E2312" s="2" t="str">
        <f>HYPERLINK("https://old.ukr-mobil.com/akkumulyator_xiaomi_11t_pro_bm58_5000_mah_original_prc_10003429", "Перейти")</f>
        <v>Перейти</v>
      </c>
      <c r="F2312" s="2">
        <v>10003429</v>
      </c>
      <c r="G2312" s="4" t="s">
        <v>2444</v>
      </c>
      <c r="H2312" s="1">
        <v>0</v>
      </c>
      <c r="I2312" s="1">
        <v>0</v>
      </c>
      <c r="J2312" s="1">
        <v>0</v>
      </c>
      <c r="K2312" s="2">
        <v>9.0</v>
      </c>
    </row>
    <row r="2313" spans="1:12">
      <c r="A2313" s="3" t="s">
        <v>2194</v>
      </c>
      <c r="B2313" s="3" t="s">
        <v>2195</v>
      </c>
      <c r="C2313" s="3" t="s">
        <v>814</v>
      </c>
      <c r="D2313" s="3"/>
      <c r="E2313" s="2" t="str">
        <f>HYPERLINK("https://old.ukr-mobil.com/index.php?route=product&amp;product_id=10005217", "Перейти")</f>
        <v>Перейти</v>
      </c>
      <c r="F2313" s="2">
        <v>10005217</v>
      </c>
      <c r="G2313" s="4" t="s">
        <v>2445</v>
      </c>
      <c r="H2313" s="1">
        <v>10</v>
      </c>
      <c r="I2313" s="1">
        <v>4</v>
      </c>
      <c r="J2313" s="1">
        <v>0</v>
      </c>
      <c r="K2313" s="2">
        <v>6.0</v>
      </c>
    </row>
    <row r="2314" spans="1:12">
      <c r="A2314" s="3" t="s">
        <v>2194</v>
      </c>
      <c r="B2314" s="3" t="s">
        <v>2195</v>
      </c>
      <c r="C2314" s="3" t="s">
        <v>814</v>
      </c>
      <c r="D2314" s="3"/>
      <c r="E2314" s="2" t="str">
        <f>HYPERLINK("https://old.ukr-mobil.com/index.php?route=product&amp;product_id=10005221", "Перейти")</f>
        <v>Перейти</v>
      </c>
      <c r="F2314" s="2">
        <v>10005221</v>
      </c>
      <c r="G2314" s="4" t="s">
        <v>2446</v>
      </c>
      <c r="H2314" s="1">
        <v>2</v>
      </c>
      <c r="I2314" s="1">
        <v>0</v>
      </c>
      <c r="J2314" s="1">
        <v>0</v>
      </c>
      <c r="K2314" s="2">
        <v>11.0</v>
      </c>
    </row>
    <row r="2315" spans="1:12">
      <c r="A2315" s="3" t="s">
        <v>2194</v>
      </c>
      <c r="B2315" s="3" t="s">
        <v>2195</v>
      </c>
      <c r="C2315" s="3" t="s">
        <v>814</v>
      </c>
      <c r="D2315" s="3"/>
      <c r="E2315" s="2" t="str">
        <f>HYPERLINK("https://old.ukr-mobil.com/akkumulyator_xiaomi_12_12x_bp46_4500_mah_original_prc_10003430", "Перейти")</f>
        <v>Перейти</v>
      </c>
      <c r="F2315" s="2">
        <v>10003430</v>
      </c>
      <c r="G2315" s="4" t="s">
        <v>2447</v>
      </c>
      <c r="H2315" s="1">
        <v>32</v>
      </c>
      <c r="I2315" s="1">
        <v>10</v>
      </c>
      <c r="J2315" s="1">
        <v>9</v>
      </c>
      <c r="K2315" s="2">
        <v>4.0</v>
      </c>
    </row>
    <row r="2316" spans="1:12">
      <c r="A2316" s="3" t="s">
        <v>2194</v>
      </c>
      <c r="B2316" s="3" t="s">
        <v>2195</v>
      </c>
      <c r="C2316" s="3" t="s">
        <v>814</v>
      </c>
      <c r="D2316" s="3"/>
      <c r="E2316" s="2" t="str">
        <f>HYPERLINK("https://old.ukr-mobil.com/index.php?route=product&amp;product_id=10005219", "Перейти")</f>
        <v>Перейти</v>
      </c>
      <c r="F2316" s="2">
        <v>10005219</v>
      </c>
      <c r="G2316" s="4" t="s">
        <v>2448</v>
      </c>
      <c r="H2316" s="1">
        <v>22</v>
      </c>
      <c r="I2316" s="1">
        <v>6</v>
      </c>
      <c r="J2316" s="1">
        <v>7</v>
      </c>
      <c r="K2316" s="2">
        <v>8.0</v>
      </c>
    </row>
    <row r="2317" spans="1:12">
      <c r="A2317" s="3" t="s">
        <v>2194</v>
      </c>
      <c r="B2317" s="3" t="s">
        <v>2195</v>
      </c>
      <c r="C2317" s="3" t="s">
        <v>814</v>
      </c>
      <c r="D2317" s="3"/>
      <c r="E2317" s="2" t="str">
        <f>HYPERLINK("https://old.ukr-mobil.com/index.php?route=product&amp;product_id=10005211", "Перейти")</f>
        <v>Перейти</v>
      </c>
      <c r="F2317" s="2">
        <v>10005211</v>
      </c>
      <c r="G2317" s="4" t="s">
        <v>2449</v>
      </c>
      <c r="H2317" s="1">
        <v>10</v>
      </c>
      <c r="I2317" s="1">
        <v>2</v>
      </c>
      <c r="J2317" s="1">
        <v>4</v>
      </c>
      <c r="K2317" s="2">
        <v>3.5</v>
      </c>
    </row>
    <row r="2318" spans="1:12">
      <c r="A2318" s="3" t="s">
        <v>2194</v>
      </c>
      <c r="B2318" s="3" t="s">
        <v>2195</v>
      </c>
      <c r="C2318" s="3" t="s">
        <v>814</v>
      </c>
      <c r="D2318" s="3"/>
      <c r="E2318" s="2" t="str">
        <f>HYPERLINK("https://old.ukr-mobil.com/index.php?route=product&amp;product_id=10005212", "Перейти")</f>
        <v>Перейти</v>
      </c>
      <c r="F2318" s="2">
        <v>10005212</v>
      </c>
      <c r="G2318" s="4" t="s">
        <v>2450</v>
      </c>
      <c r="H2318" s="1">
        <v>4</v>
      </c>
      <c r="I2318" s="1">
        <v>3</v>
      </c>
      <c r="J2318" s="1">
        <v>2</v>
      </c>
      <c r="K2318" s="2">
        <v>3.0</v>
      </c>
    </row>
    <row r="2319" spans="1:12">
      <c r="A2319" s="3" t="s">
        <v>2194</v>
      </c>
      <c r="B2319" s="3" t="s">
        <v>2195</v>
      </c>
      <c r="C2319" s="3" t="s">
        <v>814</v>
      </c>
      <c r="D2319" s="3"/>
      <c r="E2319" s="2" t="str">
        <f>HYPERLINK("https://old.ukr-mobil.com/index.php?route=product&amp;product_id=10005214", "Перейти")</f>
        <v>Перейти</v>
      </c>
      <c r="F2319" s="2">
        <v>10005214</v>
      </c>
      <c r="G2319" s="4" t="s">
        <v>2451</v>
      </c>
      <c r="H2319" s="1">
        <v>10</v>
      </c>
      <c r="I2319" s="1">
        <v>2</v>
      </c>
      <c r="J2319" s="1">
        <v>4</v>
      </c>
      <c r="K2319" s="2">
        <v>9.0</v>
      </c>
    </row>
    <row r="2320" spans="1:12">
      <c r="A2320" s="3" t="s">
        <v>2194</v>
      </c>
      <c r="B2320" s="3" t="s">
        <v>2195</v>
      </c>
      <c r="C2320" s="3" t="s">
        <v>814</v>
      </c>
      <c r="D2320" s="3"/>
      <c r="E2320" s="2" t="str">
        <f>HYPERLINK("https://old.ukr-mobil.com/index.php?route=product&amp;product_id=10005213", "Перейти")</f>
        <v>Перейти</v>
      </c>
      <c r="F2320" s="2">
        <v>10005213</v>
      </c>
      <c r="G2320" s="4" t="s">
        <v>2452</v>
      </c>
      <c r="H2320" s="1">
        <v>0</v>
      </c>
      <c r="I2320" s="1">
        <v>0</v>
      </c>
      <c r="J2320" s="1">
        <v>0</v>
      </c>
      <c r="K2320" s="2">
        <v>20.0</v>
      </c>
    </row>
    <row r="2321" spans="1:12">
      <c r="A2321" s="3" t="s">
        <v>2194</v>
      </c>
      <c r="B2321" s="3" t="s">
        <v>2195</v>
      </c>
      <c r="C2321" s="3" t="s">
        <v>814</v>
      </c>
      <c r="D2321" s="3"/>
      <c r="E2321" s="2" t="str">
        <f>HYPERLINK("https://old.ukr-mobil.com/akkumulyator_xiaomi_mi_10_lite_bm4r_4100_mah_original_prc_10001975", "Перейти")</f>
        <v>Перейти</v>
      </c>
      <c r="F2321" s="2">
        <v>10001975</v>
      </c>
      <c r="G2321" s="4" t="s">
        <v>2453</v>
      </c>
      <c r="H2321" s="1">
        <v>13</v>
      </c>
      <c r="I2321" s="1">
        <v>9</v>
      </c>
      <c r="J2321" s="1">
        <v>4</v>
      </c>
      <c r="K2321" s="2">
        <v>4.5</v>
      </c>
    </row>
    <row r="2322" spans="1:12">
      <c r="A2322" s="3" t="s">
        <v>2194</v>
      </c>
      <c r="B2322" s="3" t="s">
        <v>2195</v>
      </c>
      <c r="C2322" s="3" t="s">
        <v>814</v>
      </c>
      <c r="D2322" s="3"/>
      <c r="E2322" s="2" t="str">
        <f>HYPERLINK("https://old.ukr-mobil.com/akkumulyator_xiaomi_mi_10_bm4n_4780_mah_original_prc_10003426", "Перейти")</f>
        <v>Перейти</v>
      </c>
      <c r="F2322" s="2">
        <v>10003426</v>
      </c>
      <c r="G2322" s="4" t="s">
        <v>2454</v>
      </c>
      <c r="H2322" s="1">
        <v>1</v>
      </c>
      <c r="I2322" s="1">
        <v>3</v>
      </c>
      <c r="J2322" s="1">
        <v>7</v>
      </c>
      <c r="K2322" s="2">
        <v>7.0</v>
      </c>
    </row>
    <row r="2323" spans="1:12">
      <c r="A2323" s="3" t="s">
        <v>2194</v>
      </c>
      <c r="B2323" s="3" t="s">
        <v>2195</v>
      </c>
      <c r="C2323" s="3" t="s">
        <v>814</v>
      </c>
      <c r="D2323" s="3"/>
      <c r="E2323" s="2" t="str">
        <f>HYPERLINK("https://old.ukr-mobil.com/akkumulyator_xiaomi_mi_10t_mi_10t_pro_bm53_5000_mah_original_prc_10002971", "Перейти")</f>
        <v>Перейти</v>
      </c>
      <c r="F2323" s="2">
        <v>10002971</v>
      </c>
      <c r="G2323" s="4" t="s">
        <v>2455</v>
      </c>
      <c r="H2323" s="1">
        <v>0</v>
      </c>
      <c r="I2323" s="1">
        <v>0</v>
      </c>
      <c r="J2323" s="1">
        <v>0</v>
      </c>
      <c r="K2323" s="2">
        <v>5.0</v>
      </c>
    </row>
    <row r="2324" spans="1:12">
      <c r="A2324" s="3" t="s">
        <v>2194</v>
      </c>
      <c r="B2324" s="3" t="s">
        <v>2195</v>
      </c>
      <c r="C2324" s="3" t="s">
        <v>814</v>
      </c>
      <c r="D2324" s="3"/>
      <c r="E2324" s="2" t="str">
        <f>HYPERLINK("https://old.ukr-mobil.com/akkumulyator_xiaomi_mi_11_bm4x_4600_mah_original_prc_10003427", "Перейти")</f>
        <v>Перейти</v>
      </c>
      <c r="F2324" s="2">
        <v>10003427</v>
      </c>
      <c r="G2324" s="4" t="s">
        <v>2456</v>
      </c>
      <c r="H2324" s="1">
        <v>0</v>
      </c>
      <c r="I2324" s="1">
        <v>0</v>
      </c>
      <c r="J2324" s="1">
        <v>0</v>
      </c>
      <c r="K2324" s="2">
        <v>7.0</v>
      </c>
    </row>
    <row r="2325" spans="1:12">
      <c r="A2325" s="3" t="s">
        <v>2194</v>
      </c>
      <c r="B2325" s="3" t="s">
        <v>2195</v>
      </c>
      <c r="C2325" s="3" t="s">
        <v>814</v>
      </c>
      <c r="D2325" s="3"/>
      <c r="E2325" s="2" t="str">
        <f>HYPERLINK("https://old.ukr-mobil.com/akkumulyator_xiaomi_mi_11i_poco_f3_redmi_k40_bm4y_4520_mah_original_prc_10003428", "Перейти")</f>
        <v>Перейти</v>
      </c>
      <c r="F2325" s="2">
        <v>10003428</v>
      </c>
      <c r="G2325" s="4" t="s">
        <v>2457</v>
      </c>
      <c r="H2325" s="1">
        <v>0</v>
      </c>
      <c r="I2325" s="1">
        <v>0</v>
      </c>
      <c r="J2325" s="1">
        <v>0</v>
      </c>
      <c r="K2325" s="2">
        <v>13.0</v>
      </c>
    </row>
    <row r="2326" spans="1:12">
      <c r="A2326" s="3" t="s">
        <v>2194</v>
      </c>
      <c r="B2326" s="3" t="s">
        <v>2195</v>
      </c>
      <c r="C2326" s="3" t="s">
        <v>814</v>
      </c>
      <c r="D2326" s="3"/>
      <c r="E2326" s="2" t="str">
        <f>HYPERLINK("https://old.ukr-mobil.com/akkumulyator_xiaomi_mi8_lite_bm3j_3350mah_10000603", "Перейти")</f>
        <v>Перейти</v>
      </c>
      <c r="F2326" s="2">
        <v>10000603</v>
      </c>
      <c r="G2326" s="4" t="s">
        <v>2458</v>
      </c>
      <c r="H2326" s="1">
        <v>23</v>
      </c>
      <c r="I2326" s="1">
        <v>5</v>
      </c>
      <c r="J2326" s="1">
        <v>18</v>
      </c>
      <c r="K2326" s="2">
        <v>4.0</v>
      </c>
    </row>
    <row r="2327" spans="1:12">
      <c r="A2327" s="3" t="s">
        <v>2194</v>
      </c>
      <c r="B2327" s="3" t="s">
        <v>2195</v>
      </c>
      <c r="C2327" s="3" t="s">
        <v>814</v>
      </c>
      <c r="D2327" s="3"/>
      <c r="E2327" s="2" t="str">
        <f>HYPERLINK("https://old.ukr-mobil.com/akkumulyator_xiaomi_mi_8_se_bm3d_3120_mah_10000998", "Перейти")</f>
        <v>Перейти</v>
      </c>
      <c r="F2327" s="2">
        <v>10000998</v>
      </c>
      <c r="G2327" s="4" t="s">
        <v>2459</v>
      </c>
      <c r="H2327" s="1">
        <v>22</v>
      </c>
      <c r="I2327" s="1">
        <v>12</v>
      </c>
      <c r="J2327" s="1">
        <v>13</v>
      </c>
      <c r="K2327" s="2">
        <v>2.0</v>
      </c>
    </row>
    <row r="2328" spans="1:12">
      <c r="A2328" s="3" t="s">
        <v>2194</v>
      </c>
      <c r="B2328" s="3" t="s">
        <v>2195</v>
      </c>
      <c r="C2328" s="3" t="s">
        <v>814</v>
      </c>
      <c r="D2328" s="3"/>
      <c r="E2328" s="2" t="str">
        <f>HYPERLINK("https://old.ukr-mobil.com/akkumulyator_xiaomi_mi_8_bm3e_3300_mah_10000999", "Перейти")</f>
        <v>Перейти</v>
      </c>
      <c r="F2328" s="2">
        <v>10000999</v>
      </c>
      <c r="G2328" s="4" t="s">
        <v>2460</v>
      </c>
      <c r="H2328" s="1">
        <v>0</v>
      </c>
      <c r="I2328" s="1">
        <v>0</v>
      </c>
      <c r="J2328" s="1">
        <v>6</v>
      </c>
      <c r="K2328" s="2">
        <v>2.0</v>
      </c>
    </row>
    <row r="2329" spans="1:12">
      <c r="A2329" s="3" t="s">
        <v>2194</v>
      </c>
      <c r="B2329" s="3" t="s">
        <v>2195</v>
      </c>
      <c r="C2329" s="3" t="s">
        <v>814</v>
      </c>
      <c r="D2329" s="3"/>
      <c r="E2329" s="2" t="str">
        <f>HYPERLINK("https://old.ukr-mobil.com/akkumulyator_xiaomi_mi_8_bm3e_3300_mah_original_prc_10002178", "Перейти")</f>
        <v>Перейти</v>
      </c>
      <c r="F2329" s="2">
        <v>10002178</v>
      </c>
      <c r="G2329" s="4" t="s">
        <v>2461</v>
      </c>
      <c r="H2329" s="1">
        <v>0</v>
      </c>
      <c r="I2329" s="1">
        <v>7</v>
      </c>
      <c r="J2329" s="1">
        <v>3</v>
      </c>
      <c r="K2329" s="2">
        <v>4.0</v>
      </c>
    </row>
    <row r="2330" spans="1:12">
      <c r="A2330" s="3" t="s">
        <v>2194</v>
      </c>
      <c r="B2330" s="3" t="s">
        <v>2195</v>
      </c>
      <c r="C2330" s="3" t="s">
        <v>814</v>
      </c>
      <c r="D2330" s="3"/>
      <c r="E2330" s="2" t="str">
        <f>HYPERLINK("https://old.ukr-mobil.com/akkumulyator_xiaomi_mi_9_se_bm3m_3070_mah_10000995", "Перейти")</f>
        <v>Перейти</v>
      </c>
      <c r="F2330" s="2">
        <v>10000995</v>
      </c>
      <c r="G2330" s="4" t="s">
        <v>2462</v>
      </c>
      <c r="H2330" s="1">
        <v>0</v>
      </c>
      <c r="I2330" s="1">
        <v>7</v>
      </c>
      <c r="J2330" s="1">
        <v>2</v>
      </c>
      <c r="K2330" s="2">
        <v>4.0</v>
      </c>
    </row>
    <row r="2331" spans="1:12">
      <c r="A2331" s="3" t="s">
        <v>2194</v>
      </c>
      <c r="B2331" s="3" t="s">
        <v>2195</v>
      </c>
      <c r="C2331" s="3" t="s">
        <v>814</v>
      </c>
      <c r="D2331" s="3"/>
      <c r="E2331" s="2" t="str">
        <f>HYPERLINK("https://old.ukr-mobil.com/akkumulyator_xiaomi_mi_9_bm3l_3300_mah_10000996", "Перейти")</f>
        <v>Перейти</v>
      </c>
      <c r="F2331" s="2">
        <v>10000996</v>
      </c>
      <c r="G2331" s="4" t="s">
        <v>2463</v>
      </c>
      <c r="H2331" s="1">
        <v>14</v>
      </c>
      <c r="I2331" s="1">
        <v>17</v>
      </c>
      <c r="J2331" s="1">
        <v>22</v>
      </c>
      <c r="K2331" s="2">
        <v>2.8</v>
      </c>
    </row>
    <row r="2332" spans="1:12">
      <c r="A2332" s="3" t="s">
        <v>2194</v>
      </c>
      <c r="B2332" s="3" t="s">
        <v>2195</v>
      </c>
      <c r="C2332" s="3" t="s">
        <v>814</v>
      </c>
      <c r="D2332" s="3"/>
      <c r="E2332" s="2" t="str">
        <f>HYPERLINK("https://old.ukr-mobil.com/akkumulyator_xiaomi_mi_9_bm3l_3300_mah_original_prc_10001982", "Перейти")</f>
        <v>Перейти</v>
      </c>
      <c r="F2332" s="2">
        <v>10001982</v>
      </c>
      <c r="G2332" s="4" t="s">
        <v>2464</v>
      </c>
      <c r="H2332" s="1">
        <v>4</v>
      </c>
      <c r="I2332" s="1">
        <v>1</v>
      </c>
      <c r="J2332" s="1">
        <v>1</v>
      </c>
      <c r="K2332" s="2">
        <v>3.0</v>
      </c>
    </row>
    <row r="2333" spans="1:12">
      <c r="A2333" s="3" t="s">
        <v>2194</v>
      </c>
      <c r="B2333" s="3" t="s">
        <v>2195</v>
      </c>
      <c r="C2333" s="3" t="s">
        <v>814</v>
      </c>
      <c r="D2333" s="3"/>
      <c r="E2333" s="2" t="str">
        <f>HYPERLINK("https://old.ukr-mobil.com/akkumulyator_xiaomi_mi_9t_redmi_k20_bp41_4000_mah_original_prc_10003056", "Перейти")</f>
        <v>Перейти</v>
      </c>
      <c r="F2333" s="2">
        <v>10003056</v>
      </c>
      <c r="G2333" s="4" t="s">
        <v>2465</v>
      </c>
      <c r="H2333" s="1">
        <v>28</v>
      </c>
      <c r="I2333" s="1">
        <v>29</v>
      </c>
      <c r="J2333" s="1">
        <v>17</v>
      </c>
      <c r="K2333" s="2">
        <v>2.5</v>
      </c>
    </row>
    <row r="2334" spans="1:12">
      <c r="A2334" s="3" t="s">
        <v>2194</v>
      </c>
      <c r="B2334" s="3" t="s">
        <v>2195</v>
      </c>
      <c r="C2334" s="3" t="s">
        <v>814</v>
      </c>
      <c r="D2334" s="3"/>
      <c r="E2334" s="2" t="str">
        <f>HYPERLINK("https://old.ukr-mobil.com/akkumulyator_xiaomi_mi_a1_redmi_note_5a_redmi_note_5a_prime_redmi_s2_bn31_3080mah_10758", "Перейти")</f>
        <v>Перейти</v>
      </c>
      <c r="F2334" s="2">
        <v>10758</v>
      </c>
      <c r="G2334" s="4" t="s">
        <v>2466</v>
      </c>
      <c r="H2334" s="1">
        <v>42</v>
      </c>
      <c r="I2334" s="1">
        <v>15</v>
      </c>
      <c r="J2334" s="1">
        <v>6</v>
      </c>
      <c r="K2334" s="2">
        <v>3.0</v>
      </c>
    </row>
    <row r="2335" spans="1:12">
      <c r="A2335" s="3" t="s">
        <v>2194</v>
      </c>
      <c r="B2335" s="3" t="s">
        <v>2195</v>
      </c>
      <c r="C2335" s="3" t="s">
        <v>814</v>
      </c>
      <c r="D2335" s="3"/>
      <c r="E2335" s="2" t="str">
        <f>HYPERLINK("https://old.ukr-mobil.com/akkumulyator_xiaomi_mi_a1_redmi_note_5a_redmi_note_5a_prime_redmi_s2_bn31_3080mah_original_prc_10001337", "Перейти")</f>
        <v>Перейти</v>
      </c>
      <c r="F2335" s="2">
        <v>10001337</v>
      </c>
      <c r="G2335" s="4" t="s">
        <v>2467</v>
      </c>
      <c r="H2335" s="1">
        <v>0</v>
      </c>
      <c r="I2335" s="1">
        <v>0</v>
      </c>
      <c r="J2335" s="1">
        <v>0</v>
      </c>
      <c r="K2335" s="2">
        <v>2.5</v>
      </c>
    </row>
    <row r="2336" spans="1:12">
      <c r="A2336" s="3" t="s">
        <v>2194</v>
      </c>
      <c r="B2336" s="3" t="s">
        <v>2195</v>
      </c>
      <c r="C2336" s="3" t="s">
        <v>814</v>
      </c>
      <c r="D2336" s="3"/>
      <c r="E2336" s="2" t="str">
        <f>HYPERLINK("https://old.ukr-mobil.com/akkumulyator_xiaomi_mi_a2_lite_redmi_6_pro_bn47_3900_mah_original_prc_10001340", "Перейти")</f>
        <v>Перейти</v>
      </c>
      <c r="F2336" s="2">
        <v>10001340</v>
      </c>
      <c r="G2336" s="4" t="s">
        <v>2468</v>
      </c>
      <c r="H2336" s="1">
        <v>42</v>
      </c>
      <c r="I2336" s="1">
        <v>7</v>
      </c>
      <c r="J2336" s="1">
        <v>1</v>
      </c>
      <c r="K2336" s="2">
        <v>3.0</v>
      </c>
    </row>
    <row r="2337" spans="1:12">
      <c r="A2337" s="3" t="s">
        <v>2194</v>
      </c>
      <c r="B2337" s="3" t="s">
        <v>2195</v>
      </c>
      <c r="C2337" s="3" t="s">
        <v>814</v>
      </c>
      <c r="D2337" s="3"/>
      <c r="E2337" s="2" t="str">
        <f>HYPERLINK("https://old.ukr-mobil.com/akkumulyator_xiaomi_mi_a2_bn36_2800_mah_high_copy_10002970", "Перейти")</f>
        <v>Перейти</v>
      </c>
      <c r="F2337" s="2">
        <v>10002970</v>
      </c>
      <c r="G2337" s="4" t="s">
        <v>2469</v>
      </c>
      <c r="H2337" s="1">
        <v>2</v>
      </c>
      <c r="I2337" s="1">
        <v>6</v>
      </c>
      <c r="J2337" s="1">
        <v>9</v>
      </c>
      <c r="K2337" s="2">
        <v>3.0</v>
      </c>
    </row>
    <row r="2338" spans="1:12">
      <c r="A2338" s="3" t="s">
        <v>2194</v>
      </c>
      <c r="B2338" s="3" t="s">
        <v>2195</v>
      </c>
      <c r="C2338" s="3" t="s">
        <v>814</v>
      </c>
      <c r="D2338" s="3"/>
      <c r="E2338" s="2" t="str">
        <f>HYPERLINK("https://old.ukr-mobil.com/akkumulyator_xiaomi_mi_a2_bn36_3010_mah_10001000", "Перейти")</f>
        <v>Перейти</v>
      </c>
      <c r="F2338" s="2">
        <v>10001000</v>
      </c>
      <c r="G2338" s="4" t="s">
        <v>2470</v>
      </c>
      <c r="H2338" s="1">
        <v>7</v>
      </c>
      <c r="I2338" s="1">
        <v>4</v>
      </c>
      <c r="J2338" s="1">
        <v>1</v>
      </c>
      <c r="K2338" s="2">
        <v>6.0</v>
      </c>
    </row>
    <row r="2339" spans="1:12">
      <c r="A2339" s="3" t="s">
        <v>2194</v>
      </c>
      <c r="B2339" s="3" t="s">
        <v>2195</v>
      </c>
      <c r="C2339" s="3" t="s">
        <v>814</v>
      </c>
      <c r="D2339" s="3"/>
      <c r="E2339" s="2" t="str">
        <f>HYPERLINK("https://old.ukr-mobil.com/akkumulyator_xiaomi_mi_a3_bm4f_3940_mah_10000997", "Перейти")</f>
        <v>Перейти</v>
      </c>
      <c r="F2339" s="2">
        <v>10000997</v>
      </c>
      <c r="G2339" s="4" t="s">
        <v>2471</v>
      </c>
      <c r="H2339" s="1">
        <v>0</v>
      </c>
      <c r="I2339" s="1">
        <v>0</v>
      </c>
      <c r="J2339" s="1">
        <v>0</v>
      </c>
      <c r="K2339" s="2">
        <v>5.0</v>
      </c>
    </row>
    <row r="2340" spans="1:12">
      <c r="A2340" s="3" t="s">
        <v>2194</v>
      </c>
      <c r="B2340" s="3" t="s">
        <v>2195</v>
      </c>
      <c r="C2340" s="3" t="s">
        <v>814</v>
      </c>
      <c r="D2340" s="3"/>
      <c r="E2340" s="2" t="str">
        <f>HYPERLINK("https://old.ukr-mobil.com/akkumulyator_xiaomi_mi_max_bm49_4760_mah_8439", "Перейти")</f>
        <v>Перейти</v>
      </c>
      <c r="F2340" s="2">
        <v>8439</v>
      </c>
      <c r="G2340" s="4" t="s">
        <v>2472</v>
      </c>
      <c r="H2340" s="1">
        <v>7</v>
      </c>
      <c r="I2340" s="1">
        <v>3</v>
      </c>
      <c r="J2340" s="1">
        <v>3</v>
      </c>
      <c r="K2340" s="2">
        <v>5.6</v>
      </c>
    </row>
    <row r="2341" spans="1:12">
      <c r="A2341" s="3" t="s">
        <v>2194</v>
      </c>
      <c r="B2341" s="3" t="s">
        <v>2195</v>
      </c>
      <c r="C2341" s="3" t="s">
        <v>814</v>
      </c>
      <c r="D2341" s="3"/>
      <c r="E2341" s="2" t="str">
        <f>HYPERLINK("https://old.ukr-mobil.com/akkumulyator_xiaomi_mi_mix_2_mi_mix_evo_bm3b_3400mah_10756", "Перейти")</f>
        <v>Перейти</v>
      </c>
      <c r="F2341" s="2">
        <v>10756</v>
      </c>
      <c r="G2341" s="4" t="s">
        <v>2473</v>
      </c>
      <c r="H2341" s="1">
        <v>12</v>
      </c>
      <c r="I2341" s="1">
        <v>6</v>
      </c>
      <c r="J2341" s="1">
        <v>8</v>
      </c>
      <c r="K2341" s="2">
        <v>4.0</v>
      </c>
    </row>
    <row r="2342" spans="1:12">
      <c r="A2342" s="3" t="s">
        <v>2194</v>
      </c>
      <c r="B2342" s="3" t="s">
        <v>2195</v>
      </c>
      <c r="C2342" s="3" t="s">
        <v>814</v>
      </c>
      <c r="D2342" s="3"/>
      <c r="E2342" s="2" t="str">
        <f>HYPERLINK("https://old.ukr-mobil.com/akkumulyator_xiaomi_mi_mix_3_bm3k_3200_mah_10000990", "Перейти")</f>
        <v>Перейти</v>
      </c>
      <c r="F2342" s="2">
        <v>10000990</v>
      </c>
      <c r="G2342" s="4" t="s">
        <v>2474</v>
      </c>
      <c r="H2342" s="1">
        <v>34</v>
      </c>
      <c r="I2342" s="1">
        <v>3</v>
      </c>
      <c r="J2342" s="1">
        <v>7</v>
      </c>
      <c r="K2342" s="2">
        <v>3.0</v>
      </c>
    </row>
    <row r="2343" spans="1:12">
      <c r="A2343" s="3" t="s">
        <v>2194</v>
      </c>
      <c r="B2343" s="3" t="s">
        <v>2195</v>
      </c>
      <c r="C2343" s="3" t="s">
        <v>814</v>
      </c>
      <c r="D2343" s="3"/>
      <c r="E2343" s="2" t="str">
        <f>HYPERLINK("https://old.ukr-mobil.com/akkumulyator_xiaomi_mi_note_10_mi_note_10_lite_mi_note_10_pro_bm52_5260_mah_original_prc_10001976", "Перейти")</f>
        <v>Перейти</v>
      </c>
      <c r="F2343" s="2">
        <v>10001976</v>
      </c>
      <c r="G2343" s="4" t="s">
        <v>2475</v>
      </c>
      <c r="H2343" s="1">
        <v>0</v>
      </c>
      <c r="I2343" s="1">
        <v>0</v>
      </c>
      <c r="J2343" s="1">
        <v>0</v>
      </c>
      <c r="K2343" s="2">
        <v>5.0</v>
      </c>
    </row>
    <row r="2344" spans="1:12">
      <c r="A2344" s="3" t="s">
        <v>2194</v>
      </c>
      <c r="B2344" s="3" t="s">
        <v>2195</v>
      </c>
      <c r="C2344" s="3" t="s">
        <v>814</v>
      </c>
      <c r="D2344" s="3"/>
      <c r="E2344" s="2" t="str">
        <f>HYPERLINK("https://old.ukr-mobil.com/akkumulyator_xiaomi_mi_play_bn39_2900_mah_10000989", "Перейти")</f>
        <v>Перейти</v>
      </c>
      <c r="F2344" s="2">
        <v>10000989</v>
      </c>
      <c r="G2344" s="4" t="s">
        <v>2476</v>
      </c>
      <c r="H2344" s="1">
        <v>40</v>
      </c>
      <c r="I2344" s="1">
        <v>0</v>
      </c>
      <c r="J2344" s="1">
        <v>5</v>
      </c>
      <c r="K2344" s="2">
        <v>2.5</v>
      </c>
    </row>
    <row r="2345" spans="1:12">
      <c r="A2345" s="3" t="s">
        <v>2194</v>
      </c>
      <c r="B2345" s="3" t="s">
        <v>2195</v>
      </c>
      <c r="C2345" s="3" t="s">
        <v>814</v>
      </c>
      <c r="D2345" s="3"/>
      <c r="E2345" s="2" t="str">
        <f>HYPERLINK("https://old.ukr-mobil.com/akkumulyator_xiaomi_mi3_bm31_3050_mah_8441", "Перейти")</f>
        <v>Перейти</v>
      </c>
      <c r="F2345" s="2">
        <v>8441</v>
      </c>
      <c r="G2345" s="4" t="s">
        <v>2477</v>
      </c>
      <c r="H2345" s="1">
        <v>1</v>
      </c>
      <c r="I2345" s="1">
        <v>0</v>
      </c>
      <c r="J2345" s="1">
        <v>0</v>
      </c>
      <c r="K2345" s="2">
        <v>2.85</v>
      </c>
    </row>
    <row r="2346" spans="1:12">
      <c r="A2346" s="3" t="s">
        <v>2194</v>
      </c>
      <c r="B2346" s="3" t="s">
        <v>2195</v>
      </c>
      <c r="C2346" s="3" t="s">
        <v>814</v>
      </c>
      <c r="D2346" s="3"/>
      <c r="E2346" s="2" t="str">
        <f>HYPERLINK("https://old.ukr-mobil.com/akkumulyator_xiaomi_poco_x3_pro_poco_x3_gt_poco_x3_nfc_bn57_5160_mah_original_prc_10003431", "Перейти")</f>
        <v>Перейти</v>
      </c>
      <c r="F2346" s="2">
        <v>10003431</v>
      </c>
      <c r="G2346" s="4" t="s">
        <v>2478</v>
      </c>
      <c r="H2346" s="1">
        <v>0</v>
      </c>
      <c r="I2346" s="1">
        <v>0</v>
      </c>
      <c r="J2346" s="1">
        <v>0</v>
      </c>
      <c r="K2346" s="2">
        <v>8.0</v>
      </c>
    </row>
    <row r="2347" spans="1:12">
      <c r="A2347" s="3" t="s">
        <v>2194</v>
      </c>
      <c r="B2347" s="3" t="s">
        <v>2195</v>
      </c>
      <c r="C2347" s="3" t="s">
        <v>814</v>
      </c>
      <c r="D2347" s="3"/>
      <c r="E2347" s="2" t="str">
        <f>HYPERLINK("https://old.ukr-mobil.com/akkumulyator_xiaomi_pocophone_f1_bm4e_3200_mah_high_copy_10002975", "Перейти")</f>
        <v>Перейти</v>
      </c>
      <c r="F2347" s="2">
        <v>10002975</v>
      </c>
      <c r="G2347" s="4" t="s">
        <v>2479</v>
      </c>
      <c r="H2347" s="1">
        <v>24</v>
      </c>
      <c r="I2347" s="1">
        <v>13</v>
      </c>
      <c r="J2347" s="1">
        <v>8</v>
      </c>
      <c r="K2347" s="2">
        <v>3.5</v>
      </c>
    </row>
    <row r="2348" spans="1:12">
      <c r="A2348" s="3" t="s">
        <v>2194</v>
      </c>
      <c r="B2348" s="3" t="s">
        <v>2195</v>
      </c>
      <c r="C2348" s="3" t="s">
        <v>814</v>
      </c>
      <c r="D2348" s="3"/>
      <c r="E2348" s="2" t="str">
        <f>HYPERLINK("https://old.ukr-mobil.com/akkumulyator_xiaomi_pocophone_f1_bm4e_3900_mah_10001015", "Перейти")</f>
        <v>Перейти</v>
      </c>
      <c r="F2348" s="2">
        <v>10001015</v>
      </c>
      <c r="G2348" s="4" t="s">
        <v>2480</v>
      </c>
      <c r="H2348" s="1">
        <v>3</v>
      </c>
      <c r="I2348" s="1">
        <v>1</v>
      </c>
      <c r="J2348" s="1">
        <v>0</v>
      </c>
      <c r="K2348" s="2">
        <v>4.0</v>
      </c>
    </row>
    <row r="2349" spans="1:12">
      <c r="A2349" s="3" t="s">
        <v>2194</v>
      </c>
      <c r="B2349" s="3" t="s">
        <v>2195</v>
      </c>
      <c r="C2349" s="3" t="s">
        <v>814</v>
      </c>
      <c r="D2349" s="3"/>
      <c r="E2349" s="2" t="str">
        <f>HYPERLINK("https://old.ukr-mobil.com/akkumulyator_xiaomi_redmi_10c_bn5g_5000_mah_original_prc_10004499", "Перейти")</f>
        <v>Перейти</v>
      </c>
      <c r="F2349" s="2">
        <v>10004499</v>
      </c>
      <c r="G2349" s="4" t="s">
        <v>2481</v>
      </c>
      <c r="H2349" s="1">
        <v>60</v>
      </c>
      <c r="I2349" s="1">
        <v>8</v>
      </c>
      <c r="J2349" s="1">
        <v>9</v>
      </c>
      <c r="K2349" s="2">
        <v>4.8</v>
      </c>
    </row>
    <row r="2350" spans="1:12">
      <c r="A2350" s="3" t="s">
        <v>2194</v>
      </c>
      <c r="B2350" s="3" t="s">
        <v>2195</v>
      </c>
      <c r="C2350" s="3" t="s">
        <v>814</v>
      </c>
      <c r="D2350" s="3"/>
      <c r="E2350" s="2" t="str">
        <f>HYPERLINK("https://old.ukr-mobil.com/index.php?route=product&amp;product_id=10005218", "Перейти")</f>
        <v>Перейти</v>
      </c>
      <c r="F2350" s="2">
        <v>10005218</v>
      </c>
      <c r="G2350" s="4" t="s">
        <v>2482</v>
      </c>
      <c r="H2350" s="1">
        <v>56</v>
      </c>
      <c r="I2350" s="1">
        <v>15</v>
      </c>
      <c r="J2350" s="1">
        <v>14</v>
      </c>
      <c r="K2350" s="2">
        <v>4.0</v>
      </c>
    </row>
    <row r="2351" spans="1:12">
      <c r="A2351" s="3" t="s">
        <v>2194</v>
      </c>
      <c r="B2351" s="3" t="s">
        <v>2195</v>
      </c>
      <c r="C2351" s="3" t="s">
        <v>814</v>
      </c>
      <c r="D2351" s="3"/>
      <c r="E2351" s="2" t="str">
        <f>HYPERLINK("https://old.ukr-mobil.com/akkumulyator_xiaomi_redmi_5_plus_bn44_4000mah_10754", "Перейти")</f>
        <v>Перейти</v>
      </c>
      <c r="F2351" s="2">
        <v>10754</v>
      </c>
      <c r="G2351" s="4" t="s">
        <v>2483</v>
      </c>
      <c r="H2351" s="1">
        <v>0</v>
      </c>
      <c r="I2351" s="1">
        <v>0</v>
      </c>
      <c r="J2351" s="1">
        <v>0</v>
      </c>
      <c r="K2351" s="2">
        <v>2.85</v>
      </c>
    </row>
    <row r="2352" spans="1:12">
      <c r="A2352" s="3" t="s">
        <v>2194</v>
      </c>
      <c r="B2352" s="3" t="s">
        <v>2195</v>
      </c>
      <c r="C2352" s="3" t="s">
        <v>814</v>
      </c>
      <c r="D2352" s="3"/>
      <c r="E2352" s="2" t="str">
        <f>HYPERLINK("https://old.ukr-mobil.com/akkumulyator_xiaomi_redmi_6_redmi_6a_bn37_2900_mah_original_10001334", "Перейти")</f>
        <v>Перейти</v>
      </c>
      <c r="F2352" s="2">
        <v>10001334</v>
      </c>
      <c r="G2352" s="4" t="s">
        <v>2484</v>
      </c>
      <c r="H2352" s="1">
        <v>0</v>
      </c>
      <c r="I2352" s="1">
        <v>0</v>
      </c>
      <c r="J2352" s="1">
        <v>0</v>
      </c>
      <c r="K2352" s="2">
        <v>4.5</v>
      </c>
    </row>
    <row r="2353" spans="1:12">
      <c r="A2353" s="3" t="s">
        <v>2194</v>
      </c>
      <c r="B2353" s="3" t="s">
        <v>2195</v>
      </c>
      <c r="C2353" s="3" t="s">
        <v>814</v>
      </c>
      <c r="D2353" s="3"/>
      <c r="E2353" s="2" t="str">
        <f>HYPERLINK("https://old.ukr-mobil.com/akkumulyator_xiaomi_redmi_7a_bn49_4000_mah_original_prc_10002179", "Перейти")</f>
        <v>Перейти</v>
      </c>
      <c r="F2353" s="2">
        <v>10002179</v>
      </c>
      <c r="G2353" s="4" t="s">
        <v>2485</v>
      </c>
      <c r="H2353" s="1">
        <v>36</v>
      </c>
      <c r="I2353" s="1">
        <v>11</v>
      </c>
      <c r="J2353" s="1">
        <v>9</v>
      </c>
      <c r="K2353" s="2">
        <v>2.8</v>
      </c>
    </row>
    <row r="2354" spans="1:12">
      <c r="A2354" s="3" t="s">
        <v>2194</v>
      </c>
      <c r="B2354" s="3" t="s">
        <v>2195</v>
      </c>
      <c r="C2354" s="3" t="s">
        <v>814</v>
      </c>
      <c r="D2354" s="3"/>
      <c r="E2354" s="2" t="str">
        <f>HYPERLINK("https://old.ukr-mobil.com/akkumulyator_xiaomi_redmi_8_redmi_8a_bn51_4900_mah_10000528", "Перейти")</f>
        <v>Перейти</v>
      </c>
      <c r="F2354" s="2">
        <v>10000528</v>
      </c>
      <c r="G2354" s="4" t="s">
        <v>2486</v>
      </c>
      <c r="H2354" s="1">
        <v>0</v>
      </c>
      <c r="I2354" s="1">
        <v>0</v>
      </c>
      <c r="J2354" s="1">
        <v>0</v>
      </c>
      <c r="K2354" s="2">
        <v>3.5</v>
      </c>
    </row>
    <row r="2355" spans="1:12">
      <c r="A2355" s="3" t="s">
        <v>2194</v>
      </c>
      <c r="B2355" s="3" t="s">
        <v>2195</v>
      </c>
      <c r="C2355" s="3" t="s">
        <v>814</v>
      </c>
      <c r="D2355" s="3"/>
      <c r="E2355" s="2" t="str">
        <f>HYPERLINK("https://old.ukr-mobil.com/akkumulyator_xiaomi_redmi_8_redmi_8a_bn51_4900_mah_original_prc_10001342", "Перейти")</f>
        <v>Перейти</v>
      </c>
      <c r="F2355" s="2">
        <v>10001342</v>
      </c>
      <c r="G2355" s="4" t="s">
        <v>2487</v>
      </c>
      <c r="H2355" s="1">
        <v>21</v>
      </c>
      <c r="I2355" s="1">
        <v>9</v>
      </c>
      <c r="J2355" s="1">
        <v>1</v>
      </c>
      <c r="K2355" s="2">
        <v>4.0</v>
      </c>
    </row>
    <row r="2356" spans="1:12">
      <c r="A2356" s="3" t="s">
        <v>2194</v>
      </c>
      <c r="B2356" s="3" t="s">
        <v>2195</v>
      </c>
      <c r="C2356" s="3" t="s">
        <v>814</v>
      </c>
      <c r="D2356" s="3"/>
      <c r="E2356" s="2" t="str">
        <f>HYPERLINK("https://old.ukr-mobil.com/akkumulyator_xiaomi_redmi_9a_redmi_9c_poco_m2_pro_bn56_5000_mah_original_prc_10001980", "Перейти")</f>
        <v>Перейти</v>
      </c>
      <c r="F2356" s="2">
        <v>10001980</v>
      </c>
      <c r="G2356" s="4" t="s">
        <v>2488</v>
      </c>
      <c r="H2356" s="1">
        <v>77</v>
      </c>
      <c r="I2356" s="1">
        <v>19</v>
      </c>
      <c r="J2356" s="1">
        <v>0</v>
      </c>
      <c r="K2356" s="2">
        <v>3.5</v>
      </c>
    </row>
    <row r="2357" spans="1:12">
      <c r="A2357" s="3" t="s">
        <v>2194</v>
      </c>
      <c r="B2357" s="3" t="s">
        <v>2195</v>
      </c>
      <c r="C2357" s="3" t="s">
        <v>814</v>
      </c>
      <c r="D2357" s="3"/>
      <c r="E2357" s="2" t="str">
        <f>HYPERLINK("https://old.ukr-mobil.com/akkumulyator_xiaomi_redmi_note_10_redmi_note_10s_bn59_4600_mah_original_prc_10002961", "Перейти")</f>
        <v>Перейти</v>
      </c>
      <c r="F2357" s="2">
        <v>10002961</v>
      </c>
      <c r="G2357" s="4" t="s">
        <v>2489</v>
      </c>
      <c r="H2357" s="1">
        <v>65</v>
      </c>
      <c r="I2357" s="1">
        <v>14</v>
      </c>
      <c r="J2357" s="1">
        <v>12</v>
      </c>
      <c r="K2357" s="2">
        <v>4.5</v>
      </c>
    </row>
    <row r="2358" spans="1:12">
      <c r="A2358" s="3" t="s">
        <v>2194</v>
      </c>
      <c r="B2358" s="3" t="s">
        <v>2195</v>
      </c>
      <c r="C2358" s="3" t="s">
        <v>814</v>
      </c>
      <c r="D2358" s="3"/>
      <c r="E2358" s="2" t="str">
        <f>HYPERLINK("https://old.ukr-mobil.com/index.php?route=product&amp;product_id=10005215", "Перейти")</f>
        <v>Перейти</v>
      </c>
      <c r="F2358" s="2">
        <v>10005215</v>
      </c>
      <c r="G2358" s="4" t="s">
        <v>2490</v>
      </c>
      <c r="H2358" s="1">
        <v>65</v>
      </c>
      <c r="I2358" s="1">
        <v>11</v>
      </c>
      <c r="J2358" s="1">
        <v>12</v>
      </c>
      <c r="K2358" s="2">
        <v>4.0</v>
      </c>
    </row>
    <row r="2359" spans="1:12">
      <c r="A2359" s="3" t="s">
        <v>2194</v>
      </c>
      <c r="B2359" s="3" t="s">
        <v>2195</v>
      </c>
      <c r="C2359" s="3" t="s">
        <v>814</v>
      </c>
      <c r="D2359" s="3"/>
      <c r="E2359" s="2" t="str">
        <f>HYPERLINK("https://old.ukr-mobil.com/index.php?route=product&amp;product_id=10005216", "Перейти")</f>
        <v>Перейти</v>
      </c>
      <c r="F2359" s="2">
        <v>10005216</v>
      </c>
      <c r="G2359" s="4" t="s">
        <v>2491</v>
      </c>
      <c r="H2359" s="1">
        <v>34</v>
      </c>
      <c r="I2359" s="1">
        <v>1</v>
      </c>
      <c r="J2359" s="1">
        <v>4</v>
      </c>
      <c r="K2359" s="2">
        <v>5.0</v>
      </c>
    </row>
    <row r="2360" spans="1:12">
      <c r="A2360" s="3" t="s">
        <v>2194</v>
      </c>
      <c r="B2360" s="3" t="s">
        <v>2195</v>
      </c>
      <c r="C2360" s="3" t="s">
        <v>814</v>
      </c>
      <c r="D2360" s="3"/>
      <c r="E2360" s="2" t="str">
        <f>HYPERLINK("https://old.ukr-mobil.com/index.php?route=product&amp;product_id=10005220", "Перейти")</f>
        <v>Перейти</v>
      </c>
      <c r="F2360" s="2">
        <v>10005220</v>
      </c>
      <c r="G2360" s="4" t="s">
        <v>2492</v>
      </c>
      <c r="H2360" s="1">
        <v>19</v>
      </c>
      <c r="I2360" s="1">
        <v>5</v>
      </c>
      <c r="J2360" s="1">
        <v>8</v>
      </c>
      <c r="K2360" s="2">
        <v>5.0</v>
      </c>
    </row>
    <row r="2361" spans="1:12">
      <c r="A2361" s="3" t="s">
        <v>2194</v>
      </c>
      <c r="B2361" s="3" t="s">
        <v>2195</v>
      </c>
      <c r="C2361" s="3" t="s">
        <v>814</v>
      </c>
      <c r="D2361" s="3"/>
      <c r="E2361" s="2" t="str">
        <f>HYPERLINK("https://old.ukr-mobil.com/index.php?route=product&amp;product_id=10005222", "Перейти")</f>
        <v>Перейти</v>
      </c>
      <c r="F2361" s="2">
        <v>10005222</v>
      </c>
      <c r="G2361" s="4" t="s">
        <v>2493</v>
      </c>
      <c r="H2361" s="1">
        <v>0</v>
      </c>
      <c r="I2361" s="1">
        <v>0</v>
      </c>
      <c r="J2361" s="1">
        <v>0</v>
      </c>
      <c r="K2361" s="2">
        <v>6.5</v>
      </c>
    </row>
    <row r="2362" spans="1:12">
      <c r="A2362" s="3" t="s">
        <v>2194</v>
      </c>
      <c r="B2362" s="3" t="s">
        <v>2195</v>
      </c>
      <c r="C2362" s="3" t="s">
        <v>814</v>
      </c>
      <c r="D2362" s="3"/>
      <c r="E2362" s="2" t="str">
        <f>HYPERLINK("https://old.ukr-mobil.com/akkumulyator_xiaomi_redmi_note_5_bn45_4000mah_10755", "Перейти")</f>
        <v>Перейти</v>
      </c>
      <c r="F2362" s="2">
        <v>10755</v>
      </c>
      <c r="G2362" s="4" t="s">
        <v>2494</v>
      </c>
      <c r="H2362" s="1">
        <v>0</v>
      </c>
      <c r="I2362" s="1">
        <v>0</v>
      </c>
      <c r="J2362" s="1">
        <v>0</v>
      </c>
      <c r="K2362" s="2">
        <v>5.0</v>
      </c>
    </row>
    <row r="2363" spans="1:12">
      <c r="A2363" s="3" t="s">
        <v>2194</v>
      </c>
      <c r="B2363" s="3" t="s">
        <v>2195</v>
      </c>
      <c r="C2363" s="3" t="s">
        <v>814</v>
      </c>
      <c r="D2363" s="3"/>
      <c r="E2363" s="2" t="str">
        <f>HYPERLINK("https://old.ukr-mobil.com/akkumulyator_xiaomi_redmi_note_6_pro_bn48_4000_mah_12075", "Перейти")</f>
        <v>Перейти</v>
      </c>
      <c r="F2363" s="2">
        <v>12075</v>
      </c>
      <c r="G2363" s="4" t="s">
        <v>2495</v>
      </c>
      <c r="H2363" s="1">
        <v>31</v>
      </c>
      <c r="I2363" s="1">
        <v>14</v>
      </c>
      <c r="J2363" s="1">
        <v>10</v>
      </c>
      <c r="K2363" s="2">
        <v>5.5</v>
      </c>
    </row>
    <row r="2364" spans="1:12">
      <c r="A2364" s="3" t="s">
        <v>2194</v>
      </c>
      <c r="B2364" s="3" t="s">
        <v>2195</v>
      </c>
      <c r="C2364" s="3" t="s">
        <v>814</v>
      </c>
      <c r="D2364" s="3"/>
      <c r="E2364" s="2" t="str">
        <f>HYPERLINK("https://old.ukr-mobil.com/akkumulyator_xiaomi_redmi_note_6_pro_bn48_4000_mah_original_prc_10001339", "Перейти")</f>
        <v>Перейти</v>
      </c>
      <c r="F2364" s="2">
        <v>10001339</v>
      </c>
      <c r="G2364" s="4" t="s">
        <v>2496</v>
      </c>
      <c r="H2364" s="1">
        <v>1</v>
      </c>
      <c r="I2364" s="1">
        <v>1</v>
      </c>
      <c r="J2364" s="1">
        <v>0</v>
      </c>
      <c r="K2364" s="2">
        <v>5.0</v>
      </c>
    </row>
    <row r="2365" spans="1:12">
      <c r="A2365" s="3" t="s">
        <v>2194</v>
      </c>
      <c r="B2365" s="3" t="s">
        <v>2195</v>
      </c>
      <c r="C2365" s="3" t="s">
        <v>814</v>
      </c>
      <c r="D2365" s="3"/>
      <c r="E2365" s="2" t="str">
        <f>HYPERLINK("https://old.ukr-mobil.com/akkumulyator_xiaomi_redmi_note_7_bn4a_4000_mah_12072", "Перейти")</f>
        <v>Перейти</v>
      </c>
      <c r="F2365" s="2">
        <v>12072</v>
      </c>
      <c r="G2365" s="4" t="s">
        <v>2497</v>
      </c>
      <c r="H2365" s="1">
        <v>0</v>
      </c>
      <c r="I2365" s="1">
        <v>0</v>
      </c>
      <c r="J2365" s="1">
        <v>0</v>
      </c>
      <c r="K2365" s="2">
        <v>6.65</v>
      </c>
    </row>
    <row r="2366" spans="1:12">
      <c r="A2366" s="3" t="s">
        <v>2194</v>
      </c>
      <c r="B2366" s="3" t="s">
        <v>2195</v>
      </c>
      <c r="C2366" s="3" t="s">
        <v>814</v>
      </c>
      <c r="D2366" s="3"/>
      <c r="E2366" s="2" t="str">
        <f>HYPERLINK("https://old.ukr-mobil.com/akkumulyator_xiaomi_redmi_note_9s_bn55_4920_mah_original_prc_10001979", "Перейти")</f>
        <v>Перейти</v>
      </c>
      <c r="F2366" s="2">
        <v>10001979</v>
      </c>
      <c r="G2366" s="4" t="s">
        <v>2498</v>
      </c>
      <c r="H2366" s="1">
        <v>4</v>
      </c>
      <c r="I2366" s="1">
        <v>0</v>
      </c>
      <c r="J2366" s="1">
        <v>0</v>
      </c>
      <c r="K2366" s="2">
        <v>6.0</v>
      </c>
    </row>
    <row r="2367" spans="1:12">
      <c r="A2367" s="3" t="s">
        <v>2194</v>
      </c>
      <c r="B2367" s="3" t="s">
        <v>2195</v>
      </c>
      <c r="C2367" s="3" t="s">
        <v>2499</v>
      </c>
      <c r="D2367" s="3"/>
      <c r="E2367" s="2" t="str">
        <f>HYPERLINK("https://old.ukr-mobil.com/akkumulyator_zte_blade_20_smart_v1050_v2050_li3949t44p8h906450_4000_mah_original_prc_10002709", "Перейти")</f>
        <v>Перейти</v>
      </c>
      <c r="F2367" s="2">
        <v>10002709</v>
      </c>
      <c r="G2367" s="4" t="s">
        <v>2500</v>
      </c>
      <c r="H2367" s="1">
        <v>0</v>
      </c>
      <c r="I2367" s="1">
        <v>0</v>
      </c>
      <c r="J2367" s="1">
        <v>0</v>
      </c>
      <c r="K2367" s="2">
        <v>10.0</v>
      </c>
    </row>
    <row r="2368" spans="1:12">
      <c r="A2368" s="3" t="s">
        <v>2194</v>
      </c>
      <c r="B2368" s="3" t="s">
        <v>2195</v>
      </c>
      <c r="C2368" s="3" t="s">
        <v>2499</v>
      </c>
      <c r="D2368" s="3"/>
      <c r="E2368" s="2" t="str">
        <f>HYPERLINK("https://old.ukr-mobil.com/akkumulyator_zte_blade_a5_2020_li3931t44p8h806139_3200_mah_original_prc_10002710", "Перейти")</f>
        <v>Перейти</v>
      </c>
      <c r="F2368" s="2">
        <v>10002710</v>
      </c>
      <c r="G2368" s="4" t="s">
        <v>2501</v>
      </c>
      <c r="H2368" s="1">
        <v>0</v>
      </c>
      <c r="I2368" s="1">
        <v>0</v>
      </c>
      <c r="J2368" s="1">
        <v>0</v>
      </c>
      <c r="K2368" s="2">
        <v>6.0</v>
      </c>
    </row>
    <row r="2369" spans="1:12">
      <c r="A2369" s="3" t="s">
        <v>2194</v>
      </c>
      <c r="B2369" s="3" t="s">
        <v>2195</v>
      </c>
      <c r="C2369" s="3" t="s">
        <v>2499</v>
      </c>
      <c r="D2369" s="3"/>
      <c r="E2369" s="2" t="str">
        <f>HYPERLINK("https://old.ukr-mobil.com/akkumulyator_zte_blade_a7_2020_blade_a7s_2020_li3839t43p8h826348_4000_mah_original_prc_10002964", "Перейти")</f>
        <v>Перейти</v>
      </c>
      <c r="F2369" s="2">
        <v>10002964</v>
      </c>
      <c r="G2369" s="4" t="s">
        <v>2502</v>
      </c>
      <c r="H2369" s="1">
        <v>0</v>
      </c>
      <c r="I2369" s="1">
        <v>0</v>
      </c>
      <c r="J2369" s="1">
        <v>0</v>
      </c>
      <c r="K2369" s="2">
        <v>9.0</v>
      </c>
    </row>
    <row r="2370" spans="1:12">
      <c r="A2370" s="3" t="s">
        <v>2194</v>
      </c>
      <c r="B2370" s="3" t="s">
        <v>2503</v>
      </c>
      <c r="C2370" s="3" t="s">
        <v>643</v>
      </c>
      <c r="D2370" s="3"/>
      <c r="E2370" s="2" t="str">
        <f>HYPERLINK("https://old.ukr-mobil.com/buzer_iphone_5_3912", "Перейти")</f>
        <v>Перейти</v>
      </c>
      <c r="F2370" s="2">
        <v>3912</v>
      </c>
      <c r="G2370" s="4" t="s">
        <v>2504</v>
      </c>
      <c r="H2370" s="1">
        <v>14</v>
      </c>
      <c r="I2370" s="1">
        <v>0</v>
      </c>
      <c r="J2370" s="1">
        <v>0</v>
      </c>
      <c r="K2370" s="2">
        <v>1.01</v>
      </c>
    </row>
    <row r="2371" spans="1:12">
      <c r="A2371" s="3" t="s">
        <v>2194</v>
      </c>
      <c r="B2371" s="3" t="s">
        <v>2503</v>
      </c>
      <c r="C2371" s="3" t="s">
        <v>643</v>
      </c>
      <c r="D2371" s="3"/>
      <c r="E2371" s="2" t="str">
        <f>HYPERLINK("https://old.ukr-mobil.com/dinamik_iphone_11_pro_max_original_10000745", "Перейти")</f>
        <v>Перейти</v>
      </c>
      <c r="F2371" s="2">
        <v>10000745</v>
      </c>
      <c r="G2371" s="4" t="s">
        <v>2505</v>
      </c>
      <c r="H2371" s="1">
        <v>0</v>
      </c>
      <c r="I2371" s="1">
        <v>0</v>
      </c>
      <c r="J2371" s="1">
        <v>0</v>
      </c>
      <c r="K2371" s="2">
        <v>2.5</v>
      </c>
    </row>
    <row r="2372" spans="1:12">
      <c r="A2372" s="3" t="s">
        <v>2194</v>
      </c>
      <c r="B2372" s="3" t="s">
        <v>2503</v>
      </c>
      <c r="C2372" s="3" t="s">
        <v>643</v>
      </c>
      <c r="D2372" s="3"/>
      <c r="E2372" s="2" t="str">
        <f>HYPERLINK("https://old.ukr-mobil.com/dinamik_iphone_11_pro_original_10000742", "Перейти")</f>
        <v>Перейти</v>
      </c>
      <c r="F2372" s="2">
        <v>10000742</v>
      </c>
      <c r="G2372" s="4" t="s">
        <v>2506</v>
      </c>
      <c r="H2372" s="1">
        <v>0</v>
      </c>
      <c r="I2372" s="1">
        <v>0</v>
      </c>
      <c r="J2372" s="1">
        <v>0</v>
      </c>
      <c r="K2372" s="2">
        <v>7.0</v>
      </c>
    </row>
    <row r="2373" spans="1:12">
      <c r="A2373" s="3" t="s">
        <v>2194</v>
      </c>
      <c r="B2373" s="3" t="s">
        <v>2503</v>
      </c>
      <c r="C2373" s="3" t="s">
        <v>643</v>
      </c>
      <c r="D2373" s="3"/>
      <c r="E2373" s="2" t="str">
        <f>HYPERLINK("https://old.ukr-mobil.com/dinamik_iphone_11_original_10000739", "Перейти")</f>
        <v>Перейти</v>
      </c>
      <c r="F2373" s="2">
        <v>10000739</v>
      </c>
      <c r="G2373" s="4" t="s">
        <v>2507</v>
      </c>
      <c r="H2373" s="1">
        <v>0</v>
      </c>
      <c r="I2373" s="1">
        <v>0</v>
      </c>
      <c r="J2373" s="1">
        <v>0</v>
      </c>
      <c r="K2373" s="2">
        <v>5.5</v>
      </c>
    </row>
    <row r="2374" spans="1:12">
      <c r="A2374" s="3" t="s">
        <v>2194</v>
      </c>
      <c r="B2374" s="3" t="s">
        <v>2503</v>
      </c>
      <c r="C2374" s="3" t="s">
        <v>643</v>
      </c>
      <c r="D2374" s="3"/>
      <c r="E2374" s="2" t="str">
        <f>HYPERLINK("https://old.ukr-mobil.com/dinamik_apple_iphone_12_pro_max_original_10002275", "Перейти")</f>
        <v>Перейти</v>
      </c>
      <c r="F2374" s="2">
        <v>10002275</v>
      </c>
      <c r="G2374" s="4" t="s">
        <v>2508</v>
      </c>
      <c r="H2374" s="1">
        <v>0</v>
      </c>
      <c r="I2374" s="1">
        <v>0</v>
      </c>
      <c r="J2374" s="1">
        <v>0</v>
      </c>
      <c r="K2374" s="2">
        <v>3.0</v>
      </c>
    </row>
    <row r="2375" spans="1:12">
      <c r="A2375" s="3" t="s">
        <v>2194</v>
      </c>
      <c r="B2375" s="3" t="s">
        <v>2503</v>
      </c>
      <c r="C2375" s="3" t="s">
        <v>643</v>
      </c>
      <c r="D2375" s="3"/>
      <c r="E2375" s="2" t="str">
        <f>HYPERLINK("https://old.ukr-mobil.com/dinamik_apple_iphone_12_iphone_12_pro_original_10002274", "Перейти")</f>
        <v>Перейти</v>
      </c>
      <c r="F2375" s="2">
        <v>10002274</v>
      </c>
      <c r="G2375" s="4" t="s">
        <v>2509</v>
      </c>
      <c r="H2375" s="1">
        <v>0</v>
      </c>
      <c r="I2375" s="1">
        <v>0</v>
      </c>
      <c r="J2375" s="1">
        <v>0</v>
      </c>
      <c r="K2375" s="2">
        <v>2.95</v>
      </c>
    </row>
    <row r="2376" spans="1:12">
      <c r="A2376" s="3" t="s">
        <v>2194</v>
      </c>
      <c r="B2376" s="3" t="s">
        <v>2503</v>
      </c>
      <c r="C2376" s="3" t="s">
        <v>643</v>
      </c>
      <c r="D2376" s="3"/>
      <c r="E2376" s="2" t="str">
        <f>HYPERLINK("https://old.ukr-mobil.com/dinamik_iphone_5_original_4091", "Перейти")</f>
        <v>Перейти</v>
      </c>
      <c r="F2376" s="2">
        <v>4091</v>
      </c>
      <c r="G2376" s="4" t="s">
        <v>2510</v>
      </c>
      <c r="H2376" s="1">
        <v>19</v>
      </c>
      <c r="I2376" s="1">
        <v>0</v>
      </c>
      <c r="J2376" s="1">
        <v>0</v>
      </c>
      <c r="K2376" s="2">
        <v>1.01</v>
      </c>
    </row>
    <row r="2377" spans="1:12">
      <c r="A2377" s="3" t="s">
        <v>2194</v>
      </c>
      <c r="B2377" s="3" t="s">
        <v>2503</v>
      </c>
      <c r="C2377" s="3" t="s">
        <v>643</v>
      </c>
      <c r="D2377" s="3"/>
      <c r="E2377" s="2" t="str">
        <f>HYPERLINK("https://old.ukr-mobil.com/dinamik_iphone_5s_original_7283", "Перейти")</f>
        <v>Перейти</v>
      </c>
      <c r="F2377" s="2">
        <v>7283</v>
      </c>
      <c r="G2377" s="4" t="s">
        <v>2511</v>
      </c>
      <c r="H2377" s="1">
        <v>27</v>
      </c>
      <c r="I2377" s="1">
        <v>0</v>
      </c>
      <c r="J2377" s="1">
        <v>5</v>
      </c>
      <c r="K2377" s="2">
        <v>0.5</v>
      </c>
    </row>
    <row r="2378" spans="1:12">
      <c r="A2378" s="3" t="s">
        <v>2194</v>
      </c>
      <c r="B2378" s="3" t="s">
        <v>2503</v>
      </c>
      <c r="C2378" s="3" t="s">
        <v>643</v>
      </c>
      <c r="D2378" s="3"/>
      <c r="E2378" s="2" t="str">
        <f>HYPERLINK("https://old.ukr-mobil.com/dinamik_iphone_6_plus_original_11591", "Перейти")</f>
        <v>Перейти</v>
      </c>
      <c r="F2378" s="2">
        <v>11591</v>
      </c>
      <c r="G2378" s="4" t="s">
        <v>2512</v>
      </c>
      <c r="H2378" s="1">
        <v>26</v>
      </c>
      <c r="I2378" s="1">
        <v>0</v>
      </c>
      <c r="J2378" s="1">
        <v>3</v>
      </c>
      <c r="K2378" s="2">
        <v>0.76</v>
      </c>
    </row>
    <row r="2379" spans="1:12">
      <c r="A2379" s="3" t="s">
        <v>2194</v>
      </c>
      <c r="B2379" s="3" t="s">
        <v>2503</v>
      </c>
      <c r="C2379" s="3" t="s">
        <v>643</v>
      </c>
      <c r="D2379" s="3"/>
      <c r="E2379" s="2" t="str">
        <f>HYPERLINK("https://old.ukr-mobil.com/dinamik_iphone_6_original_7284", "Перейти")</f>
        <v>Перейти</v>
      </c>
      <c r="F2379" s="2">
        <v>7284</v>
      </c>
      <c r="G2379" s="4" t="s">
        <v>2513</v>
      </c>
      <c r="H2379" s="1">
        <v>53</v>
      </c>
      <c r="I2379" s="1">
        <v>0</v>
      </c>
      <c r="J2379" s="1">
        <v>0</v>
      </c>
      <c r="K2379" s="2">
        <v>0.55</v>
      </c>
    </row>
    <row r="2380" spans="1:12">
      <c r="A2380" s="3" t="s">
        <v>2194</v>
      </c>
      <c r="B2380" s="3" t="s">
        <v>2503</v>
      </c>
      <c r="C2380" s="3" t="s">
        <v>643</v>
      </c>
      <c r="D2380" s="3"/>
      <c r="E2380" s="2" t="str">
        <f>HYPERLINK("https://old.ukr-mobil.com/dinamik_iphone_6s_plus_original_11592", "Перейти")</f>
        <v>Перейти</v>
      </c>
      <c r="F2380" s="2">
        <v>11592</v>
      </c>
      <c r="G2380" s="4" t="s">
        <v>2514</v>
      </c>
      <c r="H2380" s="1">
        <v>3</v>
      </c>
      <c r="I2380" s="1">
        <v>0</v>
      </c>
      <c r="J2380" s="1">
        <v>3</v>
      </c>
      <c r="K2380" s="2">
        <v>0.76</v>
      </c>
    </row>
    <row r="2381" spans="1:12">
      <c r="A2381" s="3" t="s">
        <v>2194</v>
      </c>
      <c r="B2381" s="3" t="s">
        <v>2503</v>
      </c>
      <c r="C2381" s="3" t="s">
        <v>643</v>
      </c>
      <c r="D2381" s="3"/>
      <c r="E2381" s="2" t="str">
        <f>HYPERLINK("https://old.ukr-mobil.com/dinamik_iphone_6s_original_11589", "Перейти")</f>
        <v>Перейти</v>
      </c>
      <c r="F2381" s="2">
        <v>11589</v>
      </c>
      <c r="G2381" s="4" t="s">
        <v>2515</v>
      </c>
      <c r="H2381" s="1">
        <v>0</v>
      </c>
      <c r="I2381" s="1">
        <v>0</v>
      </c>
      <c r="J2381" s="1">
        <v>0</v>
      </c>
      <c r="K2381" s="2">
        <v>0.6</v>
      </c>
    </row>
    <row r="2382" spans="1:12">
      <c r="A2382" s="3" t="s">
        <v>2194</v>
      </c>
      <c r="B2382" s="3" t="s">
        <v>2503</v>
      </c>
      <c r="C2382" s="3" t="s">
        <v>643</v>
      </c>
      <c r="D2382" s="3"/>
      <c r="E2382" s="2" t="str">
        <f>HYPERLINK("https://old.ukr-mobil.com/dinamik_iphone_8_plus_original_10062", "Перейти")</f>
        <v>Перейти</v>
      </c>
      <c r="F2382" s="2">
        <v>10062</v>
      </c>
      <c r="G2382" s="4" t="s">
        <v>2516</v>
      </c>
      <c r="H2382" s="1">
        <v>0</v>
      </c>
      <c r="I2382" s="1">
        <v>0</v>
      </c>
      <c r="J2382" s="1">
        <v>0</v>
      </c>
      <c r="K2382" s="2">
        <v>1.26</v>
      </c>
    </row>
    <row r="2383" spans="1:12">
      <c r="A2383" s="3" t="s">
        <v>2194</v>
      </c>
      <c r="B2383" s="3" t="s">
        <v>2503</v>
      </c>
      <c r="C2383" s="3" t="s">
        <v>643</v>
      </c>
      <c r="D2383" s="3"/>
      <c r="E2383" s="2" t="str">
        <f>HYPERLINK("https://old.ukr-mobil.com/dinamik_iphone_8_original_11590", "Перейти")</f>
        <v>Перейти</v>
      </c>
      <c r="F2383" s="2">
        <v>11590</v>
      </c>
      <c r="G2383" s="4" t="s">
        <v>2517</v>
      </c>
      <c r="H2383" s="1">
        <v>0</v>
      </c>
      <c r="I2383" s="1">
        <v>0</v>
      </c>
      <c r="J2383" s="1">
        <v>0</v>
      </c>
      <c r="K2383" s="2">
        <v>1.01</v>
      </c>
    </row>
    <row r="2384" spans="1:12">
      <c r="A2384" s="3" t="s">
        <v>2194</v>
      </c>
      <c r="B2384" s="3" t="s">
        <v>2503</v>
      </c>
      <c r="C2384" s="3" t="s">
        <v>643</v>
      </c>
      <c r="D2384" s="3"/>
      <c r="E2384" s="2" t="str">
        <f>HYPERLINK("https://old.ukr-mobil.com/dinamik_apple_iphone_x_original_10002273", "Перейти")</f>
        <v>Перейти</v>
      </c>
      <c r="F2384" s="2">
        <v>10002273</v>
      </c>
      <c r="G2384" s="4" t="s">
        <v>2518</v>
      </c>
      <c r="H2384" s="1">
        <v>64</v>
      </c>
      <c r="I2384" s="1">
        <v>8</v>
      </c>
      <c r="J2384" s="1">
        <v>16</v>
      </c>
      <c r="K2384" s="2">
        <v>1.75</v>
      </c>
    </row>
    <row r="2385" spans="1:12">
      <c r="A2385" s="3" t="s">
        <v>2194</v>
      </c>
      <c r="B2385" s="3" t="s">
        <v>2503</v>
      </c>
      <c r="C2385" s="3" t="s">
        <v>643</v>
      </c>
      <c r="D2385" s="3"/>
      <c r="E2385" s="2" t="str">
        <f>HYPERLINK("https://old.ukr-mobil.com/dinamik_apple_iphone_xs_max_original_10001642", "Перейти")</f>
        <v>Перейти</v>
      </c>
      <c r="F2385" s="2">
        <v>10001642</v>
      </c>
      <c r="G2385" s="4" t="s">
        <v>2519</v>
      </c>
      <c r="H2385" s="1">
        <v>0</v>
      </c>
      <c r="I2385" s="1">
        <v>0</v>
      </c>
      <c r="J2385" s="1">
        <v>0</v>
      </c>
      <c r="K2385" s="2">
        <v>2.5</v>
      </c>
    </row>
    <row r="2386" spans="1:12">
      <c r="A2386" s="3" t="s">
        <v>2194</v>
      </c>
      <c r="B2386" s="3" t="s">
        <v>2503</v>
      </c>
      <c r="C2386" s="3" t="s">
        <v>643</v>
      </c>
      <c r="D2386" s="3"/>
      <c r="E2386" s="2" t="str">
        <f>HYPERLINK("https://old.ukr-mobil.com/dinamik_apple_iphone_xs_original_10001643", "Перейти")</f>
        <v>Перейти</v>
      </c>
      <c r="F2386" s="2">
        <v>10001643</v>
      </c>
      <c r="G2386" s="4" t="s">
        <v>2520</v>
      </c>
      <c r="H2386" s="1">
        <v>0</v>
      </c>
      <c r="I2386" s="1">
        <v>0</v>
      </c>
      <c r="J2386" s="1">
        <v>0</v>
      </c>
      <c r="K2386" s="2">
        <v>2.5</v>
      </c>
    </row>
    <row r="2387" spans="1:12">
      <c r="A2387" s="3" t="s">
        <v>2194</v>
      </c>
      <c r="B2387" s="3" t="s">
        <v>2503</v>
      </c>
      <c r="C2387" s="3" t="s">
        <v>1048</v>
      </c>
      <c r="D2387" s="3"/>
      <c r="E2387" s="2" t="str">
        <f>HYPERLINK("https://old.ukr-mobil.com/dinamik_lenovo_a5000_a6000_a7000_11375", "Перейти")</f>
        <v>Перейти</v>
      </c>
      <c r="F2387" s="2">
        <v>11375</v>
      </c>
      <c r="G2387" s="4" t="s">
        <v>2521</v>
      </c>
      <c r="H2387" s="1">
        <v>10</v>
      </c>
      <c r="I2387" s="1">
        <v>0</v>
      </c>
      <c r="J2387" s="1">
        <v>0</v>
      </c>
      <c r="K2387" s="2">
        <v>1.26</v>
      </c>
    </row>
    <row r="2388" spans="1:12">
      <c r="A2388" s="3" t="s">
        <v>2194</v>
      </c>
      <c r="B2388" s="3" t="s">
        <v>2503</v>
      </c>
      <c r="C2388" s="3" t="s">
        <v>1086</v>
      </c>
      <c r="D2388" s="3"/>
      <c r="E2388" s="2" t="str">
        <f>HYPERLINK("https://old.ukr-mobil.com/buzer_nokia_720_820_lumia_original_5273", "Перейти")</f>
        <v>Перейти</v>
      </c>
      <c r="F2388" s="2">
        <v>5273</v>
      </c>
      <c r="G2388" s="4" t="s">
        <v>2522</v>
      </c>
      <c r="H2388" s="1">
        <v>2182</v>
      </c>
      <c r="I2388" s="1">
        <v>0</v>
      </c>
      <c r="J2388" s="1">
        <v>150</v>
      </c>
      <c r="K2388" s="2">
        <v>1.01</v>
      </c>
    </row>
    <row r="2389" spans="1:12">
      <c r="A2389" s="3" t="s">
        <v>2194</v>
      </c>
      <c r="B2389" s="3" t="s">
        <v>2503</v>
      </c>
      <c r="C2389" s="3" t="s">
        <v>1086</v>
      </c>
      <c r="D2389" s="3"/>
      <c r="E2389" s="2" t="str">
        <f>HYPERLINK("https://old.ukr-mobil.com/dinamik_nokia_225_620_925_1520_lumia_sony_st26_original_4427", "Перейти")</f>
        <v>Перейти</v>
      </c>
      <c r="F2389" s="2">
        <v>4427</v>
      </c>
      <c r="G2389" s="4" t="s">
        <v>2523</v>
      </c>
      <c r="H2389" s="1">
        <v>180</v>
      </c>
      <c r="I2389" s="1">
        <v>0</v>
      </c>
      <c r="J2389" s="1">
        <v>1</v>
      </c>
      <c r="K2389" s="2">
        <v>0.86</v>
      </c>
    </row>
    <row r="2390" spans="1:12">
      <c r="A2390" s="3" t="s">
        <v>2194</v>
      </c>
      <c r="B2390" s="3" t="s">
        <v>2503</v>
      </c>
      <c r="C2390" s="3" t="s">
        <v>1086</v>
      </c>
      <c r="D2390" s="3"/>
      <c r="E2390" s="2" t="str">
        <f>HYPERLINK("https://old.ukr-mobil.com/dinamik_nokia_3100_2600_3230_3250_6260_6610_7610_original_171", "Перейти")</f>
        <v>Перейти</v>
      </c>
      <c r="F2390" s="2">
        <v>171</v>
      </c>
      <c r="G2390" s="4" t="s">
        <v>2524</v>
      </c>
      <c r="H2390" s="1">
        <v>0</v>
      </c>
      <c r="I2390" s="1">
        <v>2</v>
      </c>
      <c r="J2390" s="1">
        <v>0</v>
      </c>
      <c r="K2390" s="2">
        <v>1.51</v>
      </c>
    </row>
    <row r="2391" spans="1:12">
      <c r="A2391" s="3" t="s">
        <v>2194</v>
      </c>
      <c r="B2391" s="3" t="s">
        <v>2503</v>
      </c>
      <c r="C2391" s="3" t="s">
        <v>653</v>
      </c>
      <c r="D2391" s="3"/>
      <c r="E2391" s="2" t="str">
        <f>HYPERLINK("https://old.ukr-mobil.com/displej_samsung_a736_galaxy_a73_5g_gh82-28686b_s_tachskrinom_ramkoj_service_pack_original_white_10002594", "Перейти")</f>
        <v>Перейти</v>
      </c>
      <c r="F2391" s="2">
        <v>10002594</v>
      </c>
      <c r="G2391" s="4" t="s">
        <v>2525</v>
      </c>
      <c r="H2391" s="1">
        <v>1</v>
      </c>
      <c r="I2391" s="1">
        <v>0</v>
      </c>
      <c r="J2391" s="1">
        <v>0</v>
      </c>
      <c r="K2391" s="2">
        <v>127.0</v>
      </c>
    </row>
    <row r="2392" spans="1:12">
      <c r="A2392" s="3" t="s">
        <v>2194</v>
      </c>
      <c r="B2392" s="3" t="s">
        <v>2526</v>
      </c>
      <c r="C2392" s="3" t="s">
        <v>54</v>
      </c>
      <c r="D2392" s="3"/>
      <c r="E2392" s="2" t="str">
        <f>HYPERLINK("https://old.ukr-mobil.com/displej_apple_iphone_11_pro_max_s_tachskrinom_oled_10001839", "Перейти")</f>
        <v>Перейти</v>
      </c>
      <c r="F2392" s="2">
        <v>10001839</v>
      </c>
      <c r="G2392" s="4" t="s">
        <v>2527</v>
      </c>
      <c r="H2392" s="1">
        <v>0</v>
      </c>
      <c r="I2392" s="1">
        <v>0</v>
      </c>
      <c r="J2392" s="1">
        <v>0</v>
      </c>
      <c r="K2392" s="2">
        <v>33.0</v>
      </c>
    </row>
    <row r="2393" spans="1:12">
      <c r="A2393" s="3" t="s">
        <v>2194</v>
      </c>
      <c r="B2393" s="3" t="s">
        <v>2526</v>
      </c>
      <c r="C2393" s="3" t="s">
        <v>54</v>
      </c>
      <c r="D2393" s="3"/>
      <c r="E2393" s="2" t="str">
        <f>HYPERLINK("https://old.ukr-mobil.com/displej_apple_iphone_11_pro_max_s_tachskrinom_original_vosstanovlenyj_10001838", "Перейти")</f>
        <v>Перейти</v>
      </c>
      <c r="F2393" s="2">
        <v>10001838</v>
      </c>
      <c r="G2393" s="4" t="s">
        <v>2528</v>
      </c>
      <c r="H2393" s="1">
        <v>0</v>
      </c>
      <c r="I2393" s="1">
        <v>1</v>
      </c>
      <c r="J2393" s="1">
        <v>1</v>
      </c>
      <c r="K2393" s="2">
        <v>100.0</v>
      </c>
    </row>
    <row r="2394" spans="1:12">
      <c r="A2394" s="3" t="s">
        <v>2194</v>
      </c>
      <c r="B2394" s="3" t="s">
        <v>2526</v>
      </c>
      <c r="C2394" s="3" t="s">
        <v>54</v>
      </c>
      <c r="D2394" s="3"/>
      <c r="E2394" s="2" t="str">
        <f>HYPERLINK("https://old.ukr-mobil.com/displej_iphone_11_pro_max_s_tachskrinom_original_12348", "Перейти")</f>
        <v>Перейти</v>
      </c>
      <c r="F2394" s="2">
        <v>12348</v>
      </c>
      <c r="G2394" s="4" t="s">
        <v>2529</v>
      </c>
      <c r="H2394" s="1">
        <v>3</v>
      </c>
      <c r="I2394" s="1">
        <v>1</v>
      </c>
      <c r="J2394" s="1">
        <v>2</v>
      </c>
      <c r="K2394" s="2">
        <v>69.0</v>
      </c>
    </row>
    <row r="2395" spans="1:12">
      <c r="A2395" s="3" t="s">
        <v>2194</v>
      </c>
      <c r="B2395" s="3" t="s">
        <v>2526</v>
      </c>
      <c r="C2395" s="3" t="s">
        <v>54</v>
      </c>
      <c r="D2395" s="3"/>
      <c r="E2395" s="2" t="str">
        <f>HYPERLINK("https://old.ukr-mobil.com/displej_apple_iphone_11_pro_s_tachskrinom_oled_10002323", "Перейти")</f>
        <v>Перейти</v>
      </c>
      <c r="F2395" s="2">
        <v>10002323</v>
      </c>
      <c r="G2395" s="4" t="s">
        <v>2530</v>
      </c>
      <c r="H2395" s="1">
        <v>0</v>
      </c>
      <c r="I2395" s="1">
        <v>0</v>
      </c>
      <c r="J2395" s="1">
        <v>0</v>
      </c>
      <c r="K2395" s="2">
        <v>42.0</v>
      </c>
    </row>
    <row r="2396" spans="1:12">
      <c r="A2396" s="3" t="s">
        <v>2194</v>
      </c>
      <c r="B2396" s="3" t="s">
        <v>2526</v>
      </c>
      <c r="C2396" s="3" t="s">
        <v>54</v>
      </c>
      <c r="D2396" s="3"/>
      <c r="E2396" s="2" t="str">
        <f>HYPERLINK("https://old.ukr-mobil.com/displej_iphone_11_pro_s_tachskrinom_oled_gx_10001090", "Перейти")</f>
        <v>Перейти</v>
      </c>
      <c r="F2396" s="2">
        <v>10001090</v>
      </c>
      <c r="G2396" s="4" t="s">
        <v>2531</v>
      </c>
      <c r="H2396" s="1">
        <v>0</v>
      </c>
      <c r="I2396" s="1">
        <v>5</v>
      </c>
      <c r="J2396" s="1">
        <v>2</v>
      </c>
      <c r="K2396" s="2">
        <v>37.0</v>
      </c>
    </row>
    <row r="2397" spans="1:12">
      <c r="A2397" s="3" t="s">
        <v>2194</v>
      </c>
      <c r="B2397" s="3" t="s">
        <v>2526</v>
      </c>
      <c r="C2397" s="3" t="s">
        <v>54</v>
      </c>
      <c r="D2397" s="3"/>
      <c r="E2397" s="2" t="str">
        <f>HYPERLINK("https://old.ukr-mobil.com/displej_iphone_11_pro_s_tachskrinom_original_12347", "Перейти")</f>
        <v>Перейти</v>
      </c>
      <c r="F2397" s="2">
        <v>12347</v>
      </c>
      <c r="G2397" s="4" t="s">
        <v>2532</v>
      </c>
      <c r="H2397" s="1">
        <v>0</v>
      </c>
      <c r="I2397" s="1">
        <v>0</v>
      </c>
      <c r="J2397" s="1">
        <v>0</v>
      </c>
      <c r="K2397" s="2">
        <v>156.0</v>
      </c>
    </row>
    <row r="2398" spans="1:12">
      <c r="A2398" s="3" t="s">
        <v>2194</v>
      </c>
      <c r="B2398" s="3" t="s">
        <v>2526</v>
      </c>
      <c r="C2398" s="3" t="s">
        <v>54</v>
      </c>
      <c r="D2398" s="3"/>
      <c r="E2398" s="2" t="str">
        <f>HYPERLINK("https://old.ukr-mobil.com/displej_apple_iphone_11_pro_s_tachskrinom_original_vosstanovlenyj_10001960", "Перейти")</f>
        <v>Перейти</v>
      </c>
      <c r="F2398" s="2">
        <v>10001960</v>
      </c>
      <c r="G2398" s="4" t="s">
        <v>2533</v>
      </c>
      <c r="H2398" s="1">
        <v>0</v>
      </c>
      <c r="I2398" s="1">
        <v>4</v>
      </c>
      <c r="J2398" s="1">
        <v>3</v>
      </c>
      <c r="K2398" s="2">
        <v>56.0</v>
      </c>
    </row>
    <row r="2399" spans="1:12">
      <c r="A2399" s="3" t="s">
        <v>2194</v>
      </c>
      <c r="B2399" s="3" t="s">
        <v>2526</v>
      </c>
      <c r="C2399" s="3" t="s">
        <v>54</v>
      </c>
      <c r="D2399" s="3"/>
      <c r="E2399" s="2" t="str">
        <f>HYPERLINK("https://old.ukr-mobil.com/index.php?route=product&amp;product_id=10004729", "Перейти")</f>
        <v>Перейти</v>
      </c>
      <c r="F2399" s="2">
        <v>10004729</v>
      </c>
      <c r="G2399" s="4" t="s">
        <v>2534</v>
      </c>
      <c r="H2399" s="1">
        <v>0</v>
      </c>
      <c r="I2399" s="1">
        <v>2</v>
      </c>
      <c r="J2399" s="1">
        <v>5</v>
      </c>
      <c r="K2399" s="2">
        <v>16.5</v>
      </c>
    </row>
    <row r="2400" spans="1:12">
      <c r="A2400" s="3" t="s">
        <v>2194</v>
      </c>
      <c r="B2400" s="3" t="s">
        <v>2526</v>
      </c>
      <c r="C2400" s="3" t="s">
        <v>54</v>
      </c>
      <c r="D2400" s="3"/>
      <c r="E2400" s="2" t="str">
        <f>HYPERLINK("https://old.ukr-mobil.com/displej_iphone_11_s_tachskrinom_high_copy_10000598", "Перейти")</f>
        <v>Перейти</v>
      </c>
      <c r="F2400" s="2">
        <v>10000598</v>
      </c>
      <c r="G2400" s="4" t="s">
        <v>2535</v>
      </c>
      <c r="H2400" s="1">
        <v>3</v>
      </c>
      <c r="I2400" s="1">
        <v>7</v>
      </c>
      <c r="J2400" s="1">
        <v>10</v>
      </c>
      <c r="K2400" s="2">
        <v>15.0</v>
      </c>
    </row>
    <row r="2401" spans="1:12">
      <c r="A2401" s="3" t="s">
        <v>2194</v>
      </c>
      <c r="B2401" s="3" t="s">
        <v>2526</v>
      </c>
      <c r="C2401" s="3" t="s">
        <v>54</v>
      </c>
      <c r="D2401" s="3"/>
      <c r="E2401" s="2" t="str">
        <f>HYPERLINK("https://old.ukr-mobil.com/displej_apple_iphone_11_s_tachskrinom_original_vosstanovlenyj_10001302", "Перейти")</f>
        <v>Перейти</v>
      </c>
      <c r="F2401" s="2">
        <v>10001302</v>
      </c>
      <c r="G2401" s="4" t="s">
        <v>2536</v>
      </c>
      <c r="H2401" s="1">
        <v>1</v>
      </c>
      <c r="I2401" s="1">
        <v>0</v>
      </c>
      <c r="J2401" s="1">
        <v>0</v>
      </c>
      <c r="K2401" s="2">
        <v>41.0</v>
      </c>
    </row>
    <row r="2402" spans="1:12">
      <c r="A2402" s="3" t="s">
        <v>2194</v>
      </c>
      <c r="B2402" s="3" t="s">
        <v>2526</v>
      </c>
      <c r="C2402" s="3" t="s">
        <v>54</v>
      </c>
      <c r="D2402" s="3"/>
      <c r="E2402" s="2" t="str">
        <f>HYPERLINK("https://old.ukr-mobil.com/displej_iphone_11_s_tachskrinom_original_prc_12346", "Перейти")</f>
        <v>Перейти</v>
      </c>
      <c r="F2402" s="2">
        <v>12346</v>
      </c>
      <c r="G2402" s="4" t="s">
        <v>2537</v>
      </c>
      <c r="H2402" s="1">
        <v>30</v>
      </c>
      <c r="I2402" s="1">
        <v>21</v>
      </c>
      <c r="J2402" s="1">
        <v>23</v>
      </c>
      <c r="K2402" s="2">
        <v>22.0</v>
      </c>
    </row>
    <row r="2403" spans="1:12">
      <c r="A2403" s="3" t="s">
        <v>2194</v>
      </c>
      <c r="B2403" s="3" t="s">
        <v>2526</v>
      </c>
      <c r="C2403" s="3" t="s">
        <v>54</v>
      </c>
      <c r="D2403" s="3"/>
      <c r="E2403" s="2" t="str">
        <f>HYPERLINK("https://old.ukr-mobil.com/displej_apple_iphone_12_mini_s_tachskrinom_original_10001278", "Перейти")</f>
        <v>Перейти</v>
      </c>
      <c r="F2403" s="2">
        <v>10001278</v>
      </c>
      <c r="G2403" s="4" t="s">
        <v>2538</v>
      </c>
      <c r="H2403" s="1">
        <v>0</v>
      </c>
      <c r="I2403" s="1">
        <v>0</v>
      </c>
      <c r="J2403" s="1">
        <v>0</v>
      </c>
      <c r="K2403" s="2">
        <v>125.0</v>
      </c>
    </row>
    <row r="2404" spans="1:12">
      <c r="A2404" s="3" t="s">
        <v>2194</v>
      </c>
      <c r="B2404" s="3" t="s">
        <v>2526</v>
      </c>
      <c r="C2404" s="3" t="s">
        <v>54</v>
      </c>
      <c r="D2404" s="3"/>
      <c r="E2404" s="2" t="str">
        <f>HYPERLINK("https://old.ukr-mobil.com/displej_apple_iphone_12_pro_max_s_tachskrinom_gx_oled_10003592", "Перейти")</f>
        <v>Перейти</v>
      </c>
      <c r="F2404" s="2">
        <v>10003592</v>
      </c>
      <c r="G2404" s="4" t="s">
        <v>2539</v>
      </c>
      <c r="H2404" s="1">
        <v>1</v>
      </c>
      <c r="I2404" s="1">
        <v>0</v>
      </c>
      <c r="J2404" s="1">
        <v>1</v>
      </c>
      <c r="K2404" s="2">
        <v>55.0</v>
      </c>
    </row>
    <row r="2405" spans="1:12">
      <c r="A2405" s="3" t="s">
        <v>2194</v>
      </c>
      <c r="B2405" s="3" t="s">
        <v>2526</v>
      </c>
      <c r="C2405" s="3" t="s">
        <v>54</v>
      </c>
      <c r="D2405" s="3"/>
      <c r="E2405" s="2" t="str">
        <f>HYPERLINK("https://old.ukr-mobil.com/displej_apple_iphone_12_pro_max_s_tachskrinom_oled_10002327", "Перейти")</f>
        <v>Перейти</v>
      </c>
      <c r="F2405" s="2">
        <v>10002327</v>
      </c>
      <c r="G2405" s="4" t="s">
        <v>2540</v>
      </c>
      <c r="H2405" s="1">
        <v>0</v>
      </c>
      <c r="I2405" s="1">
        <v>0</v>
      </c>
      <c r="J2405" s="1">
        <v>0</v>
      </c>
      <c r="K2405" s="2">
        <v>72.0</v>
      </c>
    </row>
    <row r="2406" spans="1:12">
      <c r="A2406" s="3" t="s">
        <v>2194</v>
      </c>
      <c r="B2406" s="3" t="s">
        <v>2526</v>
      </c>
      <c r="C2406" s="3" t="s">
        <v>54</v>
      </c>
      <c r="D2406" s="3"/>
      <c r="E2406" s="2" t="str">
        <f>HYPERLINK("https://old.ukr-mobil.com/displej_apple_iphone_12_pro_max_s_tachskrinom_original_10001276", "Перейти")</f>
        <v>Перейти</v>
      </c>
      <c r="F2406" s="2">
        <v>10001276</v>
      </c>
      <c r="G2406" s="4" t="s">
        <v>2541</v>
      </c>
      <c r="H2406" s="1">
        <v>6</v>
      </c>
      <c r="I2406" s="1">
        <v>5</v>
      </c>
      <c r="J2406" s="1">
        <v>3</v>
      </c>
      <c r="K2406" s="2">
        <v>129.0</v>
      </c>
    </row>
    <row r="2407" spans="1:12">
      <c r="A2407" s="3" t="s">
        <v>2194</v>
      </c>
      <c r="B2407" s="3" t="s">
        <v>2526</v>
      </c>
      <c r="C2407" s="3" t="s">
        <v>54</v>
      </c>
      <c r="D2407" s="3"/>
      <c r="E2407" s="2" t="str">
        <f>HYPERLINK("https://old.ukr-mobil.com/displej_apple_iphone_12_iphone_12_pro_s_tachskrinom_gx_oled_10003593", "Перейти")</f>
        <v>Перейти</v>
      </c>
      <c r="F2407" s="2">
        <v>10003593</v>
      </c>
      <c r="G2407" s="4" t="s">
        <v>2542</v>
      </c>
      <c r="H2407" s="1">
        <v>0</v>
      </c>
      <c r="I2407" s="1">
        <v>0</v>
      </c>
      <c r="J2407" s="1">
        <v>0</v>
      </c>
      <c r="K2407" s="2">
        <v>37.0</v>
      </c>
    </row>
    <row r="2408" spans="1:12">
      <c r="A2408" s="3" t="s">
        <v>2194</v>
      </c>
      <c r="B2408" s="3" t="s">
        <v>2526</v>
      </c>
      <c r="C2408" s="3" t="s">
        <v>54</v>
      </c>
      <c r="D2408" s="3"/>
      <c r="E2408" s="2" t="str">
        <f>HYPERLINK("https://old.ukr-mobil.com/displej_apple_iphone_12_iphone_12_pro_s_tachskrinom_oled_10002328", "Перейти")</f>
        <v>Перейти</v>
      </c>
      <c r="F2408" s="2">
        <v>10002328</v>
      </c>
      <c r="G2408" s="4" t="s">
        <v>2543</v>
      </c>
      <c r="H2408" s="1">
        <v>0</v>
      </c>
      <c r="I2408" s="1">
        <v>0</v>
      </c>
      <c r="J2408" s="1">
        <v>0</v>
      </c>
      <c r="K2408" s="2">
        <v>72.0</v>
      </c>
    </row>
    <row r="2409" spans="1:12">
      <c r="A2409" s="3" t="s">
        <v>2194</v>
      </c>
      <c r="B2409" s="3" t="s">
        <v>2526</v>
      </c>
      <c r="C2409" s="3" t="s">
        <v>54</v>
      </c>
      <c r="D2409" s="3"/>
      <c r="E2409" s="2" t="str">
        <f>HYPERLINK("https://old.ukr-mobil.com/displej_apple_iphone_12_iphone_12_pro_s_tachskrinom_original_10001277", "Перейти")</f>
        <v>Перейти</v>
      </c>
      <c r="F2409" s="2">
        <v>10001277</v>
      </c>
      <c r="G2409" s="4" t="s">
        <v>2544</v>
      </c>
      <c r="H2409" s="1">
        <v>1</v>
      </c>
      <c r="I2409" s="1">
        <v>0</v>
      </c>
      <c r="J2409" s="1">
        <v>0</v>
      </c>
      <c r="K2409" s="2">
        <v>135.0</v>
      </c>
    </row>
    <row r="2410" spans="1:12">
      <c r="A2410" s="3" t="s">
        <v>2194</v>
      </c>
      <c r="B2410" s="3" t="s">
        <v>2526</v>
      </c>
      <c r="C2410" s="3" t="s">
        <v>54</v>
      </c>
      <c r="D2410" s="3"/>
      <c r="E2410" s="2" t="str">
        <f>HYPERLINK("https://old.ukr-mobil.com/index.php?route=product&amp;product_id=10004973", "Перейти")</f>
        <v>Перейти</v>
      </c>
      <c r="F2410" s="2">
        <v>10004973</v>
      </c>
      <c r="G2410" s="4" t="s">
        <v>2545</v>
      </c>
      <c r="H2410" s="1">
        <v>0</v>
      </c>
      <c r="I2410" s="1">
        <v>0</v>
      </c>
      <c r="J2410" s="1">
        <v>0</v>
      </c>
      <c r="K2410" s="2">
        <v>100.0</v>
      </c>
    </row>
    <row r="2411" spans="1:12">
      <c r="A2411" s="3" t="s">
        <v>2194</v>
      </c>
      <c r="B2411" s="3" t="s">
        <v>2526</v>
      </c>
      <c r="C2411" s="3" t="s">
        <v>54</v>
      </c>
      <c r="D2411" s="3"/>
      <c r="E2411" s="2" t="str">
        <f>HYPERLINK("https://old.ukr-mobil.com/displej_apple_iphone_13_pro_max_s_tachskrinom_original_10002120", "Перейти")</f>
        <v>Перейти</v>
      </c>
      <c r="F2411" s="2">
        <v>10002120</v>
      </c>
      <c r="G2411" s="4" t="s">
        <v>2546</v>
      </c>
      <c r="H2411" s="1">
        <v>0</v>
      </c>
      <c r="I2411" s="1">
        <v>0</v>
      </c>
      <c r="J2411" s="1">
        <v>1</v>
      </c>
      <c r="K2411" s="2">
        <v>395.0</v>
      </c>
    </row>
    <row r="2412" spans="1:12">
      <c r="A2412" s="3" t="s">
        <v>2194</v>
      </c>
      <c r="B2412" s="3" t="s">
        <v>2526</v>
      </c>
      <c r="C2412" s="3" t="s">
        <v>54</v>
      </c>
      <c r="D2412" s="3"/>
      <c r="E2412" s="2" t="str">
        <f>HYPERLINK("https://old.ukr-mobil.com/index.php?route=product&amp;product_id=10004972", "Перейти")</f>
        <v>Перейти</v>
      </c>
      <c r="F2412" s="2">
        <v>10004972</v>
      </c>
      <c r="G2412" s="4" t="s">
        <v>2547</v>
      </c>
      <c r="H2412" s="1">
        <v>0</v>
      </c>
      <c r="I2412" s="1">
        <v>0</v>
      </c>
      <c r="J2412" s="1">
        <v>0</v>
      </c>
      <c r="K2412" s="2">
        <v>61.75</v>
      </c>
    </row>
    <row r="2413" spans="1:12">
      <c r="A2413" s="3" t="s">
        <v>2194</v>
      </c>
      <c r="B2413" s="3" t="s">
        <v>2526</v>
      </c>
      <c r="C2413" s="3" t="s">
        <v>54</v>
      </c>
      <c r="D2413" s="3"/>
      <c r="E2413" s="2" t="str">
        <f>HYPERLINK("https://old.ukr-mobil.com/displej_apple_iphone_13_pro_s_tachskrinom_original_10003148", "Перейти")</f>
        <v>Перейти</v>
      </c>
      <c r="F2413" s="2">
        <v>10003148</v>
      </c>
      <c r="G2413" s="4" t="s">
        <v>2548</v>
      </c>
      <c r="H2413" s="1">
        <v>1</v>
      </c>
      <c r="I2413" s="1">
        <v>0</v>
      </c>
      <c r="J2413" s="1">
        <v>1</v>
      </c>
      <c r="K2413" s="2">
        <v>150.0</v>
      </c>
    </row>
    <row r="2414" spans="1:12">
      <c r="A2414" s="3" t="s">
        <v>2194</v>
      </c>
      <c r="B2414" s="3" t="s">
        <v>2526</v>
      </c>
      <c r="C2414" s="3" t="s">
        <v>54</v>
      </c>
      <c r="D2414" s="3"/>
      <c r="E2414" s="2" t="str">
        <f>HYPERLINK("https://old.ukr-mobil.com/displej_apple_iphone_13_s_tachskrinom_oled_10003590", "Перейти")</f>
        <v>Перейти</v>
      </c>
      <c r="F2414" s="2">
        <v>10003590</v>
      </c>
      <c r="G2414" s="4" t="s">
        <v>2549</v>
      </c>
      <c r="H2414" s="1">
        <v>1</v>
      </c>
      <c r="I2414" s="1">
        <v>1</v>
      </c>
      <c r="J2414" s="1">
        <v>0</v>
      </c>
      <c r="K2414" s="2">
        <v>58.75</v>
      </c>
    </row>
    <row r="2415" spans="1:12">
      <c r="A2415" s="3" t="s">
        <v>2194</v>
      </c>
      <c r="B2415" s="3" t="s">
        <v>2526</v>
      </c>
      <c r="C2415" s="3" t="s">
        <v>54</v>
      </c>
      <c r="D2415" s="3"/>
      <c r="E2415" s="2" t="str">
        <f>HYPERLINK("https://old.ukr-mobil.com/displej_apple_iphone_13_iphone_13_pro_s_tachskrinom_original_10002119", "Перейти")</f>
        <v>Перейти</v>
      </c>
      <c r="F2415" s="2">
        <v>10002119</v>
      </c>
      <c r="G2415" s="4" t="s">
        <v>2550</v>
      </c>
      <c r="H2415" s="1">
        <v>1</v>
      </c>
      <c r="I2415" s="1">
        <v>0</v>
      </c>
      <c r="J2415" s="1">
        <v>0</v>
      </c>
      <c r="K2415" s="2">
        <v>135.0</v>
      </c>
    </row>
    <row r="2416" spans="1:12">
      <c r="A2416" s="3" t="s">
        <v>2194</v>
      </c>
      <c r="B2416" s="3" t="s">
        <v>2526</v>
      </c>
      <c r="C2416" s="3" t="s">
        <v>54</v>
      </c>
      <c r="D2416" s="3"/>
      <c r="E2416" s="2" t="str">
        <f>HYPERLINK("https://old.ukr-mobil.com/displej_apple_iphone_13_s_tachskrinom_original_prc_10003598", "Перейти")</f>
        <v>Перейти</v>
      </c>
      <c r="F2416" s="2">
        <v>10003598</v>
      </c>
      <c r="G2416" s="4" t="s">
        <v>2551</v>
      </c>
      <c r="H2416" s="1">
        <v>1</v>
      </c>
      <c r="I2416" s="1">
        <v>1</v>
      </c>
      <c r="J2416" s="1">
        <v>0</v>
      </c>
      <c r="K2416" s="2">
        <v>85.0</v>
      </c>
    </row>
    <row r="2417" spans="1:12">
      <c r="A2417" s="3" t="s">
        <v>2194</v>
      </c>
      <c r="B2417" s="3" t="s">
        <v>2526</v>
      </c>
      <c r="C2417" s="3" t="s">
        <v>54</v>
      </c>
      <c r="D2417" s="3"/>
      <c r="E2417" s="2" t="str">
        <f>HYPERLINK("https://old.ukr-mobil.com/displej_apple_iphone_14_plus_s_tachskrinom_original_vosstanovlenyj_10003596", "Перейти")</f>
        <v>Перейти</v>
      </c>
      <c r="F2417" s="2">
        <v>10003596</v>
      </c>
      <c r="G2417" s="4" t="s">
        <v>2552</v>
      </c>
      <c r="H2417" s="1">
        <v>1</v>
      </c>
      <c r="I2417" s="1">
        <v>1</v>
      </c>
      <c r="J2417" s="1">
        <v>0</v>
      </c>
      <c r="K2417" s="2">
        <v>160.0</v>
      </c>
    </row>
    <row r="2418" spans="1:12">
      <c r="A2418" s="3" t="s">
        <v>2194</v>
      </c>
      <c r="B2418" s="3" t="s">
        <v>2526</v>
      </c>
      <c r="C2418" s="3" t="s">
        <v>54</v>
      </c>
      <c r="D2418" s="3"/>
      <c r="E2418" s="2" t="str">
        <f>HYPERLINK("https://old.ukr-mobil.com/displej_apple_iphone_14_pro_max_s_tachskrinom_original_prc_10003600", "Перейти")</f>
        <v>Перейти</v>
      </c>
      <c r="F2418" s="2">
        <v>10003600</v>
      </c>
      <c r="G2418" s="4" t="s">
        <v>2553</v>
      </c>
      <c r="H2418" s="1">
        <v>0</v>
      </c>
      <c r="I2418" s="1">
        <v>0</v>
      </c>
      <c r="J2418" s="1">
        <v>0</v>
      </c>
      <c r="K2418" s="2">
        <v>193.0</v>
      </c>
    </row>
    <row r="2419" spans="1:12">
      <c r="A2419" s="3" t="s">
        <v>2194</v>
      </c>
      <c r="B2419" s="3" t="s">
        <v>2526</v>
      </c>
      <c r="C2419" s="3" t="s">
        <v>54</v>
      </c>
      <c r="D2419" s="3"/>
      <c r="E2419" s="2" t="str">
        <f>HYPERLINK("https://old.ukr-mobil.com/displej_apple_iphone_14_pro_s_tachskrinom_original_vosstanovlenyj_10003597", "Перейти")</f>
        <v>Перейти</v>
      </c>
      <c r="F2419" s="2">
        <v>10003597</v>
      </c>
      <c r="G2419" s="4" t="s">
        <v>2554</v>
      </c>
      <c r="H2419" s="1">
        <v>1</v>
      </c>
      <c r="I2419" s="1">
        <v>0</v>
      </c>
      <c r="J2419" s="1">
        <v>0</v>
      </c>
      <c r="K2419" s="2">
        <v>275.0</v>
      </c>
    </row>
    <row r="2420" spans="1:12">
      <c r="A2420" s="3" t="s">
        <v>2194</v>
      </c>
      <c r="B2420" s="3" t="s">
        <v>2526</v>
      </c>
      <c r="C2420" s="3" t="s">
        <v>54</v>
      </c>
      <c r="D2420" s="3"/>
      <c r="E2420" s="2" t="str">
        <f>HYPERLINK("https://old.ukr-mobil.com/displej_apple_iphone_14_s_tachskrinom_original_vosstanovlenyj_10003595", "Перейти")</f>
        <v>Перейти</v>
      </c>
      <c r="F2420" s="2">
        <v>10003595</v>
      </c>
      <c r="G2420" s="4" t="s">
        <v>2555</v>
      </c>
      <c r="H2420" s="1">
        <v>0</v>
      </c>
      <c r="I2420" s="1">
        <v>1</v>
      </c>
      <c r="J2420" s="1">
        <v>0</v>
      </c>
      <c r="K2420" s="2">
        <v>252.0</v>
      </c>
    </row>
    <row r="2421" spans="1:12">
      <c r="A2421" s="3" t="s">
        <v>2194</v>
      </c>
      <c r="B2421" s="3" t="s">
        <v>2526</v>
      </c>
      <c r="C2421" s="3" t="s">
        <v>54</v>
      </c>
      <c r="D2421" s="3"/>
      <c r="E2421" s="2" t="str">
        <f>HYPERLINK("https://old.ukr-mobil.com/displej_apple_iphone_14_s_tachskrinom_original_prc_10003599", "Перейти")</f>
        <v>Перейти</v>
      </c>
      <c r="F2421" s="2">
        <v>10003599</v>
      </c>
      <c r="G2421" s="4" t="s">
        <v>2556</v>
      </c>
      <c r="H2421" s="1">
        <v>4</v>
      </c>
      <c r="I2421" s="1">
        <v>3</v>
      </c>
      <c r="J2421" s="1">
        <v>3</v>
      </c>
      <c r="K2421" s="2">
        <v>100.0</v>
      </c>
    </row>
    <row r="2422" spans="1:12">
      <c r="A2422" s="3" t="s">
        <v>2194</v>
      </c>
      <c r="B2422" s="3" t="s">
        <v>2526</v>
      </c>
      <c r="C2422" s="3" t="s">
        <v>54</v>
      </c>
      <c r="D2422" s="3"/>
      <c r="E2422" s="2" t="str">
        <f>HYPERLINK("https://old.ukr-mobil.com/displej_iphone_4g_s_tachskrinom_white_original_3546", "Перейти")</f>
        <v>Перейти</v>
      </c>
      <c r="F2422" s="2">
        <v>3546</v>
      </c>
      <c r="G2422" s="4" t="s">
        <v>2557</v>
      </c>
      <c r="H2422" s="1">
        <v>0</v>
      </c>
      <c r="I2422" s="1">
        <v>0</v>
      </c>
      <c r="J2422" s="1">
        <v>0</v>
      </c>
      <c r="K2422" s="2">
        <v>5.0</v>
      </c>
    </row>
    <row r="2423" spans="1:12">
      <c r="A2423" s="3" t="s">
        <v>2194</v>
      </c>
      <c r="B2423" s="3" t="s">
        <v>2526</v>
      </c>
      <c r="C2423" s="3" t="s">
        <v>54</v>
      </c>
      <c r="D2423" s="3"/>
      <c r="E2423" s="2" t="str">
        <f>HYPERLINK("https://old.ukr-mobil.com/displej_iphone_4g_s_tachskrinom_black_4184", "Перейти")</f>
        <v>Перейти</v>
      </c>
      <c r="F2423" s="2">
        <v>4184</v>
      </c>
      <c r="G2423" s="4" t="s">
        <v>2558</v>
      </c>
      <c r="H2423" s="1">
        <v>2</v>
      </c>
      <c r="I2423" s="1">
        <v>0</v>
      </c>
      <c r="J2423" s="1">
        <v>0</v>
      </c>
      <c r="K2423" s="2">
        <v>6.0</v>
      </c>
    </row>
    <row r="2424" spans="1:12">
      <c r="A2424" s="3" t="s">
        <v>2194</v>
      </c>
      <c r="B2424" s="3" t="s">
        <v>2526</v>
      </c>
      <c r="C2424" s="3" t="s">
        <v>54</v>
      </c>
      <c r="D2424" s="3"/>
      <c r="E2424" s="2" t="str">
        <f>HYPERLINK("https://old.ukr-mobil.com/displej_iphone_4g_s_tachskrinom_white_4185", "Перейти")</f>
        <v>Перейти</v>
      </c>
      <c r="F2424" s="2">
        <v>4185</v>
      </c>
      <c r="G2424" s="4" t="s">
        <v>2559</v>
      </c>
      <c r="H2424" s="1">
        <v>27</v>
      </c>
      <c r="I2424" s="1">
        <v>32</v>
      </c>
      <c r="J2424" s="1">
        <v>4</v>
      </c>
      <c r="K2424" s="2">
        <v>5.0</v>
      </c>
    </row>
    <row r="2425" spans="1:12">
      <c r="A2425" s="3" t="s">
        <v>2194</v>
      </c>
      <c r="B2425" s="3" t="s">
        <v>2526</v>
      </c>
      <c r="C2425" s="3" t="s">
        <v>54</v>
      </c>
      <c r="D2425" s="3"/>
      <c r="E2425" s="2" t="str">
        <f>HYPERLINK("https://old.ukr-mobil.com/displej_iphone_4s_s_tachskrinom_black_4186", "Перейти")</f>
        <v>Перейти</v>
      </c>
      <c r="F2425" s="2">
        <v>4186</v>
      </c>
      <c r="G2425" s="4" t="s">
        <v>2560</v>
      </c>
      <c r="H2425" s="1">
        <v>3</v>
      </c>
      <c r="I2425" s="1">
        <v>0</v>
      </c>
      <c r="J2425" s="1">
        <v>0</v>
      </c>
      <c r="K2425" s="2">
        <v>6.5</v>
      </c>
    </row>
    <row r="2426" spans="1:12">
      <c r="A2426" s="3" t="s">
        <v>2194</v>
      </c>
      <c r="B2426" s="3" t="s">
        <v>2526</v>
      </c>
      <c r="C2426" s="3" t="s">
        <v>54</v>
      </c>
      <c r="D2426" s="3"/>
      <c r="E2426" s="2" t="str">
        <f>HYPERLINK("https://old.ukr-mobil.com/displej_iphone_4s_s_tachskrinom_white_4187", "Перейти")</f>
        <v>Перейти</v>
      </c>
      <c r="F2426" s="2">
        <v>4187</v>
      </c>
      <c r="G2426" s="4" t="s">
        <v>2561</v>
      </c>
      <c r="H2426" s="1">
        <v>14</v>
      </c>
      <c r="I2426" s="1">
        <v>0</v>
      </c>
      <c r="J2426" s="1">
        <v>2</v>
      </c>
      <c r="K2426" s="2">
        <v>4.0</v>
      </c>
    </row>
    <row r="2427" spans="1:12">
      <c r="A2427" s="3" t="s">
        <v>2194</v>
      </c>
      <c r="B2427" s="3" t="s">
        <v>2526</v>
      </c>
      <c r="C2427" s="3" t="s">
        <v>54</v>
      </c>
      <c r="D2427" s="3"/>
      <c r="E2427" s="2" t="str">
        <f>HYPERLINK("https://old.ukr-mobil.com/displej_iphone_5_s_tachskrinom_high_copy_black_3509", "Перейти")</f>
        <v>Перейти</v>
      </c>
      <c r="F2427" s="2">
        <v>3509</v>
      </c>
      <c r="G2427" s="4" t="s">
        <v>2562</v>
      </c>
      <c r="H2427" s="1">
        <v>0</v>
      </c>
      <c r="I2427" s="1">
        <v>2</v>
      </c>
      <c r="J2427" s="1">
        <v>0</v>
      </c>
      <c r="K2427" s="2">
        <v>12.0</v>
      </c>
    </row>
    <row r="2428" spans="1:12">
      <c r="A2428" s="3" t="s">
        <v>2194</v>
      </c>
      <c r="B2428" s="3" t="s">
        <v>2526</v>
      </c>
      <c r="C2428" s="3" t="s">
        <v>54</v>
      </c>
      <c r="D2428" s="3"/>
      <c r="E2428" s="2" t="str">
        <f>HYPERLINK("https://old.ukr-mobil.com/displej_iphone_5_s_tachskrinom_high_copy_white_3510", "Перейти")</f>
        <v>Перейти</v>
      </c>
      <c r="F2428" s="2">
        <v>3510</v>
      </c>
      <c r="G2428" s="4" t="s">
        <v>2563</v>
      </c>
      <c r="H2428" s="1">
        <v>0</v>
      </c>
      <c r="I2428" s="1">
        <v>0</v>
      </c>
      <c r="J2428" s="1">
        <v>0</v>
      </c>
      <c r="K2428" s="2">
        <v>12.0</v>
      </c>
    </row>
    <row r="2429" spans="1:12">
      <c r="A2429" s="3" t="s">
        <v>2194</v>
      </c>
      <c r="B2429" s="3" t="s">
        <v>2526</v>
      </c>
      <c r="C2429" s="3" t="s">
        <v>54</v>
      </c>
      <c r="D2429" s="3"/>
      <c r="E2429" s="2" t="str">
        <f>HYPERLINK("https://old.ukr-mobil.com/displej_iphone_5c_s_tachskrinom_high_copy_black_4321", "Перейти")</f>
        <v>Перейти</v>
      </c>
      <c r="F2429" s="2">
        <v>4321</v>
      </c>
      <c r="G2429" s="4" t="s">
        <v>2564</v>
      </c>
      <c r="H2429" s="1">
        <v>0</v>
      </c>
      <c r="I2429" s="1">
        <v>0</v>
      </c>
      <c r="J2429" s="1">
        <v>0</v>
      </c>
      <c r="K2429" s="2">
        <v>6.0</v>
      </c>
    </row>
    <row r="2430" spans="1:12">
      <c r="A2430" s="3" t="s">
        <v>2194</v>
      </c>
      <c r="B2430" s="3" t="s">
        <v>2526</v>
      </c>
      <c r="C2430" s="3" t="s">
        <v>54</v>
      </c>
      <c r="D2430" s="3"/>
      <c r="E2430" s="2" t="str">
        <f>HYPERLINK("https://old.ukr-mobil.com/displej_iphone_5s_iphone_5se_s_tachskrinom_high_copy_black_4325", "Перейти")</f>
        <v>Перейти</v>
      </c>
      <c r="F2430" s="2">
        <v>4325</v>
      </c>
      <c r="G2430" s="4" t="s">
        <v>2565</v>
      </c>
      <c r="H2430" s="1">
        <v>0</v>
      </c>
      <c r="I2430" s="1">
        <v>0</v>
      </c>
      <c r="J2430" s="1">
        <v>0</v>
      </c>
      <c r="K2430" s="2">
        <v>7.0</v>
      </c>
    </row>
    <row r="2431" spans="1:12">
      <c r="A2431" s="3" t="s">
        <v>2194</v>
      </c>
      <c r="B2431" s="3" t="s">
        <v>2526</v>
      </c>
      <c r="C2431" s="3" t="s">
        <v>54</v>
      </c>
      <c r="D2431" s="3"/>
      <c r="E2431" s="2" t="str">
        <f>HYPERLINK("https://old.ukr-mobil.com/displej_iphone_6_plus_s_tachskrinom_high_copy_black_5412", "Перейти")</f>
        <v>Перейти</v>
      </c>
      <c r="F2431" s="2">
        <v>5412</v>
      </c>
      <c r="G2431" s="4" t="s">
        <v>2566</v>
      </c>
      <c r="H2431" s="1">
        <v>3</v>
      </c>
      <c r="I2431" s="1">
        <v>0</v>
      </c>
      <c r="J2431" s="1">
        <v>8</v>
      </c>
      <c r="K2431" s="2">
        <v>9.0</v>
      </c>
    </row>
    <row r="2432" spans="1:12">
      <c r="A2432" s="3" t="s">
        <v>2194</v>
      </c>
      <c r="B2432" s="3" t="s">
        <v>2526</v>
      </c>
      <c r="C2432" s="3" t="s">
        <v>54</v>
      </c>
      <c r="D2432" s="3"/>
      <c r="E2432" s="2" t="str">
        <f>HYPERLINK("https://old.ukr-mobil.com/displej_iphone_6_plus_s_tachskrinom_high_copy_white_5411", "Перейти")</f>
        <v>Перейти</v>
      </c>
      <c r="F2432" s="2">
        <v>5411</v>
      </c>
      <c r="G2432" s="4" t="s">
        <v>2567</v>
      </c>
      <c r="H2432" s="1">
        <v>0</v>
      </c>
      <c r="I2432" s="1">
        <v>0</v>
      </c>
      <c r="J2432" s="1">
        <v>2</v>
      </c>
      <c r="K2432" s="2">
        <v>12.0</v>
      </c>
    </row>
    <row r="2433" spans="1:12">
      <c r="A2433" s="3" t="s">
        <v>2194</v>
      </c>
      <c r="B2433" s="3" t="s">
        <v>2526</v>
      </c>
      <c r="C2433" s="3" t="s">
        <v>54</v>
      </c>
      <c r="D2433" s="3"/>
      <c r="E2433" s="2" t="str">
        <f>HYPERLINK("https://old.ukr-mobil.com/displej_iphone_6_plus_s_tachskrinom_original_vosstanovlenyj_black_10000502", "Перейти")</f>
        <v>Перейти</v>
      </c>
      <c r="F2433" s="2">
        <v>10000502</v>
      </c>
      <c r="G2433" s="4" t="s">
        <v>2568</v>
      </c>
      <c r="H2433" s="1">
        <v>1</v>
      </c>
      <c r="I2433" s="1">
        <v>0</v>
      </c>
      <c r="J2433" s="1">
        <v>0</v>
      </c>
      <c r="K2433" s="2">
        <v>17.0</v>
      </c>
    </row>
    <row r="2434" spans="1:12">
      <c r="A2434" s="3" t="s">
        <v>2194</v>
      </c>
      <c r="B2434" s="3" t="s">
        <v>2526</v>
      </c>
      <c r="C2434" s="3" t="s">
        <v>54</v>
      </c>
      <c r="D2434" s="3"/>
      <c r="E2434" s="2" t="str">
        <f>HYPERLINK("https://old.ukr-mobil.com/displej_iphone_6_plus_s_tachskrinom_original_vosstanovlenyj_white_10000503", "Перейти")</f>
        <v>Перейти</v>
      </c>
      <c r="F2434" s="2">
        <v>10000503</v>
      </c>
      <c r="G2434" s="4" t="s">
        <v>2569</v>
      </c>
      <c r="H2434" s="1">
        <v>0</v>
      </c>
      <c r="I2434" s="1">
        <v>0</v>
      </c>
      <c r="J2434" s="1">
        <v>0</v>
      </c>
      <c r="K2434" s="2">
        <v>16.0</v>
      </c>
    </row>
    <row r="2435" spans="1:12">
      <c r="A2435" s="3" t="s">
        <v>2194</v>
      </c>
      <c r="B2435" s="3" t="s">
        <v>2526</v>
      </c>
      <c r="C2435" s="3" t="s">
        <v>54</v>
      </c>
      <c r="D2435" s="3"/>
      <c r="E2435" s="2" t="str">
        <f>HYPERLINK("https://old.ukr-mobil.com/displej_iphone_6_plus_s_tachskrinom_original_prc_black_7923", "Перейти")</f>
        <v>Перейти</v>
      </c>
      <c r="F2435" s="2">
        <v>7923</v>
      </c>
      <c r="G2435" s="4" t="s">
        <v>2570</v>
      </c>
      <c r="H2435" s="1">
        <v>1</v>
      </c>
      <c r="I2435" s="1">
        <v>0</v>
      </c>
      <c r="J2435" s="1">
        <v>0</v>
      </c>
      <c r="K2435" s="2">
        <v>25.7</v>
      </c>
    </row>
    <row r="2436" spans="1:12">
      <c r="A2436" s="3" t="s">
        <v>2194</v>
      </c>
      <c r="B2436" s="3" t="s">
        <v>2526</v>
      </c>
      <c r="C2436" s="3" t="s">
        <v>54</v>
      </c>
      <c r="D2436" s="3"/>
      <c r="E2436" s="2" t="str">
        <f>HYPERLINK("https://old.ukr-mobil.com/displej_iphone_6_plus_s_tachskrinom_original_prc_white_8211", "Перейти")</f>
        <v>Перейти</v>
      </c>
      <c r="F2436" s="2">
        <v>8211</v>
      </c>
      <c r="G2436" s="4" t="s">
        <v>2571</v>
      </c>
      <c r="H2436" s="1">
        <v>0</v>
      </c>
      <c r="I2436" s="1">
        <v>0</v>
      </c>
      <c r="J2436" s="1">
        <v>0</v>
      </c>
      <c r="K2436" s="2">
        <v>25.7</v>
      </c>
    </row>
    <row r="2437" spans="1:12">
      <c r="A2437" s="3" t="s">
        <v>2194</v>
      </c>
      <c r="B2437" s="3" t="s">
        <v>2526</v>
      </c>
      <c r="C2437" s="3" t="s">
        <v>54</v>
      </c>
      <c r="D2437" s="3"/>
      <c r="E2437" s="2" t="str">
        <f>HYPERLINK("https://old.ukr-mobil.com/displej_iphone_6_s_tachskrinom_high_copy_black_5063", "Перейти")</f>
        <v>Перейти</v>
      </c>
      <c r="F2437" s="2">
        <v>5063</v>
      </c>
      <c r="G2437" s="4" t="s">
        <v>2572</v>
      </c>
      <c r="H2437" s="1">
        <v>0</v>
      </c>
      <c r="I2437" s="1">
        <v>1</v>
      </c>
      <c r="J2437" s="1">
        <v>1</v>
      </c>
      <c r="K2437" s="2">
        <v>13.0</v>
      </c>
    </row>
    <row r="2438" spans="1:12">
      <c r="A2438" s="3" t="s">
        <v>2194</v>
      </c>
      <c r="B2438" s="3" t="s">
        <v>2526</v>
      </c>
      <c r="C2438" s="3" t="s">
        <v>54</v>
      </c>
      <c r="D2438" s="3"/>
      <c r="E2438" s="2" t="str">
        <f>HYPERLINK("https://old.ukr-mobil.com/displej_iphone_6_s_tachskrinom_high_copy_white_5052", "Перейти")</f>
        <v>Перейти</v>
      </c>
      <c r="F2438" s="2">
        <v>5052</v>
      </c>
      <c r="G2438" s="4" t="s">
        <v>2573</v>
      </c>
      <c r="H2438" s="1">
        <v>0</v>
      </c>
      <c r="I2438" s="1">
        <v>0</v>
      </c>
      <c r="J2438" s="1">
        <v>0</v>
      </c>
      <c r="K2438" s="2">
        <v>13.0</v>
      </c>
    </row>
    <row r="2439" spans="1:12">
      <c r="A2439" s="3" t="s">
        <v>2194</v>
      </c>
      <c r="B2439" s="3" t="s">
        <v>2526</v>
      </c>
      <c r="C2439" s="3" t="s">
        <v>54</v>
      </c>
      <c r="D2439" s="3"/>
      <c r="E2439" s="2" t="str">
        <f>HYPERLINK("https://old.ukr-mobil.com/displej_iphone_6_s_tachskrinom_original_vosstanovlenyj_black_10000512", "Перейти")</f>
        <v>Перейти</v>
      </c>
      <c r="F2439" s="2">
        <v>10000512</v>
      </c>
      <c r="G2439" s="4" t="s">
        <v>2574</v>
      </c>
      <c r="H2439" s="1">
        <v>2</v>
      </c>
      <c r="I2439" s="1">
        <v>0</v>
      </c>
      <c r="J2439" s="1">
        <v>0</v>
      </c>
      <c r="K2439" s="2">
        <v>19.0</v>
      </c>
    </row>
    <row r="2440" spans="1:12">
      <c r="A2440" s="3" t="s">
        <v>2194</v>
      </c>
      <c r="B2440" s="3" t="s">
        <v>2526</v>
      </c>
      <c r="C2440" s="3" t="s">
        <v>54</v>
      </c>
      <c r="D2440" s="3"/>
      <c r="E2440" s="2" t="str">
        <f>HYPERLINK("https://old.ukr-mobil.com/displej_iphone_6_s_tachskrinom_original_vosstanovlenyj_white_10000513", "Перейти")</f>
        <v>Перейти</v>
      </c>
      <c r="F2440" s="2">
        <v>10000513</v>
      </c>
      <c r="G2440" s="4" t="s">
        <v>2575</v>
      </c>
      <c r="H2440" s="1">
        <v>0</v>
      </c>
      <c r="I2440" s="1">
        <v>0</v>
      </c>
      <c r="J2440" s="1">
        <v>0</v>
      </c>
      <c r="K2440" s="2">
        <v>21.5</v>
      </c>
    </row>
    <row r="2441" spans="1:12">
      <c r="A2441" s="3" t="s">
        <v>2194</v>
      </c>
      <c r="B2441" s="3" t="s">
        <v>2526</v>
      </c>
      <c r="C2441" s="3" t="s">
        <v>54</v>
      </c>
      <c r="D2441" s="3"/>
      <c r="E2441" s="2" t="str">
        <f>HYPERLINK("https://old.ukr-mobil.com/displej_iphone_6_s_tachskrinom_original_prc_black_7699", "Перейти")</f>
        <v>Перейти</v>
      </c>
      <c r="F2441" s="2">
        <v>7699</v>
      </c>
      <c r="G2441" s="4" t="s">
        <v>2576</v>
      </c>
      <c r="H2441" s="1">
        <v>0</v>
      </c>
      <c r="I2441" s="1">
        <v>0</v>
      </c>
      <c r="J2441" s="1">
        <v>0</v>
      </c>
      <c r="K2441" s="2">
        <v>21.0</v>
      </c>
    </row>
    <row r="2442" spans="1:12">
      <c r="A2442" s="3" t="s">
        <v>2194</v>
      </c>
      <c r="B2442" s="3" t="s">
        <v>2526</v>
      </c>
      <c r="C2442" s="3" t="s">
        <v>54</v>
      </c>
      <c r="D2442" s="3"/>
      <c r="E2442" s="2" t="str">
        <f>HYPERLINK("https://old.ukr-mobil.com/displej_iphone_6_s_tachskrinom_original_prc_white_7700", "Перейти")</f>
        <v>Перейти</v>
      </c>
      <c r="F2442" s="2">
        <v>7700</v>
      </c>
      <c r="G2442" s="4" t="s">
        <v>2577</v>
      </c>
      <c r="H2442" s="1">
        <v>0</v>
      </c>
      <c r="I2442" s="1">
        <v>0</v>
      </c>
      <c r="J2442" s="1">
        <v>0</v>
      </c>
      <c r="K2442" s="2">
        <v>21.0</v>
      </c>
    </row>
    <row r="2443" spans="1:12">
      <c r="A2443" s="3" t="s">
        <v>2194</v>
      </c>
      <c r="B2443" s="3" t="s">
        <v>2526</v>
      </c>
      <c r="C2443" s="3" t="s">
        <v>54</v>
      </c>
      <c r="D2443" s="3"/>
      <c r="E2443" s="2" t="str">
        <f>HYPERLINK("https://old.ukr-mobil.com/displej_iphone_6s_plus_s_tachskrinom_high_copy_black_9026", "Перейти")</f>
        <v>Перейти</v>
      </c>
      <c r="F2443" s="2">
        <v>9026</v>
      </c>
      <c r="G2443" s="4" t="s">
        <v>2578</v>
      </c>
      <c r="H2443" s="1">
        <v>0</v>
      </c>
      <c r="I2443" s="1">
        <v>0</v>
      </c>
      <c r="J2443" s="1">
        <v>0</v>
      </c>
      <c r="K2443" s="2">
        <v>14.0</v>
      </c>
    </row>
    <row r="2444" spans="1:12">
      <c r="A2444" s="3" t="s">
        <v>2194</v>
      </c>
      <c r="B2444" s="3" t="s">
        <v>2526</v>
      </c>
      <c r="C2444" s="3" t="s">
        <v>54</v>
      </c>
      <c r="D2444" s="3"/>
      <c r="E2444" s="2" t="str">
        <f>HYPERLINK("https://old.ukr-mobil.com/displej_iphone_6s_plus_s_tachskrinom_high_copy_white_9027", "Перейти")</f>
        <v>Перейти</v>
      </c>
      <c r="F2444" s="2">
        <v>9027</v>
      </c>
      <c r="G2444" s="4" t="s">
        <v>2579</v>
      </c>
      <c r="H2444" s="1">
        <v>0</v>
      </c>
      <c r="I2444" s="1">
        <v>0</v>
      </c>
      <c r="J2444" s="1">
        <v>0</v>
      </c>
      <c r="K2444" s="2">
        <v>15.26</v>
      </c>
    </row>
    <row r="2445" spans="1:12">
      <c r="A2445" s="3" t="s">
        <v>2194</v>
      </c>
      <c r="B2445" s="3" t="s">
        <v>2526</v>
      </c>
      <c r="C2445" s="3" t="s">
        <v>54</v>
      </c>
      <c r="D2445" s="3"/>
      <c r="E2445" s="2" t="str">
        <f>HYPERLINK("https://old.ukr-mobil.com/displej_iphone_6s_plus_s_tachskrinom_original_vosstanovlenyj_black_10000506", "Перейти")</f>
        <v>Перейти</v>
      </c>
      <c r="F2445" s="2">
        <v>10000506</v>
      </c>
      <c r="G2445" s="4" t="s">
        <v>2580</v>
      </c>
      <c r="H2445" s="1">
        <v>0</v>
      </c>
      <c r="I2445" s="1">
        <v>0</v>
      </c>
      <c r="J2445" s="1">
        <v>0</v>
      </c>
      <c r="K2445" s="2">
        <v>37.0</v>
      </c>
    </row>
    <row r="2446" spans="1:12">
      <c r="A2446" s="3" t="s">
        <v>2194</v>
      </c>
      <c r="B2446" s="3" t="s">
        <v>2526</v>
      </c>
      <c r="C2446" s="3" t="s">
        <v>54</v>
      </c>
      <c r="D2446" s="3"/>
      <c r="E2446" s="2" t="str">
        <f>HYPERLINK("https://old.ukr-mobil.com/displej_iphone_6s_plus_s_tachskrinom_original_vosstanovlenyj_white_10000507", "Перейти")</f>
        <v>Перейти</v>
      </c>
      <c r="F2446" s="2">
        <v>10000507</v>
      </c>
      <c r="G2446" s="4" t="s">
        <v>2581</v>
      </c>
      <c r="H2446" s="1">
        <v>1</v>
      </c>
      <c r="I2446" s="1">
        <v>0</v>
      </c>
      <c r="J2446" s="1">
        <v>0</v>
      </c>
      <c r="K2446" s="2">
        <v>37.0</v>
      </c>
    </row>
    <row r="2447" spans="1:12">
      <c r="A2447" s="3" t="s">
        <v>2194</v>
      </c>
      <c r="B2447" s="3" t="s">
        <v>2526</v>
      </c>
      <c r="C2447" s="3" t="s">
        <v>54</v>
      </c>
      <c r="D2447" s="3"/>
      <c r="E2447" s="2" t="str">
        <f>HYPERLINK("https://old.ukr-mobil.com/displej_iphone_6s_plus_s_tachskrinom_original_prc_black_5941", "Перейти")</f>
        <v>Перейти</v>
      </c>
      <c r="F2447" s="2">
        <v>5941</v>
      </c>
      <c r="G2447" s="4" t="s">
        <v>2582</v>
      </c>
      <c r="H2447" s="1">
        <v>1</v>
      </c>
      <c r="I2447" s="1">
        <v>0</v>
      </c>
      <c r="J2447" s="1">
        <v>0</v>
      </c>
      <c r="K2447" s="2">
        <v>17.0</v>
      </c>
    </row>
    <row r="2448" spans="1:12">
      <c r="A2448" s="3" t="s">
        <v>2194</v>
      </c>
      <c r="B2448" s="3" t="s">
        <v>2526</v>
      </c>
      <c r="C2448" s="3" t="s">
        <v>54</v>
      </c>
      <c r="D2448" s="3"/>
      <c r="E2448" s="2" t="str">
        <f>HYPERLINK("https://old.ukr-mobil.com/displej_iphone_6s_plus_s_tachskrinom_original_prc_white_5942", "Перейти")</f>
        <v>Перейти</v>
      </c>
      <c r="F2448" s="2">
        <v>5942</v>
      </c>
      <c r="G2448" s="4" t="s">
        <v>2583</v>
      </c>
      <c r="H2448" s="1">
        <v>0</v>
      </c>
      <c r="I2448" s="1">
        <v>0</v>
      </c>
      <c r="J2448" s="1">
        <v>0</v>
      </c>
      <c r="K2448" s="2">
        <v>18.0</v>
      </c>
    </row>
    <row r="2449" spans="1:12">
      <c r="A2449" s="3" t="s">
        <v>2194</v>
      </c>
      <c r="B2449" s="3" t="s">
        <v>2526</v>
      </c>
      <c r="C2449" s="3" t="s">
        <v>54</v>
      </c>
      <c r="D2449" s="3"/>
      <c r="E2449" s="2" t="str">
        <f>HYPERLINK("https://old.ukr-mobil.com/displej_iphone_6s_s_tachskrinom_high_copy_black_5711", "Перейти")</f>
        <v>Перейти</v>
      </c>
      <c r="F2449" s="2">
        <v>5711</v>
      </c>
      <c r="G2449" s="4" t="s">
        <v>2584</v>
      </c>
      <c r="H2449" s="1">
        <v>0</v>
      </c>
      <c r="I2449" s="1">
        <v>0</v>
      </c>
      <c r="J2449" s="1">
        <v>0</v>
      </c>
      <c r="K2449" s="2">
        <v>12.0</v>
      </c>
    </row>
    <row r="2450" spans="1:12">
      <c r="A2450" s="3" t="s">
        <v>2194</v>
      </c>
      <c r="B2450" s="3" t="s">
        <v>2526</v>
      </c>
      <c r="C2450" s="3" t="s">
        <v>54</v>
      </c>
      <c r="D2450" s="3"/>
      <c r="E2450" s="2" t="str">
        <f>HYPERLINK("https://old.ukr-mobil.com/displej_iphone_6s_s_tachskrinom_high_copy_white_5710", "Перейти")</f>
        <v>Перейти</v>
      </c>
      <c r="F2450" s="2">
        <v>5710</v>
      </c>
      <c r="G2450" s="4" t="s">
        <v>2585</v>
      </c>
      <c r="H2450" s="1">
        <v>0</v>
      </c>
      <c r="I2450" s="1">
        <v>0</v>
      </c>
      <c r="J2450" s="1">
        <v>0</v>
      </c>
      <c r="K2450" s="2">
        <v>12.0</v>
      </c>
    </row>
    <row r="2451" spans="1:12">
      <c r="A2451" s="3" t="s">
        <v>2194</v>
      </c>
      <c r="B2451" s="3" t="s">
        <v>2526</v>
      </c>
      <c r="C2451" s="3" t="s">
        <v>54</v>
      </c>
      <c r="D2451" s="3"/>
      <c r="E2451" s="2" t="str">
        <f>HYPERLINK("https://old.ukr-mobil.com/displej_iphone_6s_s_tachskrinom_original_vosstanovlenyj_black_10000504", "Перейти")</f>
        <v>Перейти</v>
      </c>
      <c r="F2451" s="2">
        <v>10000504</v>
      </c>
      <c r="G2451" s="4" t="s">
        <v>2586</v>
      </c>
      <c r="H2451" s="1">
        <v>1</v>
      </c>
      <c r="I2451" s="1">
        <v>0</v>
      </c>
      <c r="J2451" s="1">
        <v>0</v>
      </c>
      <c r="K2451" s="2">
        <v>17.0</v>
      </c>
    </row>
    <row r="2452" spans="1:12">
      <c r="A2452" s="3" t="s">
        <v>2194</v>
      </c>
      <c r="B2452" s="3" t="s">
        <v>2526</v>
      </c>
      <c r="C2452" s="3" t="s">
        <v>54</v>
      </c>
      <c r="D2452" s="3"/>
      <c r="E2452" s="2" t="str">
        <f>HYPERLINK("https://old.ukr-mobil.com/displej_iphone_6s_s_tachskrinom_original_vosstanovlenyj_white_10000505", "Перейти")</f>
        <v>Перейти</v>
      </c>
      <c r="F2452" s="2">
        <v>10000505</v>
      </c>
      <c r="G2452" s="4" t="s">
        <v>2587</v>
      </c>
      <c r="H2452" s="1">
        <v>0</v>
      </c>
      <c r="I2452" s="1">
        <v>0</v>
      </c>
      <c r="J2452" s="1">
        <v>0</v>
      </c>
      <c r="K2452" s="2">
        <v>31.0</v>
      </c>
    </row>
    <row r="2453" spans="1:12">
      <c r="A2453" s="3" t="s">
        <v>2194</v>
      </c>
      <c r="B2453" s="3" t="s">
        <v>2526</v>
      </c>
      <c r="C2453" s="3" t="s">
        <v>54</v>
      </c>
      <c r="D2453" s="3"/>
      <c r="E2453" s="2" t="str">
        <f>HYPERLINK("https://old.ukr-mobil.com/displej_iphone_6s_s_tachskrinom_original_prc_black_7528", "Перейти")</f>
        <v>Перейти</v>
      </c>
      <c r="F2453" s="2">
        <v>7528</v>
      </c>
      <c r="G2453" s="4" t="s">
        <v>2588</v>
      </c>
      <c r="H2453" s="1">
        <v>0</v>
      </c>
      <c r="I2453" s="1">
        <v>0</v>
      </c>
      <c r="J2453" s="1">
        <v>0</v>
      </c>
      <c r="K2453" s="2">
        <v>16.0</v>
      </c>
    </row>
    <row r="2454" spans="1:12">
      <c r="A2454" s="3" t="s">
        <v>2194</v>
      </c>
      <c r="B2454" s="3" t="s">
        <v>2526</v>
      </c>
      <c r="C2454" s="3" t="s">
        <v>54</v>
      </c>
      <c r="D2454" s="3"/>
      <c r="E2454" s="2" t="str">
        <f>HYPERLINK("https://old.ukr-mobil.com/displej_iphone_6s_s_tachskrinom_original_prc_white_7529", "Перейти")</f>
        <v>Перейти</v>
      </c>
      <c r="F2454" s="2">
        <v>7529</v>
      </c>
      <c r="G2454" s="4" t="s">
        <v>2589</v>
      </c>
      <c r="H2454" s="1">
        <v>0</v>
      </c>
      <c r="I2454" s="1">
        <v>0</v>
      </c>
      <c r="J2454" s="1">
        <v>0</v>
      </c>
      <c r="K2454" s="2">
        <v>16.0</v>
      </c>
    </row>
    <row r="2455" spans="1:12">
      <c r="A2455" s="3" t="s">
        <v>2194</v>
      </c>
      <c r="B2455" s="3" t="s">
        <v>2526</v>
      </c>
      <c r="C2455" s="3" t="s">
        <v>54</v>
      </c>
      <c r="D2455" s="3"/>
      <c r="E2455" s="2" t="str">
        <f>HYPERLINK("https://old.ukr-mobil.com/displej_apple_iphone_7_plus_s_tachskrinom_high_copy_lg_black_10001945", "Перейти")</f>
        <v>Перейти</v>
      </c>
      <c r="F2455" s="2">
        <v>10001945</v>
      </c>
      <c r="G2455" s="4" t="s">
        <v>2590</v>
      </c>
      <c r="H2455" s="1">
        <v>18</v>
      </c>
      <c r="I2455" s="1">
        <v>14</v>
      </c>
      <c r="J2455" s="1">
        <v>9</v>
      </c>
      <c r="K2455" s="2">
        <v>9.0</v>
      </c>
    </row>
    <row r="2456" spans="1:12">
      <c r="A2456" s="3" t="s">
        <v>2194</v>
      </c>
      <c r="B2456" s="3" t="s">
        <v>2526</v>
      </c>
      <c r="C2456" s="3" t="s">
        <v>54</v>
      </c>
      <c r="D2456" s="3"/>
      <c r="E2456" s="2" t="str">
        <f>HYPERLINK("https://old.ukr-mobil.com/displej_apple_iphone_7_plus_s_tachskrinom_high_quality_lg_dtp_c3f_white_10003305", "Перейти")</f>
        <v>Перейти</v>
      </c>
      <c r="F2456" s="2">
        <v>10003305</v>
      </c>
      <c r="G2456" s="4" t="s">
        <v>2591</v>
      </c>
      <c r="H2456" s="1">
        <v>0</v>
      </c>
      <c r="I2456" s="1">
        <v>0</v>
      </c>
      <c r="J2456" s="1">
        <v>0</v>
      </c>
      <c r="K2456" s="2">
        <v>0.0</v>
      </c>
    </row>
    <row r="2457" spans="1:12">
      <c r="A2457" s="3" t="s">
        <v>2194</v>
      </c>
      <c r="B2457" s="3" t="s">
        <v>2526</v>
      </c>
      <c r="C2457" s="3" t="s">
        <v>54</v>
      </c>
      <c r="D2457" s="3"/>
      <c r="E2457" s="2" t="str">
        <f>HYPERLINK("https://old.ukr-mobil.com/displej_apple_iphone_7_plus_s_tachskrinom_high_quality_lg_dtp_c3f_white_10003306", "Перейти")</f>
        <v>Перейти</v>
      </c>
      <c r="F2457" s="2">
        <v>10003306</v>
      </c>
      <c r="G2457" s="4" t="s">
        <v>2591</v>
      </c>
      <c r="H2457" s="1">
        <v>14</v>
      </c>
      <c r="I2457" s="1">
        <v>8</v>
      </c>
      <c r="J2457" s="1">
        <v>1</v>
      </c>
      <c r="K2457" s="2">
        <v>9.0</v>
      </c>
    </row>
    <row r="2458" spans="1:12">
      <c r="A2458" s="3" t="s">
        <v>2194</v>
      </c>
      <c r="B2458" s="3" t="s">
        <v>2526</v>
      </c>
      <c r="C2458" s="3" t="s">
        <v>54</v>
      </c>
      <c r="D2458" s="3"/>
      <c r="E2458" s="2" t="str">
        <f>HYPERLINK("https://old.ukr-mobil.com/displej_iphone_7_plus_s_tachskrinom_high_copy_black_6925", "Перейти")</f>
        <v>Перейти</v>
      </c>
      <c r="F2458" s="2">
        <v>6925</v>
      </c>
      <c r="G2458" s="4" t="s">
        <v>2592</v>
      </c>
      <c r="H2458" s="1">
        <v>0</v>
      </c>
      <c r="I2458" s="1">
        <v>0</v>
      </c>
      <c r="J2458" s="1">
        <v>0</v>
      </c>
      <c r="K2458" s="2">
        <v>13.5</v>
      </c>
    </row>
    <row r="2459" spans="1:12">
      <c r="A2459" s="3" t="s">
        <v>2194</v>
      </c>
      <c r="B2459" s="3" t="s">
        <v>2526</v>
      </c>
      <c r="C2459" s="3" t="s">
        <v>54</v>
      </c>
      <c r="D2459" s="3"/>
      <c r="E2459" s="2" t="str">
        <f>HYPERLINK("https://old.ukr-mobil.com/displej_iphone_7_plus_s_tachskrinom_high_copy_white_7907", "Перейти")</f>
        <v>Перейти</v>
      </c>
      <c r="F2459" s="2">
        <v>7907</v>
      </c>
      <c r="G2459" s="4" t="s">
        <v>2593</v>
      </c>
      <c r="H2459" s="1">
        <v>0</v>
      </c>
      <c r="I2459" s="1">
        <v>0</v>
      </c>
      <c r="J2459" s="1">
        <v>0</v>
      </c>
      <c r="K2459" s="2">
        <v>21.0</v>
      </c>
    </row>
    <row r="2460" spans="1:12">
      <c r="A2460" s="3" t="s">
        <v>2194</v>
      </c>
      <c r="B2460" s="3" t="s">
        <v>2526</v>
      </c>
      <c r="C2460" s="3" t="s">
        <v>54</v>
      </c>
      <c r="D2460" s="3"/>
      <c r="E2460" s="2" t="str">
        <f>HYPERLINK("https://old.ukr-mobil.com/displej_apple_iphone_7_plus_s_tachskrinom_original_vosstanovlenyj_lg_dtp_c3f_black_10001993", "Перейти")</f>
        <v>Перейти</v>
      </c>
      <c r="F2460" s="2">
        <v>10001993</v>
      </c>
      <c r="G2460" s="4" t="s">
        <v>2594</v>
      </c>
      <c r="H2460" s="1">
        <v>0</v>
      </c>
      <c r="I2460" s="1">
        <v>0</v>
      </c>
      <c r="J2460" s="1">
        <v>0</v>
      </c>
      <c r="K2460" s="2">
        <v>30.0</v>
      </c>
    </row>
    <row r="2461" spans="1:12">
      <c r="A2461" s="3" t="s">
        <v>2194</v>
      </c>
      <c r="B2461" s="3" t="s">
        <v>2526</v>
      </c>
      <c r="C2461" s="3" t="s">
        <v>54</v>
      </c>
      <c r="D2461" s="3"/>
      <c r="E2461" s="2" t="str">
        <f>HYPERLINK("https://old.ukr-mobil.com/displej_apple_iphone_7_plus_s_tachskrinom_original_vosstanovlenyj_lg_dtp_c3f_white_10002001", "Перейти")</f>
        <v>Перейти</v>
      </c>
      <c r="F2461" s="2">
        <v>10002001</v>
      </c>
      <c r="G2461" s="4" t="s">
        <v>2595</v>
      </c>
      <c r="H2461" s="1">
        <v>0</v>
      </c>
      <c r="I2461" s="1">
        <v>0</v>
      </c>
      <c r="J2461" s="1">
        <v>0</v>
      </c>
      <c r="K2461" s="2">
        <v>25.0</v>
      </c>
    </row>
    <row r="2462" spans="1:12">
      <c r="A2462" s="3" t="s">
        <v>2194</v>
      </c>
      <c r="B2462" s="3" t="s">
        <v>2526</v>
      </c>
      <c r="C2462" s="3" t="s">
        <v>54</v>
      </c>
      <c r="D2462" s="3"/>
      <c r="E2462" s="2" t="str">
        <f>HYPERLINK("https://old.ukr-mobil.com/displej_iphone_7_plus_s_tachskrinom_original_vosstanovlenyj_black_10000510", "Перейти")</f>
        <v>Перейти</v>
      </c>
      <c r="F2462" s="2">
        <v>10000510</v>
      </c>
      <c r="G2462" s="4" t="s">
        <v>2596</v>
      </c>
      <c r="H2462" s="1">
        <v>0</v>
      </c>
      <c r="I2462" s="1">
        <v>0</v>
      </c>
      <c r="J2462" s="1">
        <v>0</v>
      </c>
      <c r="K2462" s="2">
        <v>30.0</v>
      </c>
    </row>
    <row r="2463" spans="1:12">
      <c r="A2463" s="3" t="s">
        <v>2194</v>
      </c>
      <c r="B2463" s="3" t="s">
        <v>2526</v>
      </c>
      <c r="C2463" s="3" t="s">
        <v>54</v>
      </c>
      <c r="D2463" s="3"/>
      <c r="E2463" s="2" t="str">
        <f>HYPERLINK("https://old.ukr-mobil.com/displej_iphone_7_plus_s_tachskrinom_original_vosstanovlenyj_white_10000511", "Перейти")</f>
        <v>Перейти</v>
      </c>
      <c r="F2463" s="2">
        <v>10000511</v>
      </c>
      <c r="G2463" s="4" t="s">
        <v>2597</v>
      </c>
      <c r="H2463" s="1">
        <v>0</v>
      </c>
      <c r="I2463" s="1">
        <v>0</v>
      </c>
      <c r="J2463" s="1">
        <v>0</v>
      </c>
      <c r="K2463" s="2">
        <v>30.0</v>
      </c>
    </row>
    <row r="2464" spans="1:12">
      <c r="A2464" s="3" t="s">
        <v>2194</v>
      </c>
      <c r="B2464" s="3" t="s">
        <v>2526</v>
      </c>
      <c r="C2464" s="3" t="s">
        <v>54</v>
      </c>
      <c r="D2464" s="3"/>
      <c r="E2464" s="2" t="str">
        <f>HYPERLINK("https://old.ukr-mobil.com/displej_apple_iphone_7_plus_s_tachskrinom_original_prc_lg_dtp_c3f_black_10002046", "Перейти")</f>
        <v>Перейти</v>
      </c>
      <c r="F2464" s="2">
        <v>10002046</v>
      </c>
      <c r="G2464" s="4" t="s">
        <v>2598</v>
      </c>
      <c r="H2464" s="1">
        <v>0</v>
      </c>
      <c r="I2464" s="1">
        <v>0</v>
      </c>
      <c r="J2464" s="1">
        <v>0</v>
      </c>
      <c r="K2464" s="2">
        <v>24.0</v>
      </c>
    </row>
    <row r="2465" spans="1:12">
      <c r="A2465" s="3" t="s">
        <v>2194</v>
      </c>
      <c r="B2465" s="3" t="s">
        <v>2526</v>
      </c>
      <c r="C2465" s="3" t="s">
        <v>54</v>
      </c>
      <c r="D2465" s="3"/>
      <c r="E2465" s="2" t="str">
        <f>HYPERLINK("https://old.ukr-mobil.com/displej_apple_iphone_7_plus_s_tachskrinom_original_prc_lg_dtp_c3f_white_10002047", "Перейти")</f>
        <v>Перейти</v>
      </c>
      <c r="F2465" s="2">
        <v>10002047</v>
      </c>
      <c r="G2465" s="4" t="s">
        <v>2599</v>
      </c>
      <c r="H2465" s="1">
        <v>2</v>
      </c>
      <c r="I2465" s="1">
        <v>3</v>
      </c>
      <c r="J2465" s="1">
        <v>1</v>
      </c>
      <c r="K2465" s="2">
        <v>19.0</v>
      </c>
    </row>
    <row r="2466" spans="1:12">
      <c r="A2466" s="3" t="s">
        <v>2194</v>
      </c>
      <c r="B2466" s="3" t="s">
        <v>2526</v>
      </c>
      <c r="C2466" s="3" t="s">
        <v>54</v>
      </c>
      <c r="D2466" s="3"/>
      <c r="E2466" s="2" t="str">
        <f>HYPERLINK("https://old.ukr-mobil.com/displej_iphone_7_plus_s_tachskrinom_original_prc_black_9157", "Перейти")</f>
        <v>Перейти</v>
      </c>
      <c r="F2466" s="2">
        <v>9157</v>
      </c>
      <c r="G2466" s="4" t="s">
        <v>2600</v>
      </c>
      <c r="H2466" s="1">
        <v>0</v>
      </c>
      <c r="I2466" s="1">
        <v>0</v>
      </c>
      <c r="J2466" s="1">
        <v>0</v>
      </c>
      <c r="K2466" s="2">
        <v>29.5</v>
      </c>
    </row>
    <row r="2467" spans="1:12">
      <c r="A2467" s="3" t="s">
        <v>2194</v>
      </c>
      <c r="B2467" s="3" t="s">
        <v>2526</v>
      </c>
      <c r="C2467" s="3" t="s">
        <v>54</v>
      </c>
      <c r="D2467" s="3"/>
      <c r="E2467" s="2" t="str">
        <f>HYPERLINK("https://old.ukr-mobil.com/displej_iphone_7_plus_s_tachskrinom_original_prc_white_6926", "Перейти")</f>
        <v>Перейти</v>
      </c>
      <c r="F2467" s="2">
        <v>6926</v>
      </c>
      <c r="G2467" s="4" t="s">
        <v>2601</v>
      </c>
      <c r="H2467" s="1">
        <v>0</v>
      </c>
      <c r="I2467" s="1">
        <v>0</v>
      </c>
      <c r="J2467" s="1">
        <v>0</v>
      </c>
      <c r="K2467" s="2">
        <v>29.5</v>
      </c>
    </row>
    <row r="2468" spans="1:12">
      <c r="A2468" s="3" t="s">
        <v>2194</v>
      </c>
      <c r="B2468" s="3" t="s">
        <v>2526</v>
      </c>
      <c r="C2468" s="3" t="s">
        <v>54</v>
      </c>
      <c r="D2468" s="3"/>
      <c r="E2468" s="2" t="str">
        <f>HYPERLINK("https://old.ukr-mobil.com/displej_iphone_7_s_tachskrinom_high_copy_black_7933", "Перейти")</f>
        <v>Перейти</v>
      </c>
      <c r="F2468" s="2">
        <v>7933</v>
      </c>
      <c r="G2468" s="4" t="s">
        <v>2602</v>
      </c>
      <c r="H2468" s="1">
        <v>0</v>
      </c>
      <c r="I2468" s="1">
        <v>0</v>
      </c>
      <c r="J2468" s="1">
        <v>0</v>
      </c>
      <c r="K2468" s="2">
        <v>8.0</v>
      </c>
    </row>
    <row r="2469" spans="1:12">
      <c r="A2469" s="3" t="s">
        <v>2194</v>
      </c>
      <c r="B2469" s="3" t="s">
        <v>2526</v>
      </c>
      <c r="C2469" s="3" t="s">
        <v>54</v>
      </c>
      <c r="D2469" s="3"/>
      <c r="E2469" s="2" t="str">
        <f>HYPERLINK("https://old.ukr-mobil.com/displej_iphone_7_s_tachskrinom_high_copy_white_6924", "Перейти")</f>
        <v>Перейти</v>
      </c>
      <c r="F2469" s="2">
        <v>6924</v>
      </c>
      <c r="G2469" s="4" t="s">
        <v>2603</v>
      </c>
      <c r="H2469" s="1">
        <v>5</v>
      </c>
      <c r="I2469" s="1">
        <v>0</v>
      </c>
      <c r="J2469" s="1">
        <v>0</v>
      </c>
      <c r="K2469" s="2">
        <v>8.0</v>
      </c>
    </row>
    <row r="2470" spans="1:12">
      <c r="A2470" s="3" t="s">
        <v>2194</v>
      </c>
      <c r="B2470" s="3" t="s">
        <v>2526</v>
      </c>
      <c r="C2470" s="3" t="s">
        <v>54</v>
      </c>
      <c r="D2470" s="3"/>
      <c r="E2470" s="2" t="str">
        <f>HYPERLINK("https://old.ukr-mobil.com/displej_iphone_7_s_tachskrinom_original_vosstanovlenyj_black_10000508", "Перейти")</f>
        <v>Перейти</v>
      </c>
      <c r="F2470" s="2">
        <v>10000508</v>
      </c>
      <c r="G2470" s="4" t="s">
        <v>2604</v>
      </c>
      <c r="H2470" s="1">
        <v>0</v>
      </c>
      <c r="I2470" s="1">
        <v>0</v>
      </c>
      <c r="J2470" s="1">
        <v>4</v>
      </c>
      <c r="K2470" s="2">
        <v>20.0</v>
      </c>
    </row>
    <row r="2471" spans="1:12">
      <c r="A2471" s="3" t="s">
        <v>2194</v>
      </c>
      <c r="B2471" s="3" t="s">
        <v>2526</v>
      </c>
      <c r="C2471" s="3" t="s">
        <v>54</v>
      </c>
      <c r="D2471" s="3"/>
      <c r="E2471" s="2" t="str">
        <f>HYPERLINK("https://old.ukr-mobil.com/displej_iphone_7_s_tachskrinom_original_vosstanovlenyj_white_10000509", "Перейти")</f>
        <v>Перейти</v>
      </c>
      <c r="F2471" s="2">
        <v>10000509</v>
      </c>
      <c r="G2471" s="4" t="s">
        <v>2605</v>
      </c>
      <c r="H2471" s="1">
        <v>12</v>
      </c>
      <c r="I2471" s="1">
        <v>6</v>
      </c>
      <c r="J2471" s="1">
        <v>10</v>
      </c>
      <c r="K2471" s="2">
        <v>16.0</v>
      </c>
    </row>
    <row r="2472" spans="1:12">
      <c r="A2472" s="3" t="s">
        <v>2194</v>
      </c>
      <c r="B2472" s="3" t="s">
        <v>2526</v>
      </c>
      <c r="C2472" s="3" t="s">
        <v>54</v>
      </c>
      <c r="D2472" s="3"/>
      <c r="E2472" s="2" t="str">
        <f>HYPERLINK("https://old.ukr-mobil.com/displej_iphone_7_s_tachskrinom_original_prc_black_6923", "Перейти")</f>
        <v>Перейти</v>
      </c>
      <c r="F2472" s="2">
        <v>6923</v>
      </c>
      <c r="G2472" s="4" t="s">
        <v>2606</v>
      </c>
      <c r="H2472" s="1">
        <v>0</v>
      </c>
      <c r="I2472" s="1">
        <v>0</v>
      </c>
      <c r="J2472" s="1">
        <v>0</v>
      </c>
      <c r="K2472" s="2">
        <v>27.0</v>
      </c>
    </row>
    <row r="2473" spans="1:12">
      <c r="A2473" s="3" t="s">
        <v>2194</v>
      </c>
      <c r="B2473" s="3" t="s">
        <v>2526</v>
      </c>
      <c r="C2473" s="3" t="s">
        <v>54</v>
      </c>
      <c r="D2473" s="3"/>
      <c r="E2473" s="2" t="str">
        <f>HYPERLINK("https://old.ukr-mobil.com/displej_iphone_7_s_tachskrinom_original_prc_white_7875", "Перейти")</f>
        <v>Перейти</v>
      </c>
      <c r="F2473" s="2">
        <v>7875</v>
      </c>
      <c r="G2473" s="4" t="s">
        <v>2607</v>
      </c>
      <c r="H2473" s="1">
        <v>0</v>
      </c>
      <c r="I2473" s="1">
        <v>1</v>
      </c>
      <c r="J2473" s="1">
        <v>0</v>
      </c>
      <c r="K2473" s="2">
        <v>26.0</v>
      </c>
    </row>
    <row r="2474" spans="1:12">
      <c r="A2474" s="3" t="s">
        <v>2194</v>
      </c>
      <c r="B2474" s="3" t="s">
        <v>2526</v>
      </c>
      <c r="C2474" s="3" t="s">
        <v>54</v>
      </c>
      <c r="D2474" s="3"/>
      <c r="E2474" s="2" t="str">
        <f>HYPERLINK("https://old.ukr-mobil.com/displej_iphone_8_plus_s_tachskrinom_high_copy_black_9529", "Перейти")</f>
        <v>Перейти</v>
      </c>
      <c r="F2474" s="2">
        <v>9529</v>
      </c>
      <c r="G2474" s="4" t="s">
        <v>2608</v>
      </c>
      <c r="H2474" s="1">
        <v>8</v>
      </c>
      <c r="I2474" s="1">
        <v>8</v>
      </c>
      <c r="J2474" s="1">
        <v>2</v>
      </c>
      <c r="K2474" s="2">
        <v>10.0</v>
      </c>
    </row>
    <row r="2475" spans="1:12">
      <c r="A2475" s="3" t="s">
        <v>2194</v>
      </c>
      <c r="B2475" s="3" t="s">
        <v>2526</v>
      </c>
      <c r="C2475" s="3" t="s">
        <v>54</v>
      </c>
      <c r="D2475" s="3"/>
      <c r="E2475" s="2" t="str">
        <f>HYPERLINK("https://old.ukr-mobil.com/displej_iphone_8_plus_s_tachskrinom_high_copy_white_9530", "Перейти")</f>
        <v>Перейти</v>
      </c>
      <c r="F2475" s="2">
        <v>9530</v>
      </c>
      <c r="G2475" s="4" t="s">
        <v>2609</v>
      </c>
      <c r="H2475" s="1">
        <v>4</v>
      </c>
      <c r="I2475" s="1">
        <v>2</v>
      </c>
      <c r="J2475" s="1">
        <v>0</v>
      </c>
      <c r="K2475" s="2">
        <v>9.0</v>
      </c>
    </row>
    <row r="2476" spans="1:12">
      <c r="A2476" s="3" t="s">
        <v>2194</v>
      </c>
      <c r="B2476" s="3" t="s">
        <v>2526</v>
      </c>
      <c r="C2476" s="3" t="s">
        <v>54</v>
      </c>
      <c r="D2476" s="3"/>
      <c r="E2476" s="2" t="str">
        <f>HYPERLINK("https://old.ukr-mobil.com/displej_iphone_8_plus_s_tachskrinom_original_vosstanovlenyj_black_10000516", "Перейти")</f>
        <v>Перейти</v>
      </c>
      <c r="F2476" s="2">
        <v>10000516</v>
      </c>
      <c r="G2476" s="4" t="s">
        <v>2610</v>
      </c>
      <c r="H2476" s="1">
        <v>22</v>
      </c>
      <c r="I2476" s="1">
        <v>9</v>
      </c>
      <c r="J2476" s="1">
        <v>12</v>
      </c>
      <c r="K2476" s="2">
        <v>28.0</v>
      </c>
    </row>
    <row r="2477" spans="1:12">
      <c r="A2477" s="3" t="s">
        <v>2194</v>
      </c>
      <c r="B2477" s="3" t="s">
        <v>2526</v>
      </c>
      <c r="C2477" s="3" t="s">
        <v>54</v>
      </c>
      <c r="D2477" s="3"/>
      <c r="E2477" s="2" t="str">
        <f>HYPERLINK("https://old.ukr-mobil.com/displej_iphone_8_plus_s_tachskrinom_original_vosstanovlenyj_white_10000517", "Перейти")</f>
        <v>Перейти</v>
      </c>
      <c r="F2477" s="2">
        <v>10000517</v>
      </c>
      <c r="G2477" s="4" t="s">
        <v>2611</v>
      </c>
      <c r="H2477" s="1">
        <v>7</v>
      </c>
      <c r="I2477" s="1">
        <v>5</v>
      </c>
      <c r="J2477" s="1">
        <v>5</v>
      </c>
      <c r="K2477" s="2">
        <v>30.0</v>
      </c>
    </row>
    <row r="2478" spans="1:12">
      <c r="A2478" s="3" t="s">
        <v>2194</v>
      </c>
      <c r="B2478" s="3" t="s">
        <v>2526</v>
      </c>
      <c r="C2478" s="3" t="s">
        <v>54</v>
      </c>
      <c r="D2478" s="3"/>
      <c r="E2478" s="2" t="str">
        <f>HYPERLINK("https://old.ukr-mobil.com/displej_iphone_8_plus_s_tachskrinom_original_prc_black_9622", "Перейти")</f>
        <v>Перейти</v>
      </c>
      <c r="F2478" s="2">
        <v>9622</v>
      </c>
      <c r="G2478" s="4" t="s">
        <v>2612</v>
      </c>
      <c r="H2478" s="1">
        <v>22</v>
      </c>
      <c r="I2478" s="1">
        <v>1</v>
      </c>
      <c r="J2478" s="1">
        <v>1</v>
      </c>
      <c r="K2478" s="2">
        <v>21.0</v>
      </c>
    </row>
    <row r="2479" spans="1:12">
      <c r="A2479" s="3" t="s">
        <v>2194</v>
      </c>
      <c r="B2479" s="3" t="s">
        <v>2526</v>
      </c>
      <c r="C2479" s="3" t="s">
        <v>54</v>
      </c>
      <c r="D2479" s="3"/>
      <c r="E2479" s="2" t="str">
        <f>HYPERLINK("https://old.ukr-mobil.com/displej_iphone_8_plus_s_tachskrinom_original_prc_white_9623", "Перейти")</f>
        <v>Перейти</v>
      </c>
      <c r="F2479" s="2">
        <v>9623</v>
      </c>
      <c r="G2479" s="4" t="s">
        <v>2613</v>
      </c>
      <c r="H2479" s="1">
        <v>0</v>
      </c>
      <c r="I2479" s="1">
        <v>0</v>
      </c>
      <c r="J2479" s="1">
        <v>0</v>
      </c>
      <c r="K2479" s="2">
        <v>26.0</v>
      </c>
    </row>
    <row r="2480" spans="1:12">
      <c r="A2480" s="3" t="s">
        <v>2194</v>
      </c>
      <c r="B2480" s="3" t="s">
        <v>2526</v>
      </c>
      <c r="C2480" s="3" t="s">
        <v>54</v>
      </c>
      <c r="D2480" s="3"/>
      <c r="E2480" s="2" t="str">
        <f>HYPERLINK("https://old.ukr-mobil.com/displej_iphone_8_s_tachskrinom_high_copy_black_9527", "Перейти")</f>
        <v>Перейти</v>
      </c>
      <c r="F2480" s="2">
        <v>9527</v>
      </c>
      <c r="G2480" s="4" t="s">
        <v>2614</v>
      </c>
      <c r="H2480" s="1">
        <v>20</v>
      </c>
      <c r="I2480" s="1">
        <v>7</v>
      </c>
      <c r="J2480" s="1">
        <v>11</v>
      </c>
      <c r="K2480" s="2">
        <v>10.5</v>
      </c>
    </row>
    <row r="2481" spans="1:12">
      <c r="A2481" s="3" t="s">
        <v>2194</v>
      </c>
      <c r="B2481" s="3" t="s">
        <v>2526</v>
      </c>
      <c r="C2481" s="3" t="s">
        <v>54</v>
      </c>
      <c r="D2481" s="3"/>
      <c r="E2481" s="2" t="str">
        <f>HYPERLINK("https://old.ukr-mobil.com/displej_iphone_8_s_tachskrinom_high_copy_white_9528", "Перейти")</f>
        <v>Перейти</v>
      </c>
      <c r="F2481" s="2">
        <v>9528</v>
      </c>
      <c r="G2481" s="4" t="s">
        <v>2615</v>
      </c>
      <c r="H2481" s="1">
        <v>4</v>
      </c>
      <c r="I2481" s="1">
        <v>0</v>
      </c>
      <c r="J2481" s="1">
        <v>0</v>
      </c>
      <c r="K2481" s="2">
        <v>9.0</v>
      </c>
    </row>
    <row r="2482" spans="1:12">
      <c r="A2482" s="3" t="s">
        <v>2194</v>
      </c>
      <c r="B2482" s="3" t="s">
        <v>2526</v>
      </c>
      <c r="C2482" s="3" t="s">
        <v>54</v>
      </c>
      <c r="D2482" s="3"/>
      <c r="E2482" s="2" t="str">
        <f>HYPERLINK("https://old.ukr-mobil.com/displej_iphone_8_s_tachskrinom_original_vosstanovlenyj_black_10000514", "Перейти")</f>
        <v>Перейти</v>
      </c>
      <c r="F2482" s="2">
        <v>10000514</v>
      </c>
      <c r="G2482" s="4" t="s">
        <v>2616</v>
      </c>
      <c r="H2482" s="1">
        <v>0</v>
      </c>
      <c r="I2482" s="1">
        <v>0</v>
      </c>
      <c r="J2482" s="1">
        <v>1</v>
      </c>
      <c r="K2482" s="2">
        <v>30.0</v>
      </c>
    </row>
    <row r="2483" spans="1:12">
      <c r="A2483" s="3" t="s">
        <v>2194</v>
      </c>
      <c r="B2483" s="3" t="s">
        <v>2526</v>
      </c>
      <c r="C2483" s="3" t="s">
        <v>54</v>
      </c>
      <c r="D2483" s="3"/>
      <c r="E2483" s="2" t="str">
        <f>HYPERLINK("https://old.ukr-mobil.com/displej_iphone_8_s_tachskrinom_original_vosstanovlenyj_white_10000515", "Перейти")</f>
        <v>Перейти</v>
      </c>
      <c r="F2483" s="2">
        <v>10000515</v>
      </c>
      <c r="G2483" s="4" t="s">
        <v>2617</v>
      </c>
      <c r="H2483" s="1">
        <v>7</v>
      </c>
      <c r="I2483" s="1">
        <v>3</v>
      </c>
      <c r="J2483" s="1">
        <v>1</v>
      </c>
      <c r="K2483" s="2">
        <v>30.0</v>
      </c>
    </row>
    <row r="2484" spans="1:12">
      <c r="A2484" s="3" t="s">
        <v>2194</v>
      </c>
      <c r="B2484" s="3" t="s">
        <v>2526</v>
      </c>
      <c r="C2484" s="3" t="s">
        <v>54</v>
      </c>
      <c r="D2484" s="3"/>
      <c r="E2484" s="2" t="str">
        <f>HYPERLINK("https://old.ukr-mobil.com/displej_iphone_8_s_tachskrinom_original_prc_black_9443", "Перейти")</f>
        <v>Перейти</v>
      </c>
      <c r="F2484" s="2">
        <v>9443</v>
      </c>
      <c r="G2484" s="4" t="s">
        <v>2618</v>
      </c>
      <c r="H2484" s="1">
        <v>0</v>
      </c>
      <c r="I2484" s="1">
        <v>0</v>
      </c>
      <c r="J2484" s="1">
        <v>0</v>
      </c>
      <c r="K2484" s="2">
        <v>33.0</v>
      </c>
    </row>
    <row r="2485" spans="1:12">
      <c r="A2485" s="3" t="s">
        <v>2194</v>
      </c>
      <c r="B2485" s="3" t="s">
        <v>2526</v>
      </c>
      <c r="C2485" s="3" t="s">
        <v>54</v>
      </c>
      <c r="D2485" s="3"/>
      <c r="E2485" s="2" t="str">
        <f>HYPERLINK("https://old.ukr-mobil.com/displej_iphone_8_s_tachskrinom_original_prc_white_9444", "Перейти")</f>
        <v>Перейти</v>
      </c>
      <c r="F2485" s="2">
        <v>9444</v>
      </c>
      <c r="G2485" s="4" t="s">
        <v>2619</v>
      </c>
      <c r="H2485" s="1">
        <v>0</v>
      </c>
      <c r="I2485" s="1">
        <v>0</v>
      </c>
      <c r="J2485" s="1">
        <v>0</v>
      </c>
      <c r="K2485" s="2">
        <v>32.0</v>
      </c>
    </row>
    <row r="2486" spans="1:12">
      <c r="A2486" s="3" t="s">
        <v>2194</v>
      </c>
      <c r="B2486" s="3" t="s">
        <v>2526</v>
      </c>
      <c r="C2486" s="3" t="s">
        <v>54</v>
      </c>
      <c r="D2486" s="3"/>
      <c r="E2486" s="2" t="str">
        <f>HYPERLINK("https://old.ukr-mobil.com/displej_apple_iphone_x_s_tachskrinom_gx_hard_oled_10003591", "Перейти")</f>
        <v>Перейти</v>
      </c>
      <c r="F2486" s="2">
        <v>10003591</v>
      </c>
      <c r="G2486" s="4" t="s">
        <v>2620</v>
      </c>
      <c r="H2486" s="1">
        <v>0</v>
      </c>
      <c r="I2486" s="1">
        <v>0</v>
      </c>
      <c r="J2486" s="1">
        <v>0</v>
      </c>
      <c r="K2486" s="2">
        <v>42.0</v>
      </c>
    </row>
    <row r="2487" spans="1:12">
      <c r="A2487" s="3" t="s">
        <v>2194</v>
      </c>
      <c r="B2487" s="3" t="s">
        <v>2526</v>
      </c>
      <c r="C2487" s="3" t="s">
        <v>54</v>
      </c>
      <c r="D2487" s="3"/>
      <c r="E2487" s="2" t="str">
        <f>HYPERLINK("https://old.ukr-mobil.com/displej_iphone_x_s_tachskrinom_high_copy_oled_hex_10000683", "Перейти")</f>
        <v>Перейти</v>
      </c>
      <c r="F2487" s="2">
        <v>10000683</v>
      </c>
      <c r="G2487" s="4" t="s">
        <v>2621</v>
      </c>
      <c r="H2487" s="1">
        <v>1</v>
      </c>
      <c r="I2487" s="1">
        <v>0</v>
      </c>
      <c r="J2487" s="1">
        <v>0</v>
      </c>
      <c r="K2487" s="2">
        <v>21.0</v>
      </c>
    </row>
    <row r="2488" spans="1:12">
      <c r="A2488" s="3" t="s">
        <v>2194</v>
      </c>
      <c r="B2488" s="3" t="s">
        <v>2526</v>
      </c>
      <c r="C2488" s="3" t="s">
        <v>54</v>
      </c>
      <c r="D2488" s="3"/>
      <c r="E2488" s="2" t="str">
        <f>HYPERLINK("https://old.ukr-mobil.com/displej_iphone_x_s_tachskrinom_high_copy_oled_gx_10300", "Перейти")</f>
        <v>Перейти</v>
      </c>
      <c r="F2488" s="2">
        <v>10300</v>
      </c>
      <c r="G2488" s="4" t="s">
        <v>2622</v>
      </c>
      <c r="H2488" s="1">
        <v>58</v>
      </c>
      <c r="I2488" s="1">
        <v>5</v>
      </c>
      <c r="J2488" s="1">
        <v>16</v>
      </c>
      <c r="K2488" s="2">
        <v>28.0</v>
      </c>
    </row>
    <row r="2489" spans="1:12">
      <c r="A2489" s="3" t="s">
        <v>2194</v>
      </c>
      <c r="B2489" s="3" t="s">
        <v>2526</v>
      </c>
      <c r="C2489" s="3" t="s">
        <v>54</v>
      </c>
      <c r="D2489" s="3"/>
      <c r="E2489" s="2" t="str">
        <f>HYPERLINK("https://old.ukr-mobil.com/displej_iphone_x_s_tachskrinom_high_copy_incell_11629", "Перейти")</f>
        <v>Перейти</v>
      </c>
      <c r="F2489" s="2">
        <v>11629</v>
      </c>
      <c r="G2489" s="4" t="s">
        <v>2623</v>
      </c>
      <c r="H2489" s="1">
        <v>0</v>
      </c>
      <c r="I2489" s="1">
        <v>0</v>
      </c>
      <c r="J2489" s="1">
        <v>0</v>
      </c>
      <c r="K2489" s="2">
        <v>15.65</v>
      </c>
    </row>
    <row r="2490" spans="1:12">
      <c r="A2490" s="3" t="s">
        <v>2194</v>
      </c>
      <c r="B2490" s="3" t="s">
        <v>2526</v>
      </c>
      <c r="C2490" s="3" t="s">
        <v>54</v>
      </c>
      <c r="D2490" s="3"/>
      <c r="E2490" s="2" t="str">
        <f>HYPERLINK("https://old.ukr-mobil.com/displej_apple_iphone_x_s_tachskrinom_original_vosstanovlenyj_10001408", "Перейти")</f>
        <v>Перейти</v>
      </c>
      <c r="F2490" s="2">
        <v>10001408</v>
      </c>
      <c r="G2490" s="4" t="s">
        <v>2624</v>
      </c>
      <c r="H2490" s="1">
        <v>35</v>
      </c>
      <c r="I2490" s="1">
        <v>21</v>
      </c>
      <c r="J2490" s="1">
        <v>13</v>
      </c>
      <c r="K2490" s="2">
        <v>52.0</v>
      </c>
    </row>
    <row r="2491" spans="1:12">
      <c r="A2491" s="3" t="s">
        <v>2194</v>
      </c>
      <c r="B2491" s="3" t="s">
        <v>2526</v>
      </c>
      <c r="C2491" s="3" t="s">
        <v>54</v>
      </c>
      <c r="D2491" s="3"/>
      <c r="E2491" s="2" t="str">
        <f>HYPERLINK("https://old.ukr-mobil.com/displej_iphone_x_s_tachskrinom_original_prc_9612", "Перейти")</f>
        <v>Перейти</v>
      </c>
      <c r="F2491" s="2">
        <v>9612</v>
      </c>
      <c r="G2491" s="4" t="s">
        <v>2625</v>
      </c>
      <c r="H2491" s="1">
        <v>0</v>
      </c>
      <c r="I2491" s="1">
        <v>0</v>
      </c>
      <c r="J2491" s="1">
        <v>0</v>
      </c>
      <c r="K2491" s="2">
        <v>134.9</v>
      </c>
    </row>
    <row r="2492" spans="1:12">
      <c r="A2492" s="3" t="s">
        <v>2194</v>
      </c>
      <c r="B2492" s="3" t="s">
        <v>2526</v>
      </c>
      <c r="C2492" s="3" t="s">
        <v>54</v>
      </c>
      <c r="D2492" s="3"/>
      <c r="E2492" s="2" t="str">
        <f>HYPERLINK("https://old.ukr-mobil.com/displej_iphone_xr_s_tachskrinom_high_copy_black_10000366", "Перейти")</f>
        <v>Перейти</v>
      </c>
      <c r="F2492" s="2">
        <v>10000366</v>
      </c>
      <c r="G2492" s="4" t="s">
        <v>2626</v>
      </c>
      <c r="H2492" s="1">
        <v>0</v>
      </c>
      <c r="I2492" s="1">
        <v>0</v>
      </c>
      <c r="J2492" s="1">
        <v>0</v>
      </c>
      <c r="K2492" s="2">
        <v>22.0</v>
      </c>
    </row>
    <row r="2493" spans="1:12">
      <c r="A2493" s="3" t="s">
        <v>2194</v>
      </c>
      <c r="B2493" s="3" t="s">
        <v>2526</v>
      </c>
      <c r="C2493" s="3" t="s">
        <v>54</v>
      </c>
      <c r="D2493" s="3"/>
      <c r="E2493" s="2" t="str">
        <f>HYPERLINK("https://old.ukr-mobil.com/displej_apple_iphone_xr_s_tachskrinom_original_vosstanovlenyj_10001853", "Перейти")</f>
        <v>Перейти</v>
      </c>
      <c r="F2493" s="2">
        <v>10001853</v>
      </c>
      <c r="G2493" s="4" t="s">
        <v>2627</v>
      </c>
      <c r="H2493" s="1">
        <v>0</v>
      </c>
      <c r="I2493" s="1">
        <v>0</v>
      </c>
      <c r="J2493" s="1">
        <v>0</v>
      </c>
      <c r="K2493" s="2">
        <v>44.0</v>
      </c>
    </row>
    <row r="2494" spans="1:12">
      <c r="A2494" s="3" t="s">
        <v>2194</v>
      </c>
      <c r="B2494" s="3" t="s">
        <v>2526</v>
      </c>
      <c r="C2494" s="3" t="s">
        <v>54</v>
      </c>
      <c r="D2494" s="3"/>
      <c r="E2494" s="2" t="str">
        <f>HYPERLINK("https://old.ukr-mobil.com/displej_iphone_xr_s_tachskrinom_original_prc_black_11407", "Перейти")</f>
        <v>Перейти</v>
      </c>
      <c r="F2494" s="2">
        <v>11407</v>
      </c>
      <c r="G2494" s="4" t="s">
        <v>2628</v>
      </c>
      <c r="H2494" s="1">
        <v>0</v>
      </c>
      <c r="I2494" s="1">
        <v>0</v>
      </c>
      <c r="J2494" s="1">
        <v>0</v>
      </c>
      <c r="K2494" s="2">
        <v>42.0</v>
      </c>
    </row>
    <row r="2495" spans="1:12">
      <c r="A2495" s="3" t="s">
        <v>2194</v>
      </c>
      <c r="B2495" s="3" t="s">
        <v>2526</v>
      </c>
      <c r="C2495" s="3" t="s">
        <v>54</v>
      </c>
      <c r="D2495" s="3"/>
      <c r="E2495" s="2" t="str">
        <f>HYPERLINK("https://old.ukr-mobil.com/displej_iphone_xs_max_s_tachskrinom_high_copy_oled_gx_10000726", "Перейти")</f>
        <v>Перейти</v>
      </c>
      <c r="F2495" s="2">
        <v>10000726</v>
      </c>
      <c r="G2495" s="4" t="s">
        <v>2629</v>
      </c>
      <c r="H2495" s="1">
        <v>5</v>
      </c>
      <c r="I2495" s="1">
        <v>11</v>
      </c>
      <c r="J2495" s="1">
        <v>0</v>
      </c>
      <c r="K2495" s="2">
        <v>28.65</v>
      </c>
    </row>
    <row r="2496" spans="1:12">
      <c r="A2496" s="3" t="s">
        <v>2194</v>
      </c>
      <c r="B2496" s="3" t="s">
        <v>2526</v>
      </c>
      <c r="C2496" s="3" t="s">
        <v>54</v>
      </c>
      <c r="D2496" s="3"/>
      <c r="E2496" s="2" t="str">
        <f>HYPERLINK("https://old.ukr-mobil.com/displej_apple_iphone_xs_max_s_tachskrinom_incell_10003594", "Перейти")</f>
        <v>Перейти</v>
      </c>
      <c r="F2496" s="2">
        <v>10003594</v>
      </c>
      <c r="G2496" s="4" t="s">
        <v>2630</v>
      </c>
      <c r="H2496" s="1">
        <v>0</v>
      </c>
      <c r="I2496" s="1">
        <v>0</v>
      </c>
      <c r="J2496" s="1">
        <v>0</v>
      </c>
      <c r="K2496" s="2">
        <v>38.0</v>
      </c>
    </row>
    <row r="2497" spans="1:12">
      <c r="A2497" s="3" t="s">
        <v>2194</v>
      </c>
      <c r="B2497" s="3" t="s">
        <v>2526</v>
      </c>
      <c r="C2497" s="3" t="s">
        <v>54</v>
      </c>
      <c r="D2497" s="3"/>
      <c r="E2497" s="2" t="str">
        <f>HYPERLINK("https://old.ukr-mobil.com/displej_apple_iphone_xs_max_s_tachskrinom_original_vosstanovlenyj_10001301", "Перейти")</f>
        <v>Перейти</v>
      </c>
      <c r="F2497" s="2">
        <v>10001301</v>
      </c>
      <c r="G2497" s="4" t="s">
        <v>2631</v>
      </c>
      <c r="H2497" s="1">
        <v>2</v>
      </c>
      <c r="I2497" s="1">
        <v>0</v>
      </c>
      <c r="J2497" s="1">
        <v>0</v>
      </c>
      <c r="K2497" s="2">
        <v>75.0</v>
      </c>
    </row>
    <row r="2498" spans="1:12">
      <c r="A2498" s="3" t="s">
        <v>2194</v>
      </c>
      <c r="B2498" s="3" t="s">
        <v>2526</v>
      </c>
      <c r="C2498" s="3" t="s">
        <v>54</v>
      </c>
      <c r="D2498" s="3"/>
      <c r="E2498" s="2" t="str">
        <f>HYPERLINK("https://old.ukr-mobil.com/displej_iphone_xs_max_s_tachskrinom_original_prc_11109", "Перейти")</f>
        <v>Перейти</v>
      </c>
      <c r="F2498" s="2">
        <v>11109</v>
      </c>
      <c r="G2498" s="4" t="s">
        <v>2632</v>
      </c>
      <c r="H2498" s="1">
        <v>5</v>
      </c>
      <c r="I2498" s="1">
        <v>2</v>
      </c>
      <c r="J2498" s="1">
        <v>0</v>
      </c>
      <c r="K2498" s="2">
        <v>65.0</v>
      </c>
    </row>
    <row r="2499" spans="1:12">
      <c r="A2499" s="3" t="s">
        <v>2194</v>
      </c>
      <c r="B2499" s="3" t="s">
        <v>2526</v>
      </c>
      <c r="C2499" s="3" t="s">
        <v>54</v>
      </c>
      <c r="D2499" s="3"/>
      <c r="E2499" s="2" t="str">
        <f>HYPERLINK("https://old.ukr-mobil.com/displej_iphone_xs_s_tachskrinom_high_copy_oled_gx_11406", "Перейти")</f>
        <v>Перейти</v>
      </c>
      <c r="F2499" s="2">
        <v>11406</v>
      </c>
      <c r="G2499" s="4" t="s">
        <v>2633</v>
      </c>
      <c r="H2499" s="1">
        <v>2</v>
      </c>
      <c r="I2499" s="1">
        <v>0</v>
      </c>
      <c r="J2499" s="1">
        <v>3</v>
      </c>
      <c r="K2499" s="2">
        <v>28.65</v>
      </c>
    </row>
    <row r="2500" spans="1:12">
      <c r="A2500" s="3" t="s">
        <v>2194</v>
      </c>
      <c r="B2500" s="3" t="s">
        <v>2526</v>
      </c>
      <c r="C2500" s="3" t="s">
        <v>54</v>
      </c>
      <c r="D2500" s="3"/>
      <c r="E2500" s="2" t="str">
        <f>HYPERLINK("https://old.ukr-mobil.com/displej_iphone_xs_s_tachskrinom_high_copy_incell_10000599", "Перейти")</f>
        <v>Перейти</v>
      </c>
      <c r="F2500" s="2">
        <v>10000599</v>
      </c>
      <c r="G2500" s="4" t="s">
        <v>2634</v>
      </c>
      <c r="H2500" s="1">
        <v>0</v>
      </c>
      <c r="I2500" s="1">
        <v>0</v>
      </c>
      <c r="J2500" s="1">
        <v>0</v>
      </c>
      <c r="K2500" s="2">
        <v>26.0</v>
      </c>
    </row>
    <row r="2501" spans="1:12">
      <c r="A2501" s="3" t="s">
        <v>2194</v>
      </c>
      <c r="B2501" s="3" t="s">
        <v>2526</v>
      </c>
      <c r="C2501" s="3" t="s">
        <v>54</v>
      </c>
      <c r="D2501" s="3"/>
      <c r="E2501" s="2" t="str">
        <f>HYPERLINK("https://old.ukr-mobil.com/displej_apple_iphone_xs_s_tachskrinom_oled_tianma_10001844", "Перейти")</f>
        <v>Перейти</v>
      </c>
      <c r="F2501" s="2">
        <v>10001844</v>
      </c>
      <c r="G2501" s="4" t="s">
        <v>2635</v>
      </c>
      <c r="H2501" s="1">
        <v>0</v>
      </c>
      <c r="I2501" s="1">
        <v>0</v>
      </c>
      <c r="J2501" s="1">
        <v>0</v>
      </c>
      <c r="K2501" s="2">
        <v>70.0</v>
      </c>
    </row>
    <row r="2502" spans="1:12">
      <c r="A2502" s="3" t="s">
        <v>2194</v>
      </c>
      <c r="B2502" s="3" t="s">
        <v>2526</v>
      </c>
      <c r="C2502" s="3" t="s">
        <v>54</v>
      </c>
      <c r="D2502" s="3"/>
      <c r="E2502" s="2" t="str">
        <f>HYPERLINK("https://old.ukr-mobil.com/displej_apple_iphone_xs_s_tachskrinom_original_vosstanovlenyj_10001409", "Перейти")</f>
        <v>Перейти</v>
      </c>
      <c r="F2502" s="2">
        <v>10001409</v>
      </c>
      <c r="G2502" s="4" t="s">
        <v>2636</v>
      </c>
      <c r="H2502" s="1">
        <v>10</v>
      </c>
      <c r="I2502" s="1">
        <v>3</v>
      </c>
      <c r="J2502" s="1">
        <v>4</v>
      </c>
      <c r="K2502" s="2">
        <v>51.8</v>
      </c>
    </row>
    <row r="2503" spans="1:12">
      <c r="A2503" s="3" t="s">
        <v>2194</v>
      </c>
      <c r="B2503" s="3" t="s">
        <v>2526</v>
      </c>
      <c r="C2503" s="3" t="s">
        <v>54</v>
      </c>
      <c r="D2503" s="3"/>
      <c r="E2503" s="2" t="str">
        <f>HYPERLINK("https://old.ukr-mobil.com/displej_iphone_xs_s_tachskrinom_original_prc_11131", "Перейти")</f>
        <v>Перейти</v>
      </c>
      <c r="F2503" s="2">
        <v>11131</v>
      </c>
      <c r="G2503" s="4" t="s">
        <v>2637</v>
      </c>
      <c r="H2503" s="1">
        <v>0</v>
      </c>
      <c r="I2503" s="1">
        <v>0</v>
      </c>
      <c r="J2503" s="1">
        <v>0</v>
      </c>
      <c r="K2503" s="2">
        <v>136.8</v>
      </c>
    </row>
    <row r="2504" spans="1:12">
      <c r="A2504" s="3" t="s">
        <v>2194</v>
      </c>
      <c r="B2504" s="3" t="s">
        <v>2526</v>
      </c>
      <c r="C2504" s="3" t="s">
        <v>950</v>
      </c>
      <c r="D2504" s="3"/>
      <c r="E2504" s="2" t="str">
        <f>HYPERLINK("https://old.ukr-mobil.com/displej_asus_rog_phone_2_zs660kl_s_tachskrinom_original_prc_black_10000694", "Перейти")</f>
        <v>Перейти</v>
      </c>
      <c r="F2504" s="2">
        <v>10000694</v>
      </c>
      <c r="G2504" s="4" t="s">
        <v>2638</v>
      </c>
      <c r="H2504" s="1">
        <v>2</v>
      </c>
      <c r="I2504" s="1">
        <v>1</v>
      </c>
      <c r="J2504" s="1">
        <v>1</v>
      </c>
      <c r="K2504" s="2">
        <v>80.0</v>
      </c>
    </row>
    <row r="2505" spans="1:12">
      <c r="A2505" s="3" t="s">
        <v>2194</v>
      </c>
      <c r="B2505" s="3" t="s">
        <v>2526</v>
      </c>
      <c r="C2505" s="3" t="s">
        <v>950</v>
      </c>
      <c r="D2505" s="3"/>
      <c r="E2505" s="2" t="str">
        <f>HYPERLINK("https://old.ukr-mobil.com/displej_asus_rog_phone_5_zs673ks_s_tachskrinom_original_black_10002158", "Перейти")</f>
        <v>Перейти</v>
      </c>
      <c r="F2505" s="2">
        <v>10002158</v>
      </c>
      <c r="G2505" s="4" t="s">
        <v>2639</v>
      </c>
      <c r="H2505" s="1">
        <v>0</v>
      </c>
      <c r="I2505" s="1">
        <v>0</v>
      </c>
      <c r="J2505" s="1">
        <v>0</v>
      </c>
      <c r="K2505" s="2">
        <v>87.0</v>
      </c>
    </row>
    <row r="2506" spans="1:12">
      <c r="A2506" s="3" t="s">
        <v>2194</v>
      </c>
      <c r="B2506" s="3" t="s">
        <v>2526</v>
      </c>
      <c r="C2506" s="3" t="s">
        <v>950</v>
      </c>
      <c r="D2506" s="3"/>
      <c r="E2506" s="2" t="str">
        <f>HYPERLINK("https://old.ukr-mobil.com/displej_asus_rog_phone_5s_zs676ks_rog_phone_5s_pro_s_tachskrinom_original_black_10003562", "Перейти")</f>
        <v>Перейти</v>
      </c>
      <c r="F2506" s="2">
        <v>10003562</v>
      </c>
      <c r="G2506" s="4" t="s">
        <v>2640</v>
      </c>
      <c r="H2506" s="1">
        <v>1</v>
      </c>
      <c r="I2506" s="1">
        <v>0</v>
      </c>
      <c r="J2506" s="1">
        <v>0</v>
      </c>
      <c r="K2506" s="2">
        <v>95.0</v>
      </c>
    </row>
    <row r="2507" spans="1:12">
      <c r="A2507" s="3" t="s">
        <v>2194</v>
      </c>
      <c r="B2507" s="3" t="s">
        <v>2526</v>
      </c>
      <c r="C2507" s="3" t="s">
        <v>950</v>
      </c>
      <c r="D2507" s="3"/>
      <c r="E2507" s="2" t="str">
        <f>HYPERLINK("https://old.ukr-mobil.com/displej_asus_rog_phone_6_s_tachskrinom_original_10003684", "Перейти")</f>
        <v>Перейти</v>
      </c>
      <c r="F2507" s="2">
        <v>10003684</v>
      </c>
      <c r="G2507" s="4" t="s">
        <v>2641</v>
      </c>
      <c r="H2507" s="1">
        <v>0</v>
      </c>
      <c r="I2507" s="1">
        <v>0</v>
      </c>
      <c r="J2507" s="1">
        <v>0</v>
      </c>
      <c r="K2507" s="2">
        <v>90.0</v>
      </c>
    </row>
    <row r="2508" spans="1:12">
      <c r="A2508" s="3" t="s">
        <v>2194</v>
      </c>
      <c r="B2508" s="3" t="s">
        <v>2526</v>
      </c>
      <c r="C2508" s="3" t="s">
        <v>950</v>
      </c>
      <c r="D2508" s="3"/>
      <c r="E2508" s="2" t="str">
        <f>HYPERLINK("https://old.ukr-mobil.com/displej_asus_zenfone_2_laser_ze550kl_z00ld_s_tachskrinom_black_6218", "Перейти")</f>
        <v>Перейти</v>
      </c>
      <c r="F2508" s="2">
        <v>6218</v>
      </c>
      <c r="G2508" s="4" t="s">
        <v>2642</v>
      </c>
      <c r="H2508" s="1">
        <v>0</v>
      </c>
      <c r="I2508" s="1">
        <v>0</v>
      </c>
      <c r="J2508" s="1">
        <v>1</v>
      </c>
      <c r="K2508" s="2">
        <v>10.0</v>
      </c>
    </row>
    <row r="2509" spans="1:12">
      <c r="A2509" s="3" t="s">
        <v>2194</v>
      </c>
      <c r="B2509" s="3" t="s">
        <v>2526</v>
      </c>
      <c r="C2509" s="3" t="s">
        <v>950</v>
      </c>
      <c r="D2509" s="3"/>
      <c r="E2509" s="2" t="str">
        <f>HYPERLINK("https://old.ukr-mobil.com/displej_asus_zenfone_4_max_pro_zc554kl_x00id_s_tachskrinom_high_copy_black_10489", "Перейти")</f>
        <v>Перейти</v>
      </c>
      <c r="F2509" s="2">
        <v>10489</v>
      </c>
      <c r="G2509" s="4" t="s">
        <v>2643</v>
      </c>
      <c r="H2509" s="1">
        <v>1</v>
      </c>
      <c r="I2509" s="1">
        <v>1</v>
      </c>
      <c r="J2509" s="1">
        <v>0</v>
      </c>
      <c r="K2509" s="2">
        <v>11.0</v>
      </c>
    </row>
    <row r="2510" spans="1:12">
      <c r="A2510" s="3" t="s">
        <v>2194</v>
      </c>
      <c r="B2510" s="3" t="s">
        <v>2526</v>
      </c>
      <c r="C2510" s="3" t="s">
        <v>950</v>
      </c>
      <c r="D2510" s="3"/>
      <c r="E2510" s="2" t="str">
        <f>HYPERLINK("https://old.ukr-mobil.com/displej_asus_zenfone_4_5_a450_s_tachskrinom_6122", "Перейти")</f>
        <v>Перейти</v>
      </c>
      <c r="F2510" s="2">
        <v>6122</v>
      </c>
      <c r="G2510" s="4" t="s">
        <v>2644</v>
      </c>
      <c r="H2510" s="1">
        <v>0</v>
      </c>
      <c r="I2510" s="1">
        <v>0</v>
      </c>
      <c r="J2510" s="1">
        <v>1</v>
      </c>
      <c r="K2510" s="2">
        <v>11.0</v>
      </c>
    </row>
    <row r="2511" spans="1:12">
      <c r="A2511" s="3" t="s">
        <v>2194</v>
      </c>
      <c r="B2511" s="3" t="s">
        <v>2526</v>
      </c>
      <c r="C2511" s="3" t="s">
        <v>950</v>
      </c>
      <c r="D2511" s="3"/>
      <c r="E2511" s="2" t="str">
        <f>HYPERLINK("https://old.ukr-mobil.com/displej_asus_zenfone_5_ze620kl_zs620kl_s_tachskrinom_black_11392", "Перейти")</f>
        <v>Перейти</v>
      </c>
      <c r="F2511" s="2">
        <v>11392</v>
      </c>
      <c r="G2511" s="4" t="s">
        <v>2645</v>
      </c>
      <c r="H2511" s="1">
        <v>0</v>
      </c>
      <c r="I2511" s="1">
        <v>2</v>
      </c>
      <c r="J2511" s="1">
        <v>1</v>
      </c>
      <c r="K2511" s="2">
        <v>17.0</v>
      </c>
    </row>
    <row r="2512" spans="1:12">
      <c r="A2512" s="3" t="s">
        <v>2194</v>
      </c>
      <c r="B2512" s="3" t="s">
        <v>2526</v>
      </c>
      <c r="C2512" s="3" t="s">
        <v>950</v>
      </c>
      <c r="D2512" s="3"/>
      <c r="E2512" s="2" t="str">
        <f>HYPERLINK("https://old.ukr-mobil.com/displej_asus_zenfone_6_s_tachskrinom_black_5470", "Перейти")</f>
        <v>Перейти</v>
      </c>
      <c r="F2512" s="2">
        <v>5470</v>
      </c>
      <c r="G2512" s="4" t="s">
        <v>2646</v>
      </c>
      <c r="H2512" s="1">
        <v>7</v>
      </c>
      <c r="I2512" s="1">
        <v>1</v>
      </c>
      <c r="J2512" s="1">
        <v>2</v>
      </c>
      <c r="K2512" s="2">
        <v>19.0</v>
      </c>
    </row>
    <row r="2513" spans="1:12">
      <c r="A2513" s="3" t="s">
        <v>2194</v>
      </c>
      <c r="B2513" s="3" t="s">
        <v>2526</v>
      </c>
      <c r="C2513" s="3" t="s">
        <v>950</v>
      </c>
      <c r="D2513" s="3"/>
      <c r="E2513" s="2" t="str">
        <f>HYPERLINK("https://old.ukr-mobil.com/index.php?route=product&amp;product_id=10005579", "Перейти")</f>
        <v>Перейти</v>
      </c>
      <c r="F2513" s="2">
        <v>10005579</v>
      </c>
      <c r="G2513" s="4" t="s">
        <v>2647</v>
      </c>
      <c r="H2513" s="1">
        <v>1</v>
      </c>
      <c r="I2513" s="1">
        <v>0</v>
      </c>
      <c r="J2513" s="1">
        <v>0</v>
      </c>
      <c r="K2513" s="2">
        <v>10.35</v>
      </c>
    </row>
    <row r="2514" spans="1:12">
      <c r="A2514" s="3" t="s">
        <v>2194</v>
      </c>
      <c r="B2514" s="3" t="s">
        <v>2526</v>
      </c>
      <c r="C2514" s="3" t="s">
        <v>950</v>
      </c>
      <c r="D2514" s="3"/>
      <c r="E2514" s="2" t="str">
        <f>HYPERLINK("https://old.ukr-mobil.com/displej_asus_zenfone_7_zs670ks_zenfone_7_pro_zs671ks_zenfone_8_flip_s_tachskrinom_original_prc_black_10002159", "Перейти")</f>
        <v>Перейти</v>
      </c>
      <c r="F2514" s="2">
        <v>10002159</v>
      </c>
      <c r="G2514" s="4" t="s">
        <v>2648</v>
      </c>
      <c r="H2514" s="1">
        <v>0</v>
      </c>
      <c r="I2514" s="1">
        <v>0</v>
      </c>
      <c r="J2514" s="1">
        <v>0</v>
      </c>
      <c r="K2514" s="2">
        <v>90.0</v>
      </c>
    </row>
    <row r="2515" spans="1:12">
      <c r="A2515" s="3" t="s">
        <v>2194</v>
      </c>
      <c r="B2515" s="3" t="s">
        <v>2526</v>
      </c>
      <c r="C2515" s="3" t="s">
        <v>950</v>
      </c>
      <c r="D2515" s="3"/>
      <c r="E2515" s="2" t="str">
        <f>HYPERLINK("https://old.ukr-mobil.com/displej_asus_zenfone_8_flip_zs672ks_s_tachskrinom_original_black_10003555", "Перейти")</f>
        <v>Перейти</v>
      </c>
      <c r="F2515" s="2">
        <v>10003555</v>
      </c>
      <c r="G2515" s="4" t="s">
        <v>2649</v>
      </c>
      <c r="H2515" s="1">
        <v>1</v>
      </c>
      <c r="I2515" s="1">
        <v>1</v>
      </c>
      <c r="J2515" s="1">
        <v>0</v>
      </c>
      <c r="K2515" s="2">
        <v>80.0</v>
      </c>
    </row>
    <row r="2516" spans="1:12">
      <c r="A2516" s="3" t="s">
        <v>2194</v>
      </c>
      <c r="B2516" s="3" t="s">
        <v>2526</v>
      </c>
      <c r="C2516" s="3" t="s">
        <v>950</v>
      </c>
      <c r="D2516" s="3"/>
      <c r="E2516" s="2" t="str">
        <f>HYPERLINK("https://old.ukr-mobil.com/displej_asus_zenfone_8_zs590ks_s_tachskrinom_original_black_10003561", "Перейти")</f>
        <v>Перейти</v>
      </c>
      <c r="F2516" s="2">
        <v>10003561</v>
      </c>
      <c r="G2516" s="4" t="s">
        <v>2650</v>
      </c>
      <c r="H2516" s="1">
        <v>0</v>
      </c>
      <c r="I2516" s="1">
        <v>0</v>
      </c>
      <c r="J2516" s="1">
        <v>0</v>
      </c>
      <c r="K2516" s="2">
        <v>150.0</v>
      </c>
    </row>
    <row r="2517" spans="1:12">
      <c r="A2517" s="3" t="s">
        <v>2194</v>
      </c>
      <c r="B2517" s="3" t="s">
        <v>2526</v>
      </c>
      <c r="C2517" s="3" t="s">
        <v>950</v>
      </c>
      <c r="D2517" s="3"/>
      <c r="E2517" s="2" t="str">
        <f>HYPERLINK("https://old.ukr-mobil.com/displej_asus_zenfone_live_l1_za550kl_g552kl_s_tachskrinom_high_copy_black_11956", "Перейти")</f>
        <v>Перейти</v>
      </c>
      <c r="F2517" s="2">
        <v>11956</v>
      </c>
      <c r="G2517" s="4" t="s">
        <v>2651</v>
      </c>
      <c r="H2517" s="1">
        <v>0</v>
      </c>
      <c r="I2517" s="1">
        <v>0</v>
      </c>
      <c r="J2517" s="1">
        <v>0</v>
      </c>
      <c r="K2517" s="2">
        <v>5.65</v>
      </c>
    </row>
    <row r="2518" spans="1:12">
      <c r="A2518" s="3" t="s">
        <v>2194</v>
      </c>
      <c r="B2518" s="3" t="s">
        <v>2526</v>
      </c>
      <c r="C2518" s="3" t="s">
        <v>950</v>
      </c>
      <c r="D2518" s="3"/>
      <c r="E2518" s="2" t="str">
        <f>HYPERLINK("https://old.ukr-mobil.com/displej_asus_zenfone_lite_zb501kl_x00fd_s_tachskrinom_high_copy_black_10280", "Перейти")</f>
        <v>Перейти</v>
      </c>
      <c r="F2518" s="2">
        <v>10280</v>
      </c>
      <c r="G2518" s="4" t="s">
        <v>2652</v>
      </c>
      <c r="H2518" s="1">
        <v>3</v>
      </c>
      <c r="I2518" s="1">
        <v>0</v>
      </c>
      <c r="J2518" s="1">
        <v>1</v>
      </c>
      <c r="K2518" s="2">
        <v>12.0</v>
      </c>
    </row>
    <row r="2519" spans="1:12">
      <c r="A2519" s="3" t="s">
        <v>2194</v>
      </c>
      <c r="B2519" s="3" t="s">
        <v>2526</v>
      </c>
      <c r="C2519" s="3" t="s">
        <v>950</v>
      </c>
      <c r="D2519" s="3"/>
      <c r="E2519" s="2" t="str">
        <f>HYPERLINK("https://old.ukr-mobil.com/displej_asus_zenfone_max_m2_zb633kl_s_tachskrinom_original_prc_black_11709", "Перейти")</f>
        <v>Перейти</v>
      </c>
      <c r="F2519" s="2">
        <v>11709</v>
      </c>
      <c r="G2519" s="4" t="s">
        <v>2653</v>
      </c>
      <c r="H2519" s="1">
        <v>2</v>
      </c>
      <c r="I2519" s="1">
        <v>0</v>
      </c>
      <c r="J2519" s="1">
        <v>0</v>
      </c>
      <c r="K2519" s="2">
        <v>13.0</v>
      </c>
    </row>
    <row r="2520" spans="1:12">
      <c r="A2520" s="3" t="s">
        <v>2194</v>
      </c>
      <c r="B2520" s="3" t="s">
        <v>2526</v>
      </c>
      <c r="C2520" s="3" t="s">
        <v>950</v>
      </c>
      <c r="D2520" s="3"/>
      <c r="E2520" s="2" t="str">
        <f>HYPERLINK("https://old.ukr-mobil.com/displej_asus_zenfone_max_plus_m1_zb570tl_s_tachskrinom_original_prc_black_9952", "Перейти")</f>
        <v>Перейти</v>
      </c>
      <c r="F2520" s="2">
        <v>9952</v>
      </c>
      <c r="G2520" s="4" t="s">
        <v>2654</v>
      </c>
      <c r="H2520" s="1">
        <v>4</v>
      </c>
      <c r="I2520" s="1">
        <v>3</v>
      </c>
      <c r="J2520" s="1">
        <v>0</v>
      </c>
      <c r="K2520" s="2">
        <v>14.55</v>
      </c>
    </row>
    <row r="2521" spans="1:12">
      <c r="A2521" s="3" t="s">
        <v>2194</v>
      </c>
      <c r="B2521" s="3" t="s">
        <v>2526</v>
      </c>
      <c r="C2521" s="3" t="s">
        <v>950</v>
      </c>
      <c r="D2521" s="3"/>
      <c r="E2521" s="2" t="str">
        <f>HYPERLINK("https://old.ukr-mobil.com/displej_asus_zenfone_max_plus_m1_zb570tl_s_tachskrinom_s_ramkoj_original_prc_black_10002167", "Перейти")</f>
        <v>Перейти</v>
      </c>
      <c r="F2521" s="2">
        <v>10002167</v>
      </c>
      <c r="G2521" s="4" t="s">
        <v>2655</v>
      </c>
      <c r="H2521" s="1">
        <v>7</v>
      </c>
      <c r="I2521" s="1">
        <v>2</v>
      </c>
      <c r="J2521" s="1">
        <v>4</v>
      </c>
      <c r="K2521" s="2">
        <v>14.8</v>
      </c>
    </row>
    <row r="2522" spans="1:12">
      <c r="A2522" s="3" t="s">
        <v>2194</v>
      </c>
      <c r="B2522" s="3" t="s">
        <v>2526</v>
      </c>
      <c r="C2522" s="3" t="s">
        <v>950</v>
      </c>
      <c r="D2522" s="3"/>
      <c r="E2522" s="2" t="str">
        <f>HYPERLINK("https://old.ukr-mobil.com/displej_asus_zenfone_max_pro_m2_zb631kl_s_tachskrinom_black_11391", "Перейти")</f>
        <v>Перейти</v>
      </c>
      <c r="F2522" s="2">
        <v>11391</v>
      </c>
      <c r="G2522" s="4" t="s">
        <v>2656</v>
      </c>
      <c r="H2522" s="1">
        <v>4</v>
      </c>
      <c r="I2522" s="1">
        <v>1</v>
      </c>
      <c r="J2522" s="1">
        <v>3</v>
      </c>
      <c r="K2522" s="2">
        <v>16.0</v>
      </c>
    </row>
    <row r="2523" spans="1:12">
      <c r="A2523" s="3" t="s">
        <v>2194</v>
      </c>
      <c r="B2523" s="3" t="s">
        <v>2526</v>
      </c>
      <c r="C2523" s="3" t="s">
        <v>950</v>
      </c>
      <c r="D2523" s="3"/>
      <c r="E2523" s="2" t="str">
        <f>HYPERLINK("https://old.ukr-mobil.com/displej_asus_zenfone_max_pro_zb601kl_zenfone_max_pro_m1_zb602kl_x00td_s_tachskrinom_original_prc_black_10256", "Перейти")</f>
        <v>Перейти</v>
      </c>
      <c r="F2523" s="2">
        <v>10256</v>
      </c>
      <c r="G2523" s="4" t="s">
        <v>2657</v>
      </c>
      <c r="H2523" s="1">
        <v>0</v>
      </c>
      <c r="I2523" s="1">
        <v>0</v>
      </c>
      <c r="J2523" s="1">
        <v>0</v>
      </c>
      <c r="K2523" s="2">
        <v>18.0</v>
      </c>
    </row>
    <row r="2524" spans="1:12">
      <c r="A2524" s="3" t="s">
        <v>2194</v>
      </c>
      <c r="B2524" s="3" t="s">
        <v>2526</v>
      </c>
      <c r="C2524" s="3" t="s">
        <v>2251</v>
      </c>
      <c r="D2524" s="3"/>
      <c r="E2524" s="2" t="str">
        <f>HYPERLINK("https://old.ukr-mobil.com/displej_blackview_a100_s_tachskrinom_original_black_10003484", "Перейти")</f>
        <v>Перейти</v>
      </c>
      <c r="F2524" s="2">
        <v>10003484</v>
      </c>
      <c r="G2524" s="4" t="s">
        <v>2658</v>
      </c>
      <c r="H2524" s="1">
        <v>0</v>
      </c>
      <c r="I2524" s="1">
        <v>0</v>
      </c>
      <c r="J2524" s="1">
        <v>0</v>
      </c>
      <c r="K2524" s="2">
        <v>23.0</v>
      </c>
    </row>
    <row r="2525" spans="1:12">
      <c r="A2525" s="3" t="s">
        <v>2194</v>
      </c>
      <c r="B2525" s="3" t="s">
        <v>2526</v>
      </c>
      <c r="C2525" s="3" t="s">
        <v>2251</v>
      </c>
      <c r="D2525" s="3"/>
      <c r="E2525" s="2" t="str">
        <f>HYPERLINK("https://old.ukr-mobil.com/displej_blackview_a55_a55_pro_s_tachskrinom_original_black_10003488", "Перейти")</f>
        <v>Перейти</v>
      </c>
      <c r="F2525" s="2">
        <v>10003488</v>
      </c>
      <c r="G2525" s="4" t="s">
        <v>2659</v>
      </c>
      <c r="H2525" s="1">
        <v>21</v>
      </c>
      <c r="I2525" s="1">
        <v>4</v>
      </c>
      <c r="J2525" s="1">
        <v>2</v>
      </c>
      <c r="K2525" s="2">
        <v>24.0</v>
      </c>
    </row>
    <row r="2526" spans="1:12">
      <c r="A2526" s="3" t="s">
        <v>2194</v>
      </c>
      <c r="B2526" s="3" t="s">
        <v>2526</v>
      </c>
      <c r="C2526" s="3" t="s">
        <v>2251</v>
      </c>
      <c r="D2526" s="3"/>
      <c r="E2526" s="2" t="str">
        <f>HYPERLINK("https://old.ukr-mobil.com/displej_blackview_a60_a60_pro_s_tachskrinom_original_black_10003487", "Перейти")</f>
        <v>Перейти</v>
      </c>
      <c r="F2526" s="2">
        <v>10003487</v>
      </c>
      <c r="G2526" s="4" t="s">
        <v>2660</v>
      </c>
      <c r="H2526" s="1">
        <v>7</v>
      </c>
      <c r="I2526" s="1">
        <v>6</v>
      </c>
      <c r="J2526" s="1">
        <v>7</v>
      </c>
      <c r="K2526" s="2">
        <v>20.0</v>
      </c>
    </row>
    <row r="2527" spans="1:12">
      <c r="A2527" s="3" t="s">
        <v>2194</v>
      </c>
      <c r="B2527" s="3" t="s">
        <v>2526</v>
      </c>
      <c r="C2527" s="3" t="s">
        <v>2251</v>
      </c>
      <c r="D2527" s="3"/>
      <c r="E2527" s="2" t="str">
        <f>HYPERLINK("https://old.ukr-mobil.com/displej_blackview_a70_s_tachskrinom_original_black_10003490", "Перейти")</f>
        <v>Перейти</v>
      </c>
      <c r="F2527" s="2">
        <v>10003490</v>
      </c>
      <c r="G2527" s="4" t="s">
        <v>2661</v>
      </c>
      <c r="H2527" s="1">
        <v>13</v>
      </c>
      <c r="I2527" s="1">
        <v>8</v>
      </c>
      <c r="J2527" s="1">
        <v>13</v>
      </c>
      <c r="K2527" s="2">
        <v>22.5</v>
      </c>
    </row>
    <row r="2528" spans="1:12">
      <c r="A2528" s="3" t="s">
        <v>2194</v>
      </c>
      <c r="B2528" s="3" t="s">
        <v>2526</v>
      </c>
      <c r="C2528" s="3" t="s">
        <v>2251</v>
      </c>
      <c r="D2528" s="3"/>
      <c r="E2528" s="2" t="str">
        <f>HYPERLINK("https://old.ukr-mobil.com/displej_blackview_a80_s_tachskrinom_original_black_10003526", "Перейти")</f>
        <v>Перейти</v>
      </c>
      <c r="F2528" s="2">
        <v>10003526</v>
      </c>
      <c r="G2528" s="4" t="s">
        <v>2662</v>
      </c>
      <c r="H2528" s="1">
        <v>7</v>
      </c>
      <c r="I2528" s="1">
        <v>5</v>
      </c>
      <c r="J2528" s="1">
        <v>1</v>
      </c>
      <c r="K2528" s="2">
        <v>23.0</v>
      </c>
    </row>
    <row r="2529" spans="1:12">
      <c r="A2529" s="3" t="s">
        <v>2194</v>
      </c>
      <c r="B2529" s="3" t="s">
        <v>2526</v>
      </c>
      <c r="C2529" s="3" t="s">
        <v>2251</v>
      </c>
      <c r="D2529" s="3"/>
      <c r="E2529" s="2" t="str">
        <f>HYPERLINK("https://old.ukr-mobil.com/displej_blackview_a85_s_tachskrinom_original_black_10003500", "Перейти")</f>
        <v>Перейти</v>
      </c>
      <c r="F2529" s="2">
        <v>10003500</v>
      </c>
      <c r="G2529" s="4" t="s">
        <v>2663</v>
      </c>
      <c r="H2529" s="1">
        <v>5</v>
      </c>
      <c r="I2529" s="1">
        <v>4</v>
      </c>
      <c r="J2529" s="1">
        <v>4</v>
      </c>
      <c r="K2529" s="2">
        <v>25.0</v>
      </c>
    </row>
    <row r="2530" spans="1:12">
      <c r="A2530" s="3" t="s">
        <v>2194</v>
      </c>
      <c r="B2530" s="3" t="s">
        <v>2526</v>
      </c>
      <c r="C2530" s="3" t="s">
        <v>2251</v>
      </c>
      <c r="D2530" s="3"/>
      <c r="E2530" s="2" t="str">
        <f>HYPERLINK("https://old.ukr-mobil.com/displej_blackview_a90_s_tachskrinom_original_black_10003676", "Перейти")</f>
        <v>Перейти</v>
      </c>
      <c r="F2530" s="2">
        <v>10003676</v>
      </c>
      <c r="G2530" s="4" t="s">
        <v>2664</v>
      </c>
      <c r="H2530" s="1">
        <v>14</v>
      </c>
      <c r="I2530" s="1">
        <v>4</v>
      </c>
      <c r="J2530" s="1">
        <v>5</v>
      </c>
      <c r="K2530" s="2">
        <v>20.9</v>
      </c>
    </row>
    <row r="2531" spans="1:12">
      <c r="A2531" s="3" t="s">
        <v>2194</v>
      </c>
      <c r="B2531" s="3" t="s">
        <v>2526</v>
      </c>
      <c r="C2531" s="3" t="s">
        <v>2251</v>
      </c>
      <c r="D2531" s="3"/>
      <c r="E2531" s="2" t="str">
        <f>HYPERLINK("https://old.ukr-mobil.com/displej_blackview_a95_s_tachskrinom_original_black_10003489", "Перейти")</f>
        <v>Перейти</v>
      </c>
      <c r="F2531" s="2">
        <v>10003489</v>
      </c>
      <c r="G2531" s="4" t="s">
        <v>2665</v>
      </c>
      <c r="H2531" s="1">
        <v>6</v>
      </c>
      <c r="I2531" s="1">
        <v>12</v>
      </c>
      <c r="J2531" s="1">
        <v>4</v>
      </c>
      <c r="K2531" s="2">
        <v>21.5</v>
      </c>
    </row>
    <row r="2532" spans="1:12">
      <c r="A2532" s="3" t="s">
        <v>2194</v>
      </c>
      <c r="B2532" s="3" t="s">
        <v>2526</v>
      </c>
      <c r="C2532" s="3" t="s">
        <v>2251</v>
      </c>
      <c r="D2532" s="3"/>
      <c r="E2532" s="2" t="str">
        <f>HYPERLINK("https://old.ukr-mobil.com/displej_blackview_bv5000_s_tachskrinom_black_10187", "Перейти")</f>
        <v>Перейти</v>
      </c>
      <c r="F2532" s="2">
        <v>10187</v>
      </c>
      <c r="G2532" s="4" t="s">
        <v>2666</v>
      </c>
      <c r="H2532" s="1">
        <v>0</v>
      </c>
      <c r="I2532" s="1">
        <v>0</v>
      </c>
      <c r="J2532" s="1">
        <v>0</v>
      </c>
      <c r="K2532" s="2">
        <v>32.26</v>
      </c>
    </row>
    <row r="2533" spans="1:12">
      <c r="A2533" s="3" t="s">
        <v>2194</v>
      </c>
      <c r="B2533" s="3" t="s">
        <v>2526</v>
      </c>
      <c r="C2533" s="3" t="s">
        <v>2251</v>
      </c>
      <c r="D2533" s="3"/>
      <c r="E2533" s="2" t="str">
        <f>HYPERLINK("https://old.ukr-mobil.com/displej_blackview_bv5500_bv5500_pro_s_tachskrinom_original_prc_black_10000765", "Перейти")</f>
        <v>Перейти</v>
      </c>
      <c r="F2533" s="2">
        <v>10000765</v>
      </c>
      <c r="G2533" s="4" t="s">
        <v>2667</v>
      </c>
      <c r="H2533" s="1">
        <v>3</v>
      </c>
      <c r="I2533" s="1">
        <v>1</v>
      </c>
      <c r="J2533" s="1">
        <v>7</v>
      </c>
      <c r="K2533" s="2">
        <v>21.5</v>
      </c>
    </row>
    <row r="2534" spans="1:12">
      <c r="A2534" s="3" t="s">
        <v>2194</v>
      </c>
      <c r="B2534" s="3" t="s">
        <v>2526</v>
      </c>
      <c r="C2534" s="3" t="s">
        <v>2251</v>
      </c>
      <c r="D2534" s="3"/>
      <c r="E2534" s="2" t="str">
        <f>HYPERLINK("https://old.ukr-mobil.com/displej_blackview_bv5800_s_tachskrinom_original_black_10003528", "Перейти")</f>
        <v>Перейти</v>
      </c>
      <c r="F2534" s="2">
        <v>10003528</v>
      </c>
      <c r="G2534" s="4" t="s">
        <v>2668</v>
      </c>
      <c r="H2534" s="1">
        <v>5</v>
      </c>
      <c r="I2534" s="1">
        <v>2</v>
      </c>
      <c r="J2534" s="1">
        <v>0</v>
      </c>
      <c r="K2534" s="2">
        <v>19.0</v>
      </c>
    </row>
    <row r="2535" spans="1:12">
      <c r="A2535" s="3" t="s">
        <v>2194</v>
      </c>
      <c r="B2535" s="3" t="s">
        <v>2526</v>
      </c>
      <c r="C2535" s="3" t="s">
        <v>2251</v>
      </c>
      <c r="D2535" s="3"/>
      <c r="E2535" s="2" t="str">
        <f>HYPERLINK("https://old.ukr-mobil.com/displej_blackview_bv6100_s_tachskrinom_original_prc_black_10000769", "Перейти")</f>
        <v>Перейти</v>
      </c>
      <c r="F2535" s="2">
        <v>10000769</v>
      </c>
      <c r="G2535" s="4" t="s">
        <v>2669</v>
      </c>
      <c r="H2535" s="1">
        <v>6</v>
      </c>
      <c r="I2535" s="1">
        <v>5</v>
      </c>
      <c r="J2535" s="1">
        <v>2</v>
      </c>
      <c r="K2535" s="2">
        <v>23.0</v>
      </c>
    </row>
    <row r="2536" spans="1:12">
      <c r="A2536" s="3" t="s">
        <v>2194</v>
      </c>
      <c r="B2536" s="3" t="s">
        <v>2526</v>
      </c>
      <c r="C2536" s="3" t="s">
        <v>2251</v>
      </c>
      <c r="D2536" s="3"/>
      <c r="E2536" s="2" t="str">
        <f>HYPERLINK("https://old.ukr-mobil.com/displej_blackview_bv6300_bv6300_pro_s_tachskrinom_original_black_10003531", "Перейти")</f>
        <v>Перейти</v>
      </c>
      <c r="F2536" s="2">
        <v>10003531</v>
      </c>
      <c r="G2536" s="4" t="s">
        <v>2670</v>
      </c>
      <c r="H2536" s="1">
        <v>0</v>
      </c>
      <c r="I2536" s="1">
        <v>0</v>
      </c>
      <c r="J2536" s="1">
        <v>0</v>
      </c>
      <c r="K2536" s="2">
        <v>23.0</v>
      </c>
    </row>
    <row r="2537" spans="1:12">
      <c r="A2537" s="3" t="s">
        <v>2194</v>
      </c>
      <c r="B2537" s="3" t="s">
        <v>2526</v>
      </c>
      <c r="C2537" s="3" t="s">
        <v>2251</v>
      </c>
      <c r="D2537" s="3"/>
      <c r="E2537" s="2" t="str">
        <f>HYPERLINK("https://old.ukr-mobil.com/displej_blackview_bv6800_bv6800_pro_s_tachskrinom_original_black_10003529", "Перейти")</f>
        <v>Перейти</v>
      </c>
      <c r="F2537" s="2">
        <v>10003529</v>
      </c>
      <c r="G2537" s="4" t="s">
        <v>2671</v>
      </c>
      <c r="H2537" s="1">
        <v>0</v>
      </c>
      <c r="I2537" s="1">
        <v>0</v>
      </c>
      <c r="J2537" s="1">
        <v>0</v>
      </c>
      <c r="K2537" s="2">
        <v>33.0</v>
      </c>
    </row>
    <row r="2538" spans="1:12">
      <c r="A2538" s="3" t="s">
        <v>2194</v>
      </c>
      <c r="B2538" s="3" t="s">
        <v>2526</v>
      </c>
      <c r="C2538" s="3" t="s">
        <v>2251</v>
      </c>
      <c r="D2538" s="3"/>
      <c r="E2538" s="2" t="str">
        <f>HYPERLINK("https://old.ukr-mobil.com/displej_blackview_bv7000_bv7000_pro_s_tachskrinom_s_ramkoyu_original_black_10003530", "Перейти")</f>
        <v>Перейти</v>
      </c>
      <c r="F2538" s="2">
        <v>10003530</v>
      </c>
      <c r="G2538" s="4" t="s">
        <v>2672</v>
      </c>
      <c r="H2538" s="1">
        <v>1</v>
      </c>
      <c r="I2538" s="1">
        <v>3</v>
      </c>
      <c r="J2538" s="1">
        <v>1</v>
      </c>
      <c r="K2538" s="2">
        <v>21.5</v>
      </c>
    </row>
    <row r="2539" spans="1:12">
      <c r="A2539" s="3" t="s">
        <v>2194</v>
      </c>
      <c r="B2539" s="3" t="s">
        <v>2526</v>
      </c>
      <c r="C2539" s="3" t="s">
        <v>2251</v>
      </c>
      <c r="D2539" s="3"/>
      <c r="E2539" s="2" t="str">
        <f>HYPERLINK("https://old.ukr-mobil.com/displej_blackview_bv7100_s_tachskrinom_original_prc_black_10003499", "Перейти")</f>
        <v>Перейти</v>
      </c>
      <c r="F2539" s="2">
        <v>10003499</v>
      </c>
      <c r="G2539" s="4" t="s">
        <v>2673</v>
      </c>
      <c r="H2539" s="1">
        <v>0</v>
      </c>
      <c r="I2539" s="1">
        <v>0</v>
      </c>
      <c r="J2539" s="1">
        <v>0</v>
      </c>
      <c r="K2539" s="2">
        <v>24.7</v>
      </c>
    </row>
    <row r="2540" spans="1:12">
      <c r="A2540" s="3" t="s">
        <v>2194</v>
      </c>
      <c r="B2540" s="3" t="s">
        <v>2526</v>
      </c>
      <c r="C2540" s="3" t="s">
        <v>2251</v>
      </c>
      <c r="D2540" s="3"/>
      <c r="E2540" s="2" t="str">
        <f>HYPERLINK("https://old.ukr-mobil.com/displej_blackview_bv8000_s_tachskrinom_black_10145", "Перейти")</f>
        <v>Перейти</v>
      </c>
      <c r="F2540" s="2">
        <v>10145</v>
      </c>
      <c r="G2540" s="4" t="s">
        <v>2674</v>
      </c>
      <c r="H2540" s="1">
        <v>0</v>
      </c>
      <c r="I2540" s="1">
        <v>0</v>
      </c>
      <c r="J2540" s="1">
        <v>0</v>
      </c>
      <c r="K2540" s="2">
        <v>14.0</v>
      </c>
    </row>
    <row r="2541" spans="1:12">
      <c r="A2541" s="3" t="s">
        <v>2194</v>
      </c>
      <c r="B2541" s="3" t="s">
        <v>2526</v>
      </c>
      <c r="C2541" s="3" t="s">
        <v>2251</v>
      </c>
      <c r="D2541" s="3"/>
      <c r="E2541" s="2" t="str">
        <f>HYPERLINK("https://old.ukr-mobil.com/displej_blackview_bv8800_bl8800_bl8800_pro_s_tachskrinom_original_black_10003502", "Перейти")</f>
        <v>Перейти</v>
      </c>
      <c r="F2541" s="2">
        <v>10003502</v>
      </c>
      <c r="G2541" s="4" t="s">
        <v>2675</v>
      </c>
      <c r="H2541" s="1">
        <v>0</v>
      </c>
      <c r="I2541" s="1">
        <v>0</v>
      </c>
      <c r="J2541" s="1">
        <v>0</v>
      </c>
      <c r="K2541" s="2">
        <v>23.25</v>
      </c>
    </row>
    <row r="2542" spans="1:12">
      <c r="A2542" s="3" t="s">
        <v>2194</v>
      </c>
      <c r="B2542" s="3" t="s">
        <v>2526</v>
      </c>
      <c r="C2542" s="3" t="s">
        <v>2251</v>
      </c>
      <c r="D2542" s="3"/>
      <c r="E2542" s="2" t="str">
        <f>HYPERLINK("https://old.ukr-mobil.com/displej_blackview_bv9100_s_tachskrinom_original_black_10003501", "Перейти")</f>
        <v>Перейти</v>
      </c>
      <c r="F2542" s="2">
        <v>10003501</v>
      </c>
      <c r="G2542" s="4" t="s">
        <v>2676</v>
      </c>
      <c r="H2542" s="1">
        <v>0</v>
      </c>
      <c r="I2542" s="1">
        <v>0</v>
      </c>
      <c r="J2542" s="1">
        <v>0</v>
      </c>
      <c r="K2542" s="2">
        <v>23.25</v>
      </c>
    </row>
    <row r="2543" spans="1:12">
      <c r="A2543" s="3" t="s">
        <v>2194</v>
      </c>
      <c r="B2543" s="3" t="s">
        <v>2526</v>
      </c>
      <c r="C2543" s="3" t="s">
        <v>2251</v>
      </c>
      <c r="D2543" s="3"/>
      <c r="E2543" s="2" t="str">
        <f>HYPERLINK("https://old.ukr-mobil.com/displej_blackview_bv9200_s_tachskrinom_original_black_10003527", "Перейти")</f>
        <v>Перейти</v>
      </c>
      <c r="F2543" s="2">
        <v>10003527</v>
      </c>
      <c r="G2543" s="4" t="s">
        <v>2677</v>
      </c>
      <c r="H2543" s="1">
        <v>0</v>
      </c>
      <c r="I2543" s="1">
        <v>1</v>
      </c>
      <c r="J2543" s="1">
        <v>1</v>
      </c>
      <c r="K2543" s="2">
        <v>50.0</v>
      </c>
    </row>
    <row r="2544" spans="1:12">
      <c r="A2544" s="3" t="s">
        <v>2194</v>
      </c>
      <c r="B2544" s="3" t="s">
        <v>2526</v>
      </c>
      <c r="C2544" s="3" t="s">
        <v>2251</v>
      </c>
      <c r="D2544" s="3"/>
      <c r="E2544" s="2" t="str">
        <f>HYPERLINK("https://old.ukr-mobil.com/index.php?route=product&amp;product_id=10006137", "Перейти")</f>
        <v>Перейти</v>
      </c>
      <c r="F2544" s="2">
        <v>10006137</v>
      </c>
      <c r="G2544" s="4" t="s">
        <v>2678</v>
      </c>
      <c r="H2544" s="1">
        <v>1</v>
      </c>
      <c r="I2544" s="1">
        <v>0</v>
      </c>
      <c r="J2544" s="1">
        <v>0</v>
      </c>
      <c r="K2544" s="2">
        <v>23.86</v>
      </c>
    </row>
    <row r="2545" spans="1:12">
      <c r="A2545" s="3" t="s">
        <v>2194</v>
      </c>
      <c r="B2545" s="3" t="s">
        <v>2526</v>
      </c>
      <c r="C2545" s="3" t="s">
        <v>2251</v>
      </c>
      <c r="D2545" s="3"/>
      <c r="E2545" s="2" t="str">
        <f>HYPERLINK("https://old.ukr-mobil.com/displej_blackview_bv9800_bv9800_pro_s_tachskrinom_original_black_10003485", "Перейти")</f>
        <v>Перейти</v>
      </c>
      <c r="F2545" s="2">
        <v>10003485</v>
      </c>
      <c r="G2545" s="4" t="s">
        <v>2679</v>
      </c>
      <c r="H2545" s="1">
        <v>9</v>
      </c>
      <c r="I2545" s="1">
        <v>3</v>
      </c>
      <c r="J2545" s="1">
        <v>3</v>
      </c>
      <c r="K2545" s="2">
        <v>26.0</v>
      </c>
    </row>
    <row r="2546" spans="1:12">
      <c r="A2546" s="3" t="s">
        <v>2194</v>
      </c>
      <c r="B2546" s="3" t="s">
        <v>2526</v>
      </c>
      <c r="C2546" s="3" t="s">
        <v>2251</v>
      </c>
      <c r="D2546" s="3"/>
      <c r="E2546" s="2" t="str">
        <f>HYPERLINK("https://old.ukr-mobil.com/displej_blackview_p2_s_tachskrinom_gray_10331", "Перейти")</f>
        <v>Перейти</v>
      </c>
      <c r="F2546" s="2">
        <v>10331</v>
      </c>
      <c r="G2546" s="4" t="s">
        <v>2680</v>
      </c>
      <c r="H2546" s="1">
        <v>0</v>
      </c>
      <c r="I2546" s="1">
        <v>0</v>
      </c>
      <c r="J2546" s="1">
        <v>0</v>
      </c>
      <c r="K2546" s="2">
        <v>12.0</v>
      </c>
    </row>
    <row r="2547" spans="1:12">
      <c r="A2547" s="3" t="s">
        <v>2194</v>
      </c>
      <c r="B2547" s="3" t="s">
        <v>2526</v>
      </c>
      <c r="C2547" s="3" t="s">
        <v>2681</v>
      </c>
      <c r="D2547" s="3"/>
      <c r="E2547" s="2" t="str">
        <f>HYPERLINK("https://old.ukr-mobil.com/displej_cubot_king_kong_5_pro_s_tachskrinom_original_prc_black_10004448", "Перейти")</f>
        <v>Перейти</v>
      </c>
      <c r="F2547" s="2">
        <v>10004448</v>
      </c>
      <c r="G2547" s="4" t="s">
        <v>2682</v>
      </c>
      <c r="H2547" s="1">
        <v>0</v>
      </c>
      <c r="I2547" s="1">
        <v>0</v>
      </c>
      <c r="J2547" s="1">
        <v>0</v>
      </c>
      <c r="K2547" s="2">
        <v>33.0</v>
      </c>
    </row>
    <row r="2548" spans="1:12">
      <c r="A2548" s="3" t="s">
        <v>2194</v>
      </c>
      <c r="B2548" s="3" t="s">
        <v>2526</v>
      </c>
      <c r="C2548" s="3" t="s">
        <v>2681</v>
      </c>
      <c r="D2548" s="3"/>
      <c r="E2548" s="2" t="str">
        <f>HYPERLINK("https://old.ukr-mobil.com/displej_cubot_king_kong_7_s_tachskrinom_original_prc_black_10004449", "Перейти")</f>
        <v>Перейти</v>
      </c>
      <c r="F2548" s="2">
        <v>10004449</v>
      </c>
      <c r="G2548" s="4" t="s">
        <v>2683</v>
      </c>
      <c r="H2548" s="1">
        <v>0</v>
      </c>
      <c r="I2548" s="1">
        <v>0</v>
      </c>
      <c r="J2548" s="1">
        <v>0</v>
      </c>
      <c r="K2548" s="2">
        <v>42.0</v>
      </c>
    </row>
    <row r="2549" spans="1:12">
      <c r="A2549" s="3" t="s">
        <v>2194</v>
      </c>
      <c r="B2549" s="3" t="s">
        <v>2526</v>
      </c>
      <c r="C2549" s="3" t="s">
        <v>2681</v>
      </c>
      <c r="D2549" s="3"/>
      <c r="E2549" s="2" t="str">
        <f>HYPERLINK("https://old.ukr-mobil.com/displej_cubot_max_2_s_tachskrinom_original_prc_black_10000767", "Перейти")</f>
        <v>Перейти</v>
      </c>
      <c r="F2549" s="2">
        <v>10000767</v>
      </c>
      <c r="G2549" s="4" t="s">
        <v>2684</v>
      </c>
      <c r="H2549" s="1">
        <v>0</v>
      </c>
      <c r="I2549" s="1">
        <v>0</v>
      </c>
      <c r="J2549" s="1">
        <v>0</v>
      </c>
      <c r="K2549" s="2">
        <v>12.0</v>
      </c>
    </row>
    <row r="2550" spans="1:12">
      <c r="A2550" s="3" t="s">
        <v>2194</v>
      </c>
      <c r="B2550" s="3" t="s">
        <v>2526</v>
      </c>
      <c r="C2550" s="3" t="s">
        <v>2259</v>
      </c>
      <c r="D2550" s="3"/>
      <c r="E2550" s="2" t="str">
        <f>HYPERLINK("https://old.ukr-mobil.com/displej_doogee_n20_y9_plus_s_tachskrinom_original_black_10003541", "Перейти")</f>
        <v>Перейти</v>
      </c>
      <c r="F2550" s="2">
        <v>10003541</v>
      </c>
      <c r="G2550" s="4" t="s">
        <v>2685</v>
      </c>
      <c r="H2550" s="1">
        <v>2</v>
      </c>
      <c r="I2550" s="1">
        <v>6</v>
      </c>
      <c r="J2550" s="1">
        <v>2</v>
      </c>
      <c r="K2550" s="2">
        <v>22.5</v>
      </c>
    </row>
    <row r="2551" spans="1:12">
      <c r="A2551" s="3" t="s">
        <v>2194</v>
      </c>
      <c r="B2551" s="3" t="s">
        <v>2526</v>
      </c>
      <c r="C2551" s="3" t="s">
        <v>2259</v>
      </c>
      <c r="D2551" s="3"/>
      <c r="E2551" s="2" t="str">
        <f>HYPERLINK("https://old.ukr-mobil.com/displej_doogee_s58_pro_s_tachskrinom_original_black_10003533", "Перейти")</f>
        <v>Перейти</v>
      </c>
      <c r="F2551" s="2">
        <v>10003533</v>
      </c>
      <c r="G2551" s="4" t="s">
        <v>2686</v>
      </c>
      <c r="H2551" s="1">
        <v>4</v>
      </c>
      <c r="I2551" s="1">
        <v>3</v>
      </c>
      <c r="J2551" s="1">
        <v>2</v>
      </c>
      <c r="K2551" s="2">
        <v>28.0</v>
      </c>
    </row>
    <row r="2552" spans="1:12">
      <c r="A2552" s="3" t="s">
        <v>2194</v>
      </c>
      <c r="B2552" s="3" t="s">
        <v>2526</v>
      </c>
      <c r="C2552" s="3" t="s">
        <v>2259</v>
      </c>
      <c r="D2552" s="3"/>
      <c r="E2552" s="2" t="str">
        <f>HYPERLINK("https://old.ukr-mobil.com/displej_doogee_s95_pro_s_tachskrinom_original_black_10003544", "Перейти")</f>
        <v>Перейти</v>
      </c>
      <c r="F2552" s="2">
        <v>10003544</v>
      </c>
      <c r="G2552" s="4" t="s">
        <v>2687</v>
      </c>
      <c r="H2552" s="1">
        <v>2</v>
      </c>
      <c r="I2552" s="1">
        <v>2</v>
      </c>
      <c r="J2552" s="1">
        <v>2</v>
      </c>
      <c r="K2552" s="2">
        <v>25.0</v>
      </c>
    </row>
    <row r="2553" spans="1:12">
      <c r="A2553" s="3" t="s">
        <v>2194</v>
      </c>
      <c r="B2553" s="3" t="s">
        <v>2526</v>
      </c>
      <c r="C2553" s="3" t="s">
        <v>2259</v>
      </c>
      <c r="D2553" s="3"/>
      <c r="E2553" s="2" t="str">
        <f>HYPERLINK("https://old.ukr-mobil.com/displej_doogee_s96_s96_pro_s96_gt_s_tachskrinom_original_black_10003539", "Перейти")</f>
        <v>Перейти</v>
      </c>
      <c r="F2553" s="2">
        <v>10003539</v>
      </c>
      <c r="G2553" s="4" t="s">
        <v>2688</v>
      </c>
      <c r="H2553" s="1">
        <v>0</v>
      </c>
      <c r="I2553" s="1">
        <v>0</v>
      </c>
      <c r="J2553" s="1">
        <v>0</v>
      </c>
      <c r="K2553" s="2">
        <v>42.0</v>
      </c>
    </row>
    <row r="2554" spans="1:12">
      <c r="A2554" s="3" t="s">
        <v>2194</v>
      </c>
      <c r="B2554" s="3" t="s">
        <v>2526</v>
      </c>
      <c r="C2554" s="3" t="s">
        <v>2259</v>
      </c>
      <c r="D2554" s="3"/>
      <c r="E2554" s="2" t="str">
        <f>HYPERLINK("https://old.ukr-mobil.com/displej_doogee_s97_s97_pro_s_tachskrinom_original_black_10003540", "Перейти")</f>
        <v>Перейти</v>
      </c>
      <c r="F2554" s="2">
        <v>10003540</v>
      </c>
      <c r="G2554" s="4" t="s">
        <v>2689</v>
      </c>
      <c r="H2554" s="1">
        <v>9</v>
      </c>
      <c r="I2554" s="1">
        <v>4</v>
      </c>
      <c r="J2554" s="1">
        <v>7</v>
      </c>
      <c r="K2554" s="2">
        <v>32.0</v>
      </c>
    </row>
    <row r="2555" spans="1:12">
      <c r="A2555" s="3" t="s">
        <v>2194</v>
      </c>
      <c r="B2555" s="3" t="s">
        <v>2526</v>
      </c>
      <c r="C2555" s="3" t="s">
        <v>2259</v>
      </c>
      <c r="D2555" s="3"/>
      <c r="E2555" s="2" t="str">
        <f>HYPERLINK("https://old.ukr-mobil.com/displej_doogee_s98_s98_pro_s_tachskrinom_original_black_10003536", "Перейти")</f>
        <v>Перейти</v>
      </c>
      <c r="F2555" s="2">
        <v>10003536</v>
      </c>
      <c r="G2555" s="4" t="s">
        <v>2690</v>
      </c>
      <c r="H2555" s="1">
        <v>1</v>
      </c>
      <c r="I2555" s="1">
        <v>0</v>
      </c>
      <c r="J2555" s="1">
        <v>0</v>
      </c>
      <c r="K2555" s="2">
        <v>22.5</v>
      </c>
    </row>
    <row r="2556" spans="1:12">
      <c r="A2556" s="3" t="s">
        <v>2194</v>
      </c>
      <c r="B2556" s="3" t="s">
        <v>2526</v>
      </c>
      <c r="C2556" s="3" t="s">
        <v>2259</v>
      </c>
      <c r="D2556" s="3"/>
      <c r="E2556" s="2" t="str">
        <f>HYPERLINK("https://old.ukr-mobil.com/displej_doogee_x95_s_tachskrinom_original_prc_black_10000768", "Перейти")</f>
        <v>Перейти</v>
      </c>
      <c r="F2556" s="2">
        <v>10000768</v>
      </c>
      <c r="G2556" s="4" t="s">
        <v>2691</v>
      </c>
      <c r="H2556" s="1">
        <v>0</v>
      </c>
      <c r="I2556" s="1">
        <v>0</v>
      </c>
      <c r="J2556" s="1">
        <v>0</v>
      </c>
      <c r="K2556" s="2">
        <v>19.0</v>
      </c>
    </row>
    <row r="2557" spans="1:12">
      <c r="A2557" s="3" t="s">
        <v>2194</v>
      </c>
      <c r="B2557" s="3" t="s">
        <v>2526</v>
      </c>
      <c r="C2557" s="3" t="s">
        <v>2259</v>
      </c>
      <c r="D2557" s="3"/>
      <c r="E2557" s="2" t="str">
        <f>HYPERLINK("https://old.ukr-mobil.com/displej_doogee_x96_x96_pro_s_tachskrinom_original_black_10003534", "Перейти")</f>
        <v>Перейти</v>
      </c>
      <c r="F2557" s="2">
        <v>10003534</v>
      </c>
      <c r="G2557" s="4" t="s">
        <v>2692</v>
      </c>
      <c r="H2557" s="1">
        <v>0</v>
      </c>
      <c r="I2557" s="1">
        <v>3</v>
      </c>
      <c r="J2557" s="1">
        <v>4</v>
      </c>
      <c r="K2557" s="2">
        <v>18.0</v>
      </c>
    </row>
    <row r="2558" spans="1:12">
      <c r="A2558" s="3" t="s">
        <v>2194</v>
      </c>
      <c r="B2558" s="3" t="s">
        <v>2526</v>
      </c>
      <c r="C2558" s="3" t="s">
        <v>952</v>
      </c>
      <c r="D2558" s="3"/>
      <c r="E2558" s="2" t="str">
        <f>HYPERLINK("https://old.ukr-mobil.com/displej_google_pixel_3a_s_tachskrinom_high_copy_black_10000692", "Перейти")</f>
        <v>Перейти</v>
      </c>
      <c r="F2558" s="2">
        <v>10000692</v>
      </c>
      <c r="G2558" s="4" t="s">
        <v>2693</v>
      </c>
      <c r="H2558" s="1">
        <v>1</v>
      </c>
      <c r="I2558" s="1">
        <v>0</v>
      </c>
      <c r="J2558" s="1">
        <v>0</v>
      </c>
      <c r="K2558" s="2">
        <v>47.0</v>
      </c>
    </row>
    <row r="2559" spans="1:12">
      <c r="A2559" s="3" t="s">
        <v>2194</v>
      </c>
      <c r="B2559" s="3" t="s">
        <v>2526</v>
      </c>
      <c r="C2559" s="3" t="s">
        <v>952</v>
      </c>
      <c r="D2559" s="3"/>
      <c r="E2559" s="2" t="str">
        <f>HYPERLINK("https://old.ukr-mobil.com/displej_google_pixel_4_xl_s_tachskrinom_original_black_10000536", "Перейти")</f>
        <v>Перейти</v>
      </c>
      <c r="F2559" s="2">
        <v>10000536</v>
      </c>
      <c r="G2559" s="4" t="s">
        <v>2694</v>
      </c>
      <c r="H2559" s="1">
        <v>0</v>
      </c>
      <c r="I2559" s="1">
        <v>0</v>
      </c>
      <c r="J2559" s="1">
        <v>0</v>
      </c>
      <c r="K2559" s="2">
        <v>65.0</v>
      </c>
    </row>
    <row r="2560" spans="1:12">
      <c r="A2560" s="3" t="s">
        <v>2194</v>
      </c>
      <c r="B2560" s="3" t="s">
        <v>2526</v>
      </c>
      <c r="C2560" s="3" t="s">
        <v>952</v>
      </c>
      <c r="D2560" s="3"/>
      <c r="E2560" s="2" t="str">
        <f>HYPERLINK("https://old.ukr-mobil.com/displej_google_pixel_4a_5g_s_tachskrinom_original_black_10002483", "Перейти")</f>
        <v>Перейти</v>
      </c>
      <c r="F2560" s="2">
        <v>10002483</v>
      </c>
      <c r="G2560" s="4" t="s">
        <v>2695</v>
      </c>
      <c r="H2560" s="1">
        <v>3</v>
      </c>
      <c r="I2560" s="1">
        <v>1</v>
      </c>
      <c r="J2560" s="1">
        <v>1</v>
      </c>
      <c r="K2560" s="2">
        <v>110.0</v>
      </c>
    </row>
    <row r="2561" spans="1:12">
      <c r="A2561" s="3" t="s">
        <v>2194</v>
      </c>
      <c r="B2561" s="3" t="s">
        <v>2526</v>
      </c>
      <c r="C2561" s="3" t="s">
        <v>952</v>
      </c>
      <c r="D2561" s="3"/>
      <c r="E2561" s="2" t="str">
        <f>HYPERLINK("https://old.ukr-mobil.com/displej_google_pixel_5a_s_tachskrinom_original_black_10002447", "Перейти")</f>
        <v>Перейти</v>
      </c>
      <c r="F2561" s="2">
        <v>10002447</v>
      </c>
      <c r="G2561" s="4" t="s">
        <v>2696</v>
      </c>
      <c r="H2561" s="1">
        <v>9</v>
      </c>
      <c r="I2561" s="1">
        <v>1</v>
      </c>
      <c r="J2561" s="1">
        <v>1</v>
      </c>
      <c r="K2561" s="2">
        <v>115.0</v>
      </c>
    </row>
    <row r="2562" spans="1:12">
      <c r="A2562" s="3" t="s">
        <v>2194</v>
      </c>
      <c r="B2562" s="3" t="s">
        <v>2526</v>
      </c>
      <c r="C2562" s="3" t="s">
        <v>952</v>
      </c>
      <c r="D2562" s="3"/>
      <c r="E2562" s="2" t="str">
        <f>HYPERLINK("https://old.ukr-mobil.com/displej_google_pixel_6_pro_s_tachskrinom_s_ramkoyu_oled_black_10003567", "Перейти")</f>
        <v>Перейти</v>
      </c>
      <c r="F2562" s="2">
        <v>10003567</v>
      </c>
      <c r="G2562" s="4" t="s">
        <v>2697</v>
      </c>
      <c r="H2562" s="1">
        <v>4</v>
      </c>
      <c r="I2562" s="1">
        <v>4</v>
      </c>
      <c r="J2562" s="1">
        <v>0</v>
      </c>
      <c r="K2562" s="2">
        <v>51.0</v>
      </c>
    </row>
    <row r="2563" spans="1:12">
      <c r="A2563" s="3" t="s">
        <v>2194</v>
      </c>
      <c r="B2563" s="3" t="s">
        <v>2526</v>
      </c>
      <c r="C2563" s="3" t="s">
        <v>952</v>
      </c>
      <c r="D2563" s="3"/>
      <c r="E2563" s="2" t="str">
        <f>HYPERLINK("https://old.ukr-mobil.com/displej_google_pixel_6_s_tachskrinom_original_black_10002925", "Перейти")</f>
        <v>Перейти</v>
      </c>
      <c r="F2563" s="2">
        <v>10002925</v>
      </c>
      <c r="G2563" s="4" t="s">
        <v>2698</v>
      </c>
      <c r="H2563" s="1">
        <v>11</v>
      </c>
      <c r="I2563" s="1">
        <v>5</v>
      </c>
      <c r="J2563" s="1">
        <v>0</v>
      </c>
      <c r="K2563" s="2">
        <v>127.0</v>
      </c>
    </row>
    <row r="2564" spans="1:12">
      <c r="A2564" s="3" t="s">
        <v>2194</v>
      </c>
      <c r="B2564" s="3" t="s">
        <v>2526</v>
      </c>
      <c r="C2564" s="3" t="s">
        <v>952</v>
      </c>
      <c r="D2564" s="3"/>
      <c r="E2564" s="2" t="str">
        <f>HYPERLINK("https://old.ukr-mobil.com/displej_google_pixel_6a_s_tachskrinom_original_black_10003155", "Перейти")</f>
        <v>Перейти</v>
      </c>
      <c r="F2564" s="2">
        <v>10003155</v>
      </c>
      <c r="G2564" s="4" t="s">
        <v>2699</v>
      </c>
      <c r="H2564" s="1">
        <v>6</v>
      </c>
      <c r="I2564" s="1">
        <v>3</v>
      </c>
      <c r="J2564" s="1">
        <v>2</v>
      </c>
      <c r="K2564" s="2">
        <v>108.0</v>
      </c>
    </row>
    <row r="2565" spans="1:12">
      <c r="A2565" s="3" t="s">
        <v>2194</v>
      </c>
      <c r="B2565" s="3" t="s">
        <v>2526</v>
      </c>
      <c r="C2565" s="3" t="s">
        <v>952</v>
      </c>
      <c r="D2565" s="3"/>
      <c r="E2565" s="2" t="str">
        <f>HYPERLINK("https://old.ukr-mobil.com/displej_google_pixel_7_pro_s_tachskrinom_s_ramkoyu_original_samsung_10004534", "Перейти")</f>
        <v>Перейти</v>
      </c>
      <c r="F2565" s="2">
        <v>10004534</v>
      </c>
      <c r="G2565" s="4" t="s">
        <v>2700</v>
      </c>
      <c r="H2565" s="1">
        <v>0</v>
      </c>
      <c r="I2565" s="1">
        <v>0</v>
      </c>
      <c r="J2565" s="1">
        <v>0</v>
      </c>
      <c r="K2565" s="2">
        <v>191.0</v>
      </c>
    </row>
    <row r="2566" spans="1:12">
      <c r="A2566" s="3" t="s">
        <v>2194</v>
      </c>
      <c r="B2566" s="3" t="s">
        <v>2526</v>
      </c>
      <c r="C2566" s="3" t="s">
        <v>952</v>
      </c>
      <c r="D2566" s="3"/>
      <c r="E2566" s="2" t="str">
        <f>HYPERLINK("https://old.ukr-mobil.com/displej_google_pixel_7_pro_s_tachskrinom_s_ramkoyu_oled_10004535", "Перейти")</f>
        <v>Перейти</v>
      </c>
      <c r="F2566" s="2">
        <v>10004535</v>
      </c>
      <c r="G2566" s="4" t="s">
        <v>2701</v>
      </c>
      <c r="H2566" s="1">
        <v>0</v>
      </c>
      <c r="I2566" s="1">
        <v>0</v>
      </c>
      <c r="J2566" s="1">
        <v>0</v>
      </c>
      <c r="K2566" s="2">
        <v>49.0</v>
      </c>
    </row>
    <row r="2567" spans="1:12">
      <c r="A2567" s="3" t="s">
        <v>2194</v>
      </c>
      <c r="B2567" s="3" t="s">
        <v>2526</v>
      </c>
      <c r="C2567" s="3" t="s">
        <v>952</v>
      </c>
      <c r="D2567" s="3"/>
      <c r="E2567" s="2" t="str">
        <f>HYPERLINK("https://old.ukr-mobil.com/displej_google_pixel_7_s_tachskrinom_original_black_10003156", "Перейти")</f>
        <v>Перейти</v>
      </c>
      <c r="F2567" s="2">
        <v>10003156</v>
      </c>
      <c r="G2567" s="4" t="s">
        <v>2702</v>
      </c>
      <c r="H2567" s="1">
        <v>9</v>
      </c>
      <c r="I2567" s="1">
        <v>3</v>
      </c>
      <c r="J2567" s="1">
        <v>0</v>
      </c>
      <c r="K2567" s="2">
        <v>143.0</v>
      </c>
    </row>
    <row r="2568" spans="1:12">
      <c r="A2568" s="3" t="s">
        <v>2194</v>
      </c>
      <c r="B2568" s="3" t="s">
        <v>2526</v>
      </c>
      <c r="C2568" s="3" t="s">
        <v>640</v>
      </c>
      <c r="D2568" s="3"/>
      <c r="E2568" s="2" t="str">
        <f>HYPERLINK("https://old.ukr-mobil.com/displej_huawei_honor_10_lite_hry-lx1_honor_10i_hry-lx1t_s_tachskrinom_high_copy_black_10001388", "Перейти")</f>
        <v>Перейти</v>
      </c>
      <c r="F2568" s="2">
        <v>10001388</v>
      </c>
      <c r="G2568" s="4" t="s">
        <v>2703</v>
      </c>
      <c r="H2568" s="1">
        <v>26</v>
      </c>
      <c r="I2568" s="1">
        <v>6</v>
      </c>
      <c r="J2568" s="1">
        <v>0</v>
      </c>
      <c r="K2568" s="2">
        <v>13.0</v>
      </c>
    </row>
    <row r="2569" spans="1:12">
      <c r="A2569" s="3" t="s">
        <v>2194</v>
      </c>
      <c r="B2569" s="3" t="s">
        <v>2526</v>
      </c>
      <c r="C2569" s="3" t="s">
        <v>640</v>
      </c>
      <c r="D2569" s="3"/>
      <c r="E2569" s="2" t="str">
        <f>HYPERLINK("https://old.ukr-mobil.com/displej_huawei_honor_10_lite_hry-lx1_honor_10i_hry-lx1t_s_tachskrinom_original_prc_black_11749", "Перейти")</f>
        <v>Перейти</v>
      </c>
      <c r="F2569" s="2">
        <v>11749</v>
      </c>
      <c r="G2569" s="4" t="s">
        <v>2704</v>
      </c>
      <c r="H2569" s="1">
        <v>6</v>
      </c>
      <c r="I2569" s="1">
        <v>0</v>
      </c>
      <c r="J2569" s="1">
        <v>1</v>
      </c>
      <c r="K2569" s="2">
        <v>16.0</v>
      </c>
    </row>
    <row r="2570" spans="1:12">
      <c r="A2570" s="3" t="s">
        <v>2194</v>
      </c>
      <c r="B2570" s="3" t="s">
        <v>2526</v>
      </c>
      <c r="C2570" s="3" t="s">
        <v>640</v>
      </c>
      <c r="D2570" s="3"/>
      <c r="E2570" s="2" t="str">
        <f>HYPERLINK("https://old.ukr-mobil.com/displej_huawei_honor_10_lite_hry-lx1_honor_10i_hry-lx1t_s_tachskrinom_s_ramkoj_high_copy_black_10001527", "Перейти")</f>
        <v>Перейти</v>
      </c>
      <c r="F2570" s="2">
        <v>10001527</v>
      </c>
      <c r="G2570" s="4" t="s">
        <v>2705</v>
      </c>
      <c r="H2570" s="1">
        <v>0</v>
      </c>
      <c r="I2570" s="1">
        <v>0</v>
      </c>
      <c r="J2570" s="1">
        <v>0</v>
      </c>
      <c r="K2570" s="2">
        <v>15.0</v>
      </c>
    </row>
    <row r="2571" spans="1:12">
      <c r="A2571" s="3" t="s">
        <v>2194</v>
      </c>
      <c r="B2571" s="3" t="s">
        <v>2526</v>
      </c>
      <c r="C2571" s="3" t="s">
        <v>640</v>
      </c>
      <c r="D2571" s="3"/>
      <c r="E2571" s="2" t="str">
        <f>HYPERLINK("https://old.ukr-mobil.com/displej_huawei_honor_20_yal-l21_honor_20_pro_nova_5t_s_tachskrinom_high_copy_black_10002944", "Перейти")</f>
        <v>Перейти</v>
      </c>
      <c r="F2571" s="2">
        <v>10002944</v>
      </c>
      <c r="G2571" s="4" t="s">
        <v>2706</v>
      </c>
      <c r="H2571" s="1">
        <v>0</v>
      </c>
      <c r="I2571" s="1">
        <v>4</v>
      </c>
      <c r="J2571" s="1">
        <v>0</v>
      </c>
      <c r="K2571" s="2">
        <v>14.5</v>
      </c>
    </row>
    <row r="2572" spans="1:12">
      <c r="A2572" s="3" t="s">
        <v>2194</v>
      </c>
      <c r="B2572" s="3" t="s">
        <v>2526</v>
      </c>
      <c r="C2572" s="3" t="s">
        <v>640</v>
      </c>
      <c r="D2572" s="3"/>
      <c r="E2572" s="2" t="str">
        <f>HYPERLINK("https://old.ukr-mobil.com/displej_huawei_honor_7a_pro_aum-l29_s_tachskrinom_black_10936", "Перейти")</f>
        <v>Перейти</v>
      </c>
      <c r="F2572" s="2">
        <v>10936</v>
      </c>
      <c r="G2572" s="4" t="s">
        <v>2707</v>
      </c>
      <c r="H2572" s="1">
        <v>0</v>
      </c>
      <c r="I2572" s="1">
        <v>0</v>
      </c>
      <c r="J2572" s="1">
        <v>0</v>
      </c>
      <c r="K2572" s="2">
        <v>8.0</v>
      </c>
    </row>
    <row r="2573" spans="1:12">
      <c r="A2573" s="3" t="s">
        <v>2194</v>
      </c>
      <c r="B2573" s="3" t="s">
        <v>2526</v>
      </c>
      <c r="C2573" s="3" t="s">
        <v>640</v>
      </c>
      <c r="D2573" s="3"/>
      <c r="E2573" s="2" t="str">
        <f>HYPERLINK("https://old.ukr-mobil.com/displej_huawei_honor_7x_bnd-l21_s_tachskrinom_black_9791", "Перейти")</f>
        <v>Перейти</v>
      </c>
      <c r="F2573" s="2">
        <v>9791</v>
      </c>
      <c r="G2573" s="4" t="s">
        <v>2708</v>
      </c>
      <c r="H2573" s="1">
        <v>8</v>
      </c>
      <c r="I2573" s="1">
        <v>5</v>
      </c>
      <c r="J2573" s="1">
        <v>1</v>
      </c>
      <c r="K2573" s="2">
        <v>13.0</v>
      </c>
    </row>
    <row r="2574" spans="1:12">
      <c r="A2574" s="3" t="s">
        <v>2194</v>
      </c>
      <c r="B2574" s="3" t="s">
        <v>2526</v>
      </c>
      <c r="C2574" s="3" t="s">
        <v>640</v>
      </c>
      <c r="D2574" s="3"/>
      <c r="E2574" s="2" t="str">
        <f>HYPERLINK("https://old.ukr-mobil.com/displej_huawei_honor_7x_bnd-l21_s_tachskrinom_blue_9792", "Перейти")</f>
        <v>Перейти</v>
      </c>
      <c r="F2574" s="2">
        <v>9792</v>
      </c>
      <c r="G2574" s="4" t="s">
        <v>2709</v>
      </c>
      <c r="H2574" s="1">
        <v>1</v>
      </c>
      <c r="I2574" s="1">
        <v>0</v>
      </c>
      <c r="J2574" s="1">
        <v>0</v>
      </c>
      <c r="K2574" s="2">
        <v>12.0</v>
      </c>
    </row>
    <row r="2575" spans="1:12">
      <c r="A2575" s="3" t="s">
        <v>2194</v>
      </c>
      <c r="B2575" s="3" t="s">
        <v>2526</v>
      </c>
      <c r="C2575" s="3" t="s">
        <v>640</v>
      </c>
      <c r="D2575" s="3"/>
      <c r="E2575" s="2" t="str">
        <f>HYPERLINK("https://old.ukr-mobil.com/displej_huawei_honor_7x_bnd-l21_s_tachskrinom_gold_10374", "Перейти")</f>
        <v>Перейти</v>
      </c>
      <c r="F2575" s="2">
        <v>10374</v>
      </c>
      <c r="G2575" s="4" t="s">
        <v>2710</v>
      </c>
      <c r="H2575" s="1">
        <v>0</v>
      </c>
      <c r="I2575" s="1">
        <v>0</v>
      </c>
      <c r="J2575" s="1">
        <v>1</v>
      </c>
      <c r="K2575" s="2">
        <v>15.0</v>
      </c>
    </row>
    <row r="2576" spans="1:12">
      <c r="A2576" s="3" t="s">
        <v>2194</v>
      </c>
      <c r="B2576" s="3" t="s">
        <v>2526</v>
      </c>
      <c r="C2576" s="3" t="s">
        <v>640</v>
      </c>
      <c r="D2576" s="3"/>
      <c r="E2576" s="2" t="str">
        <f>HYPERLINK("https://old.ukr-mobil.com/displej_huawei_honor_7x_bnd-l21_s_tachskrinom_white_9793", "Перейти")</f>
        <v>Перейти</v>
      </c>
      <c r="F2576" s="2">
        <v>9793</v>
      </c>
      <c r="G2576" s="4" t="s">
        <v>2711</v>
      </c>
      <c r="H2576" s="1">
        <v>2</v>
      </c>
      <c r="I2576" s="1">
        <v>0</v>
      </c>
      <c r="J2576" s="1">
        <v>0</v>
      </c>
      <c r="K2576" s="2">
        <v>15.0</v>
      </c>
    </row>
    <row r="2577" spans="1:12">
      <c r="A2577" s="3" t="s">
        <v>2194</v>
      </c>
      <c r="B2577" s="3" t="s">
        <v>2526</v>
      </c>
      <c r="C2577" s="3" t="s">
        <v>640</v>
      </c>
      <c r="D2577" s="3"/>
      <c r="E2577" s="2" t="str">
        <f>HYPERLINK("https://old.ukr-mobil.com/displej_huawei_honor_8x_s_tachskrinom_original_prc_black_11201", "Перейти")</f>
        <v>Перейти</v>
      </c>
      <c r="F2577" s="2">
        <v>11201</v>
      </c>
      <c r="G2577" s="4" t="s">
        <v>2712</v>
      </c>
      <c r="H2577" s="1">
        <v>0</v>
      </c>
      <c r="I2577" s="1">
        <v>1</v>
      </c>
      <c r="J2577" s="1">
        <v>3</v>
      </c>
      <c r="K2577" s="2">
        <v>16.0</v>
      </c>
    </row>
    <row r="2578" spans="1:12">
      <c r="A2578" s="3" t="s">
        <v>2194</v>
      </c>
      <c r="B2578" s="3" t="s">
        <v>2526</v>
      </c>
      <c r="C2578" s="3" t="s">
        <v>640</v>
      </c>
      <c r="D2578" s="3"/>
      <c r="E2578" s="2" t="str">
        <f>HYPERLINK("https://old.ukr-mobil.com/displej_huawei_honor_9_lite_s_tachskrinom_high_copy_black_10044", "Перейти")</f>
        <v>Перейти</v>
      </c>
      <c r="F2578" s="2">
        <v>10044</v>
      </c>
      <c r="G2578" s="4" t="s">
        <v>2713</v>
      </c>
      <c r="H2578" s="1">
        <v>2</v>
      </c>
      <c r="I2578" s="1">
        <v>0</v>
      </c>
      <c r="J2578" s="1">
        <v>4</v>
      </c>
      <c r="K2578" s="2">
        <v>12.0</v>
      </c>
    </row>
    <row r="2579" spans="1:12">
      <c r="A2579" s="3" t="s">
        <v>2194</v>
      </c>
      <c r="B2579" s="3" t="s">
        <v>2526</v>
      </c>
      <c r="C2579" s="3" t="s">
        <v>640</v>
      </c>
      <c r="D2579" s="3"/>
      <c r="E2579" s="2" t="str">
        <f>HYPERLINK("https://old.ukr-mobil.com/displej_huawei_honor_9_lite_s_tachskrinom_high_copy_gold_10050", "Перейти")</f>
        <v>Перейти</v>
      </c>
      <c r="F2579" s="2">
        <v>10050</v>
      </c>
      <c r="G2579" s="4" t="s">
        <v>2714</v>
      </c>
      <c r="H2579" s="1">
        <v>6</v>
      </c>
      <c r="I2579" s="1">
        <v>1</v>
      </c>
      <c r="J2579" s="1">
        <v>2</v>
      </c>
      <c r="K2579" s="2">
        <v>13.0</v>
      </c>
    </row>
    <row r="2580" spans="1:12">
      <c r="A2580" s="3" t="s">
        <v>2194</v>
      </c>
      <c r="B2580" s="3" t="s">
        <v>2526</v>
      </c>
      <c r="C2580" s="3" t="s">
        <v>640</v>
      </c>
      <c r="D2580" s="3"/>
      <c r="E2580" s="2" t="str">
        <f>HYPERLINK("https://old.ukr-mobil.com/displej_huawei_honor_9_lite_s_tachskrinom_high_copy_white_10049", "Перейти")</f>
        <v>Перейти</v>
      </c>
      <c r="F2580" s="2">
        <v>10049</v>
      </c>
      <c r="G2580" s="4" t="s">
        <v>2715</v>
      </c>
      <c r="H2580" s="1">
        <v>2</v>
      </c>
      <c r="I2580" s="1">
        <v>0</v>
      </c>
      <c r="J2580" s="1">
        <v>0</v>
      </c>
      <c r="K2580" s="2">
        <v>12.0</v>
      </c>
    </row>
    <row r="2581" spans="1:12">
      <c r="A2581" s="3" t="s">
        <v>2194</v>
      </c>
      <c r="B2581" s="3" t="s">
        <v>2526</v>
      </c>
      <c r="C2581" s="3" t="s">
        <v>640</v>
      </c>
      <c r="D2581" s="3"/>
      <c r="E2581" s="2" t="str">
        <f>HYPERLINK("https://old.ukr-mobil.com/displej_huawei_mate_10_lite_rne-l01_rne-l21_s_tachskrinom_high_copy_black_9788", "Перейти")</f>
        <v>Перейти</v>
      </c>
      <c r="F2581" s="2">
        <v>9788</v>
      </c>
      <c r="G2581" s="4" t="s">
        <v>2716</v>
      </c>
      <c r="H2581" s="1">
        <v>1</v>
      </c>
      <c r="I2581" s="1">
        <v>0</v>
      </c>
      <c r="J2581" s="1">
        <v>0</v>
      </c>
      <c r="K2581" s="2">
        <v>12.0</v>
      </c>
    </row>
    <row r="2582" spans="1:12">
      <c r="A2582" s="3" t="s">
        <v>2194</v>
      </c>
      <c r="B2582" s="3" t="s">
        <v>2526</v>
      </c>
      <c r="C2582" s="3" t="s">
        <v>640</v>
      </c>
      <c r="D2582" s="3"/>
      <c r="E2582" s="2" t="str">
        <f>HYPERLINK("https://old.ukr-mobil.com/index.php?route=product&amp;product_id=10006052", "Перейти")</f>
        <v>Перейти</v>
      </c>
      <c r="F2582" s="2">
        <v>10006052</v>
      </c>
      <c r="G2582" s="4" t="s">
        <v>2717</v>
      </c>
      <c r="H2582" s="1">
        <v>0</v>
      </c>
      <c r="I2582" s="1">
        <v>0</v>
      </c>
      <c r="J2582" s="1">
        <v>0</v>
      </c>
      <c r="K2582" s="2">
        <v>8.0</v>
      </c>
    </row>
    <row r="2583" spans="1:12">
      <c r="A2583" s="3" t="s">
        <v>2194</v>
      </c>
      <c r="B2583" s="3" t="s">
        <v>2526</v>
      </c>
      <c r="C2583" s="3" t="s">
        <v>640</v>
      </c>
      <c r="D2583" s="3"/>
      <c r="E2583" s="2" t="str">
        <f>HYPERLINK("https://old.ukr-mobil.com/displej_huawei_mate_20_lite_s_tachskrinom_original_prc_black_11851", "Перейти")</f>
        <v>Перейти</v>
      </c>
      <c r="F2583" s="2">
        <v>11851</v>
      </c>
      <c r="G2583" s="4" t="s">
        <v>2718</v>
      </c>
      <c r="H2583" s="1">
        <v>0</v>
      </c>
      <c r="I2583" s="1">
        <v>0</v>
      </c>
      <c r="J2583" s="1">
        <v>0</v>
      </c>
      <c r="K2583" s="2">
        <v>17.0</v>
      </c>
    </row>
    <row r="2584" spans="1:12">
      <c r="A2584" s="3" t="s">
        <v>2194</v>
      </c>
      <c r="B2584" s="3" t="s">
        <v>2526</v>
      </c>
      <c r="C2584" s="3" t="s">
        <v>640</v>
      </c>
      <c r="D2584" s="3"/>
      <c r="E2584" s="2" t="str">
        <f>HYPERLINK("https://old.ukr-mobil.com/displej_huawei_mate_20_pro_s_tachskrinom_black_10000401", "Перейти")</f>
        <v>Перейти</v>
      </c>
      <c r="F2584" s="2">
        <v>10000401</v>
      </c>
      <c r="G2584" s="4" t="s">
        <v>2719</v>
      </c>
      <c r="H2584" s="1">
        <v>0</v>
      </c>
      <c r="I2584" s="1">
        <v>0</v>
      </c>
      <c r="J2584" s="1">
        <v>0</v>
      </c>
      <c r="K2584" s="2">
        <v>111.0</v>
      </c>
    </row>
    <row r="2585" spans="1:12">
      <c r="A2585" s="3" t="s">
        <v>2194</v>
      </c>
      <c r="B2585" s="3" t="s">
        <v>2526</v>
      </c>
      <c r="C2585" s="3" t="s">
        <v>640</v>
      </c>
      <c r="D2585" s="3"/>
      <c r="E2585" s="2" t="str">
        <f>HYPERLINK("https://old.ukr-mobil.com/displej_huawei_mate_30_lite_nova_5t_pro_s_tachskrinom_black_10000404", "Перейти")</f>
        <v>Перейти</v>
      </c>
      <c r="F2585" s="2">
        <v>10000404</v>
      </c>
      <c r="G2585" s="4" t="s">
        <v>2720</v>
      </c>
      <c r="H2585" s="1">
        <v>3</v>
      </c>
      <c r="I2585" s="1">
        <v>2</v>
      </c>
      <c r="J2585" s="1">
        <v>1</v>
      </c>
      <c r="K2585" s="2">
        <v>18.0</v>
      </c>
    </row>
    <row r="2586" spans="1:12">
      <c r="A2586" s="3" t="s">
        <v>2194</v>
      </c>
      <c r="B2586" s="3" t="s">
        <v>2526</v>
      </c>
      <c r="C2586" s="3" t="s">
        <v>640</v>
      </c>
      <c r="D2586" s="3"/>
      <c r="E2586" s="2" t="str">
        <f>HYPERLINK("https://old.ukr-mobil.com/displej_huawei_nova_2_plus_2017_s_tachskrinom_black_10424", "Перейти")</f>
        <v>Перейти</v>
      </c>
      <c r="F2586" s="2">
        <v>10424</v>
      </c>
      <c r="G2586" s="4" t="s">
        <v>2721</v>
      </c>
      <c r="H2586" s="1">
        <v>0</v>
      </c>
      <c r="I2586" s="1">
        <v>3</v>
      </c>
      <c r="J2586" s="1">
        <v>0</v>
      </c>
      <c r="K2586" s="2">
        <v>12.0</v>
      </c>
    </row>
    <row r="2587" spans="1:12">
      <c r="A2587" s="3" t="s">
        <v>2194</v>
      </c>
      <c r="B2587" s="3" t="s">
        <v>2526</v>
      </c>
      <c r="C2587" s="3" t="s">
        <v>640</v>
      </c>
      <c r="D2587" s="3"/>
      <c r="E2587" s="2" t="str">
        <f>HYPERLINK("https://old.ukr-mobil.com/displej_huawei_nova_2s_s_tachskrinom_black_10426", "Перейти")</f>
        <v>Перейти</v>
      </c>
      <c r="F2587" s="2">
        <v>10426</v>
      </c>
      <c r="G2587" s="4" t="s">
        <v>2722</v>
      </c>
      <c r="H2587" s="1">
        <v>0</v>
      </c>
      <c r="I2587" s="1">
        <v>0</v>
      </c>
      <c r="J2587" s="1">
        <v>0</v>
      </c>
      <c r="K2587" s="2">
        <v>19.0</v>
      </c>
    </row>
    <row r="2588" spans="1:12">
      <c r="A2588" s="3" t="s">
        <v>2194</v>
      </c>
      <c r="B2588" s="3" t="s">
        <v>2526</v>
      </c>
      <c r="C2588" s="3" t="s">
        <v>640</v>
      </c>
      <c r="D2588" s="3"/>
      <c r="E2588" s="2" t="str">
        <f>HYPERLINK("https://old.ukr-mobil.com/displej_huawei_nova_8i_nen-lx1_nen-l22_honor_50_lite_honor_x20_ntn-l22_s_tachskrinom_original_prc_10002314", "Перейти")</f>
        <v>Перейти</v>
      </c>
      <c r="F2588" s="2">
        <v>10002314</v>
      </c>
      <c r="G2588" s="4" t="s">
        <v>2723</v>
      </c>
      <c r="H2588" s="1">
        <v>1</v>
      </c>
      <c r="I2588" s="1">
        <v>2</v>
      </c>
      <c r="J2588" s="1">
        <v>3</v>
      </c>
      <c r="K2588" s="2">
        <v>20.0</v>
      </c>
    </row>
    <row r="2589" spans="1:12">
      <c r="A2589" s="3" t="s">
        <v>2194</v>
      </c>
      <c r="B2589" s="3" t="s">
        <v>2526</v>
      </c>
      <c r="C2589" s="3" t="s">
        <v>640</v>
      </c>
      <c r="D2589" s="3"/>
      <c r="E2589" s="2" t="str">
        <f>HYPERLINK("https://old.ukr-mobil.com/displej_huawei_nova_9_honor_50_s_tachskrinom_original_10002325", "Перейти")</f>
        <v>Перейти</v>
      </c>
      <c r="F2589" s="2">
        <v>10002325</v>
      </c>
      <c r="G2589" s="4" t="s">
        <v>2724</v>
      </c>
      <c r="H2589" s="1">
        <v>2</v>
      </c>
      <c r="I2589" s="1">
        <v>1</v>
      </c>
      <c r="J2589" s="1">
        <v>0</v>
      </c>
      <c r="K2589" s="2">
        <v>53.0</v>
      </c>
    </row>
    <row r="2590" spans="1:12">
      <c r="A2590" s="3" t="s">
        <v>2194</v>
      </c>
      <c r="B2590" s="3" t="s">
        <v>2526</v>
      </c>
      <c r="C2590" s="3" t="s">
        <v>640</v>
      </c>
      <c r="D2590" s="3"/>
      <c r="E2590" s="2" t="str">
        <f>HYPERLINK("https://old.ukr-mobil.com/displej_huawei_nova_y70_nova_y70_plus_s_tachskrinom_original_prc_black_10004281", "Перейти")</f>
        <v>Перейти</v>
      </c>
      <c r="F2590" s="2">
        <v>10004281</v>
      </c>
      <c r="G2590" s="4" t="s">
        <v>2725</v>
      </c>
      <c r="H2590" s="1">
        <v>0</v>
      </c>
      <c r="I2590" s="1">
        <v>0</v>
      </c>
      <c r="J2590" s="1">
        <v>0</v>
      </c>
      <c r="K2590" s="2">
        <v>19.0</v>
      </c>
    </row>
    <row r="2591" spans="1:12">
      <c r="A2591" s="3" t="s">
        <v>2194</v>
      </c>
      <c r="B2591" s="3" t="s">
        <v>2526</v>
      </c>
      <c r="C2591" s="3" t="s">
        <v>640</v>
      </c>
      <c r="D2591" s="3"/>
      <c r="E2591" s="2" t="str">
        <f>HYPERLINK("https://old.ukr-mobil.com/displej_huawei_p_smart_fig-lx1_fig-l21_enjoy_7s_s_tachskrinom_high_copy_gold_10199", "Перейти")</f>
        <v>Перейти</v>
      </c>
      <c r="F2591" s="2">
        <v>10199</v>
      </c>
      <c r="G2591" s="4" t="s">
        <v>2726</v>
      </c>
      <c r="H2591" s="1">
        <v>0</v>
      </c>
      <c r="I2591" s="1">
        <v>0</v>
      </c>
      <c r="J2591" s="1">
        <v>0</v>
      </c>
      <c r="K2591" s="2">
        <v>12.0</v>
      </c>
    </row>
    <row r="2592" spans="1:12">
      <c r="A2592" s="3" t="s">
        <v>2194</v>
      </c>
      <c r="B2592" s="3" t="s">
        <v>2526</v>
      </c>
      <c r="C2592" s="3" t="s">
        <v>640</v>
      </c>
      <c r="D2592" s="3"/>
      <c r="E2592" s="2" t="str">
        <f>HYPERLINK("https://old.ukr-mobil.com/displej_huawei_p_smart_2019_s_tachskrinom_original_prc_black_11286", "Перейти")</f>
        <v>Перейти</v>
      </c>
      <c r="F2592" s="2">
        <v>11286</v>
      </c>
      <c r="G2592" s="4" t="s">
        <v>2727</v>
      </c>
      <c r="H2592" s="1">
        <v>0</v>
      </c>
      <c r="I2592" s="1">
        <v>1</v>
      </c>
      <c r="J2592" s="1">
        <v>0</v>
      </c>
      <c r="K2592" s="2">
        <v>17.75</v>
      </c>
    </row>
    <row r="2593" spans="1:12">
      <c r="A2593" s="3" t="s">
        <v>2194</v>
      </c>
      <c r="B2593" s="3" t="s">
        <v>2526</v>
      </c>
      <c r="C2593" s="3" t="s">
        <v>640</v>
      </c>
      <c r="D2593" s="3"/>
      <c r="E2593" s="2" t="str">
        <f>HYPERLINK("https://old.ukr-mobil.com/displej_huawei_p_smart_2019_pot-lx3_pot-lx1_pot-al00_s_tachskrinom_s_ramkoj_high_copy_black_10001528", "Перейти")</f>
        <v>Перейти</v>
      </c>
      <c r="F2593" s="2">
        <v>10001528</v>
      </c>
      <c r="G2593" s="4" t="s">
        <v>2728</v>
      </c>
      <c r="H2593" s="1">
        <v>0</v>
      </c>
      <c r="I2593" s="1">
        <v>2</v>
      </c>
      <c r="J2593" s="1">
        <v>6</v>
      </c>
      <c r="K2593" s="2">
        <v>19.0</v>
      </c>
    </row>
    <row r="2594" spans="1:12">
      <c r="A2594" s="3" t="s">
        <v>2194</v>
      </c>
      <c r="B2594" s="3" t="s">
        <v>2526</v>
      </c>
      <c r="C2594" s="3" t="s">
        <v>640</v>
      </c>
      <c r="D2594" s="3"/>
      <c r="E2594" s="2" t="str">
        <f>HYPERLINK("https://old.ukr-mobil.com/displej_huawei_p_smart_2021_y7a_honor_10x_lite_s_tachskrinom_original_prc_black_10001486", "Перейти")</f>
        <v>Перейти</v>
      </c>
      <c r="F2594" s="2">
        <v>10001486</v>
      </c>
      <c r="G2594" s="4" t="s">
        <v>2729</v>
      </c>
      <c r="H2594" s="1">
        <v>15</v>
      </c>
      <c r="I2594" s="1">
        <v>5</v>
      </c>
      <c r="J2594" s="1">
        <v>5</v>
      </c>
      <c r="K2594" s="2">
        <v>12.0</v>
      </c>
    </row>
    <row r="2595" spans="1:12">
      <c r="A2595" s="3" t="s">
        <v>2194</v>
      </c>
      <c r="B2595" s="3" t="s">
        <v>2526</v>
      </c>
      <c r="C2595" s="3" t="s">
        <v>640</v>
      </c>
      <c r="D2595" s="3"/>
      <c r="E2595" s="2" t="str">
        <f>HYPERLINK("https://old.ukr-mobil.com/displej_huawei_p_smart_s_2020_y8p_aqm-lx1_honor_play_4t_pro_enjoy_10s_s_tachskrinom_original_black_10001834", "Перейти")</f>
        <v>Перейти</v>
      </c>
      <c r="F2595" s="2">
        <v>10001834</v>
      </c>
      <c r="G2595" s="4" t="s">
        <v>2730</v>
      </c>
      <c r="H2595" s="1">
        <v>3</v>
      </c>
      <c r="I2595" s="1">
        <v>4</v>
      </c>
      <c r="J2595" s="1">
        <v>2</v>
      </c>
      <c r="K2595" s="2">
        <v>60.0</v>
      </c>
    </row>
    <row r="2596" spans="1:12">
      <c r="A2596" s="3" t="s">
        <v>2194</v>
      </c>
      <c r="B2596" s="3" t="s">
        <v>2526</v>
      </c>
      <c r="C2596" s="3" t="s">
        <v>640</v>
      </c>
      <c r="D2596" s="3"/>
      <c r="E2596" s="2" t="str">
        <f>HYPERLINK("https://old.ukr-mobil.com/displej_huawei_y8p_s_tachskrinom_original_prc_black_10001026", "Перейти")</f>
        <v>Перейти</v>
      </c>
      <c r="F2596" s="2">
        <v>10001026</v>
      </c>
      <c r="G2596" s="4" t="s">
        <v>2731</v>
      </c>
      <c r="H2596" s="1">
        <v>5</v>
      </c>
      <c r="I2596" s="1">
        <v>0</v>
      </c>
      <c r="J2596" s="1">
        <v>0</v>
      </c>
      <c r="K2596" s="2">
        <v>15.5</v>
      </c>
    </row>
    <row r="2597" spans="1:12">
      <c r="A2597" s="3" t="s">
        <v>2194</v>
      </c>
      <c r="B2597" s="3" t="s">
        <v>2526</v>
      </c>
      <c r="C2597" s="3" t="s">
        <v>640</v>
      </c>
      <c r="D2597" s="3"/>
      <c r="E2597" s="2" t="str">
        <f>HYPERLINK("https://old.ukr-mobil.com/displej_huawei_p_smart_z_y9_prime_2019_y9s_honor_9x_s_tachskrinom_original_prc_black_12228", "Перейти")</f>
        <v>Перейти</v>
      </c>
      <c r="F2597" s="2">
        <v>12228</v>
      </c>
      <c r="G2597" s="4" t="s">
        <v>2732</v>
      </c>
      <c r="H2597" s="1">
        <v>0</v>
      </c>
      <c r="I2597" s="1">
        <v>0</v>
      </c>
      <c r="J2597" s="1">
        <v>0</v>
      </c>
      <c r="K2597" s="2">
        <v>21.75</v>
      </c>
    </row>
    <row r="2598" spans="1:12">
      <c r="A2598" s="3" t="s">
        <v>2194</v>
      </c>
      <c r="B2598" s="3" t="s">
        <v>2526</v>
      </c>
      <c r="C2598" s="3" t="s">
        <v>640</v>
      </c>
      <c r="D2598" s="3"/>
      <c r="E2598" s="2" t="str">
        <f>HYPERLINK("https://old.ukr-mobil.com/displej_huawei_p_smart_z_y9_prime_2019_y9s_honor_9x_s_tachskrinom_s_ramkoj_original_prc_black_10001103", "Перейти")</f>
        <v>Перейти</v>
      </c>
      <c r="F2598" s="2">
        <v>10001103</v>
      </c>
      <c r="G2598" s="4" t="s">
        <v>2733</v>
      </c>
      <c r="H2598" s="1">
        <v>0</v>
      </c>
      <c r="I2598" s="1">
        <v>0</v>
      </c>
      <c r="J2598" s="1">
        <v>0</v>
      </c>
      <c r="K2598" s="2">
        <v>16.0</v>
      </c>
    </row>
    <row r="2599" spans="1:12">
      <c r="A2599" s="3" t="s">
        <v>2194</v>
      </c>
      <c r="B2599" s="3" t="s">
        <v>2526</v>
      </c>
      <c r="C2599" s="3" t="s">
        <v>640</v>
      </c>
      <c r="D2599" s="3"/>
      <c r="E2599" s="2" t="str">
        <f>HYPERLINK("https://old.ukr-mobil.com/displej_huawei_p20_lite_nova_3e_ane-lx1_s_tachskrinom_original_prc_black_10261", "Перейти")</f>
        <v>Перейти</v>
      </c>
      <c r="F2599" s="2">
        <v>10261</v>
      </c>
      <c r="G2599" s="4" t="s">
        <v>2734</v>
      </c>
      <c r="H2599" s="1">
        <v>0</v>
      </c>
      <c r="I2599" s="1">
        <v>0</v>
      </c>
      <c r="J2599" s="1">
        <v>0</v>
      </c>
      <c r="K2599" s="2">
        <v>8.0</v>
      </c>
    </row>
    <row r="2600" spans="1:12">
      <c r="A2600" s="3" t="s">
        <v>2194</v>
      </c>
      <c r="B2600" s="3" t="s">
        <v>2526</v>
      </c>
      <c r="C2600" s="3" t="s">
        <v>640</v>
      </c>
      <c r="D2600" s="3"/>
      <c r="E2600" s="2" t="str">
        <f>HYPERLINK("https://old.ukr-mobil.com/displej_huawei_p20_lite_nova_3e_ane-lx1_s_tachskrinom_original_prc_white_11328", "Перейти")</f>
        <v>Перейти</v>
      </c>
      <c r="F2600" s="2">
        <v>11328</v>
      </c>
      <c r="G2600" s="4" t="s">
        <v>2735</v>
      </c>
      <c r="H2600" s="1">
        <v>0</v>
      </c>
      <c r="I2600" s="1">
        <v>0</v>
      </c>
      <c r="J2600" s="1">
        <v>0</v>
      </c>
      <c r="K2600" s="2">
        <v>10.0</v>
      </c>
    </row>
    <row r="2601" spans="1:12">
      <c r="A2601" s="3" t="s">
        <v>2194</v>
      </c>
      <c r="B2601" s="3" t="s">
        <v>2526</v>
      </c>
      <c r="C2601" s="3" t="s">
        <v>640</v>
      </c>
      <c r="D2601" s="3"/>
      <c r="E2601" s="2" t="str">
        <f>HYPERLINK("https://old.ukr-mobil.com/index.php?route=product&amp;product_id=10006055", "Перейти")</f>
        <v>Перейти</v>
      </c>
      <c r="F2601" s="2">
        <v>10006055</v>
      </c>
      <c r="G2601" s="4" t="s">
        <v>2736</v>
      </c>
      <c r="H2601" s="1">
        <v>0</v>
      </c>
      <c r="I2601" s="1">
        <v>0</v>
      </c>
      <c r="J2601" s="1">
        <v>0</v>
      </c>
      <c r="K2601" s="2">
        <v>22.8</v>
      </c>
    </row>
    <row r="2602" spans="1:12">
      <c r="A2602" s="3" t="s">
        <v>2194</v>
      </c>
      <c r="B2602" s="3" t="s">
        <v>2526</v>
      </c>
      <c r="C2602" s="3" t="s">
        <v>640</v>
      </c>
      <c r="D2602" s="3"/>
      <c r="E2602" s="2" t="str">
        <f>HYPERLINK("https://old.ukr-mobil.com/displej_huawei_p30_s_tachskrinom_oled_black_10001083", "Перейти")</f>
        <v>Перейти</v>
      </c>
      <c r="F2602" s="2">
        <v>10001083</v>
      </c>
      <c r="G2602" s="4" t="s">
        <v>2737</v>
      </c>
      <c r="H2602" s="1">
        <v>1</v>
      </c>
      <c r="I2602" s="1">
        <v>1</v>
      </c>
      <c r="J2602" s="1">
        <v>0</v>
      </c>
      <c r="K2602" s="2">
        <v>37.0</v>
      </c>
    </row>
    <row r="2603" spans="1:12">
      <c r="A2603" s="3" t="s">
        <v>2194</v>
      </c>
      <c r="B2603" s="3" t="s">
        <v>2526</v>
      </c>
      <c r="C2603" s="3" t="s">
        <v>640</v>
      </c>
      <c r="D2603" s="3"/>
      <c r="E2603" s="2" t="str">
        <f>HYPERLINK("https://old.ukr-mobil.com/displej_huawei_nova_4e_p30_lite_s_tachskrinom_original_prc_black_11958", "Перейти")</f>
        <v>Перейти</v>
      </c>
      <c r="F2603" s="2">
        <v>11958</v>
      </c>
      <c r="G2603" s="4" t="s">
        <v>2738</v>
      </c>
      <c r="H2603" s="1">
        <v>0</v>
      </c>
      <c r="I2603" s="1">
        <v>0</v>
      </c>
      <c r="J2603" s="1">
        <v>0</v>
      </c>
      <c r="K2603" s="2">
        <v>13.0</v>
      </c>
    </row>
    <row r="2604" spans="1:12">
      <c r="A2604" s="3" t="s">
        <v>2194</v>
      </c>
      <c r="B2604" s="3" t="s">
        <v>2526</v>
      </c>
      <c r="C2604" s="3" t="s">
        <v>640</v>
      </c>
      <c r="D2604" s="3"/>
      <c r="E2604" s="2" t="str">
        <f>HYPERLINK("https://old.ukr-mobil.com/displej_huawei_p30_pro_vog-l09_vog-l29_s_tachskrinom_oled_black_10002329", "Перейти")</f>
        <v>Перейти</v>
      </c>
      <c r="F2604" s="2">
        <v>10002329</v>
      </c>
      <c r="G2604" s="4" t="s">
        <v>2739</v>
      </c>
      <c r="H2604" s="1">
        <v>4</v>
      </c>
      <c r="I2604" s="1">
        <v>1</v>
      </c>
      <c r="J2604" s="1">
        <v>1</v>
      </c>
      <c r="K2604" s="2">
        <v>56.5</v>
      </c>
    </row>
    <row r="2605" spans="1:12">
      <c r="A2605" s="3" t="s">
        <v>2194</v>
      </c>
      <c r="B2605" s="3" t="s">
        <v>2526</v>
      </c>
      <c r="C2605" s="3" t="s">
        <v>640</v>
      </c>
      <c r="D2605" s="3"/>
      <c r="E2605" s="2" t="str">
        <f>HYPERLINK("https://old.ukr-mobil.com/displej_huawei_p40_lite_jny-lx1_nova_5i_glk-lx1_nova_7i_jny-lx2_nova_6_se_s_tachskrinom_high_copy_black_10002945", "Перейти")</f>
        <v>Перейти</v>
      </c>
      <c r="F2605" s="2">
        <v>10002945</v>
      </c>
      <c r="G2605" s="4" t="s">
        <v>2740</v>
      </c>
      <c r="H2605" s="1">
        <v>0</v>
      </c>
      <c r="I2605" s="1">
        <v>0</v>
      </c>
      <c r="J2605" s="1">
        <v>0</v>
      </c>
      <c r="K2605" s="2">
        <v>13.0</v>
      </c>
    </row>
    <row r="2606" spans="1:12">
      <c r="A2606" s="3" t="s">
        <v>2194</v>
      </c>
      <c r="B2606" s="3" t="s">
        <v>2526</v>
      </c>
      <c r="C2606" s="3" t="s">
        <v>640</v>
      </c>
      <c r="D2606" s="3"/>
      <c r="E2606" s="2" t="str">
        <f>HYPERLINK("https://old.ukr-mobil.com/displej_huawei_p40_lite_nova_6_se_s_tachskrinom_original_black_10000648", "Перейти")</f>
        <v>Перейти</v>
      </c>
      <c r="F2606" s="2">
        <v>10000648</v>
      </c>
      <c r="G2606" s="4" t="s">
        <v>2741</v>
      </c>
      <c r="H2606" s="1">
        <v>0</v>
      </c>
      <c r="I2606" s="1">
        <v>0</v>
      </c>
      <c r="J2606" s="1">
        <v>0</v>
      </c>
      <c r="K2606" s="2">
        <v>15.0</v>
      </c>
    </row>
    <row r="2607" spans="1:12">
      <c r="A2607" s="3" t="s">
        <v>2194</v>
      </c>
      <c r="B2607" s="3" t="s">
        <v>2526</v>
      </c>
      <c r="C2607" s="3" t="s">
        <v>640</v>
      </c>
      <c r="D2607" s="3"/>
      <c r="E2607" s="2" t="str">
        <f>HYPERLINK("https://old.ukr-mobil.com/displej_huawei_p40_lite_e_y7p_2020_s_tachskrinom_original_prc_black_10000756", "Перейти")</f>
        <v>Перейти</v>
      </c>
      <c r="F2607" s="2">
        <v>10000756</v>
      </c>
      <c r="G2607" s="4" t="s">
        <v>2742</v>
      </c>
      <c r="H2607" s="1">
        <v>0</v>
      </c>
      <c r="I2607" s="1">
        <v>0</v>
      </c>
      <c r="J2607" s="1">
        <v>0</v>
      </c>
      <c r="K2607" s="2">
        <v>13.0</v>
      </c>
    </row>
    <row r="2608" spans="1:12">
      <c r="A2608" s="3" t="s">
        <v>2194</v>
      </c>
      <c r="B2608" s="3" t="s">
        <v>2526</v>
      </c>
      <c r="C2608" s="3" t="s">
        <v>640</v>
      </c>
      <c r="D2608" s="3"/>
      <c r="E2608" s="2" t="str">
        <f>HYPERLINK("https://old.ukr-mobil.com/displej_huawei_y5_2018_y5_prime_2018_y5p_2020_honor_7a_honor_7s_honor_7_play_s_tachskrinom_high_copy_black_10250", "Перейти")</f>
        <v>Перейти</v>
      </c>
      <c r="F2608" s="2">
        <v>10250</v>
      </c>
      <c r="G2608" s="4" t="s">
        <v>2743</v>
      </c>
      <c r="H2608" s="1">
        <v>4</v>
      </c>
      <c r="I2608" s="1">
        <v>1</v>
      </c>
      <c r="J2608" s="1">
        <v>4</v>
      </c>
      <c r="K2608" s="2">
        <v>9.0</v>
      </c>
    </row>
    <row r="2609" spans="1:12">
      <c r="A2609" s="3" t="s">
        <v>2194</v>
      </c>
      <c r="B2609" s="3" t="s">
        <v>2526</v>
      </c>
      <c r="C2609" s="3" t="s">
        <v>640</v>
      </c>
      <c r="D2609" s="3"/>
      <c r="E2609" s="2" t="str">
        <f>HYPERLINK("https://old.ukr-mobil.com/displej_huawei_y5_2018_y5_prime_2018_y5p_2020_honor_7a_honor_7s_honor_7_play_s_tachskrinom_high_copy_gold_10371", "Перейти")</f>
        <v>Перейти</v>
      </c>
      <c r="F2609" s="2">
        <v>10371</v>
      </c>
      <c r="G2609" s="4" t="s">
        <v>2744</v>
      </c>
      <c r="H2609" s="1">
        <v>8</v>
      </c>
      <c r="I2609" s="1">
        <v>4</v>
      </c>
      <c r="J2609" s="1">
        <v>5</v>
      </c>
      <c r="K2609" s="2">
        <v>9.0</v>
      </c>
    </row>
    <row r="2610" spans="1:12">
      <c r="A2610" s="3" t="s">
        <v>2194</v>
      </c>
      <c r="B2610" s="3" t="s">
        <v>2526</v>
      </c>
      <c r="C2610" s="3" t="s">
        <v>640</v>
      </c>
      <c r="D2610" s="3"/>
      <c r="E2610" s="2" t="str">
        <f>HYPERLINK("https://old.ukr-mobil.com/displej_huawei_y5_2018_y5_prime_2018_y5p_2020_honor_7a_honor_7s_honor_7_play_s_tachskrinom_high_copy_white_10372", "Перейти")</f>
        <v>Перейти</v>
      </c>
      <c r="F2610" s="2">
        <v>10372</v>
      </c>
      <c r="G2610" s="4" t="s">
        <v>2745</v>
      </c>
      <c r="H2610" s="1">
        <v>7</v>
      </c>
      <c r="I2610" s="1">
        <v>2</v>
      </c>
      <c r="J2610" s="1">
        <v>7</v>
      </c>
      <c r="K2610" s="2">
        <v>9.0</v>
      </c>
    </row>
    <row r="2611" spans="1:12">
      <c r="A2611" s="3" t="s">
        <v>2194</v>
      </c>
      <c r="B2611" s="3" t="s">
        <v>2526</v>
      </c>
      <c r="C2611" s="3" t="s">
        <v>640</v>
      </c>
      <c r="D2611" s="3"/>
      <c r="E2611" s="2" t="str">
        <f>HYPERLINK("https://old.ukr-mobil.com/displej_huawei_y5_2019_y5_prime_2019_honor_8s_amn-lx1_lx2_lx3_lx9_kse-lx9_ksa-lx9_s_tachskrinom_original_prc_black_11797", "Перейти")</f>
        <v>Перейти</v>
      </c>
      <c r="F2611" s="2">
        <v>11797</v>
      </c>
      <c r="G2611" s="4" t="s">
        <v>2746</v>
      </c>
      <c r="H2611" s="1">
        <v>0</v>
      </c>
      <c r="I2611" s="1">
        <v>0</v>
      </c>
      <c r="J2611" s="1">
        <v>0</v>
      </c>
      <c r="K2611" s="2">
        <v>8.0</v>
      </c>
    </row>
    <row r="2612" spans="1:12">
      <c r="A2612" s="3" t="s">
        <v>2194</v>
      </c>
      <c r="B2612" s="3" t="s">
        <v>2526</v>
      </c>
      <c r="C2612" s="3" t="s">
        <v>640</v>
      </c>
      <c r="D2612" s="3"/>
      <c r="E2612" s="2" t="str">
        <f>HYPERLINK("https://old.ukr-mobil.com/displej_huawei_y5p_2020_dra-lx9_honor_9s_dua-lx9_s_tachskrinom_original_prc_black_10001228", "Перейти")</f>
        <v>Перейти</v>
      </c>
      <c r="F2612" s="2">
        <v>10001228</v>
      </c>
      <c r="G2612" s="4" t="s">
        <v>2747</v>
      </c>
      <c r="H2612" s="1">
        <v>3</v>
      </c>
      <c r="I2612" s="1">
        <v>0</v>
      </c>
      <c r="J2612" s="1">
        <v>1</v>
      </c>
      <c r="K2612" s="2">
        <v>10.0</v>
      </c>
    </row>
    <row r="2613" spans="1:12">
      <c r="A2613" s="3" t="s">
        <v>2194</v>
      </c>
      <c r="B2613" s="3" t="s">
        <v>2526</v>
      </c>
      <c r="C2613" s="3" t="s">
        <v>640</v>
      </c>
      <c r="D2613" s="3"/>
      <c r="E2613" s="2" t="str">
        <f>HYPERLINK("https://old.ukr-mobil.com/displej_huawei_y6_2018_atu-l21_y6_prime_2018_honor_7a_pro_honor_7c_s_tachskrinom_original_prc_black_10328", "Перейти")</f>
        <v>Перейти</v>
      </c>
      <c r="F2613" s="2">
        <v>10328</v>
      </c>
      <c r="G2613" s="4" t="s">
        <v>2748</v>
      </c>
      <c r="H2613" s="1">
        <v>0</v>
      </c>
      <c r="I2613" s="1">
        <v>0</v>
      </c>
      <c r="J2613" s="1">
        <v>0</v>
      </c>
      <c r="K2613" s="2">
        <v>9.0</v>
      </c>
    </row>
    <row r="2614" spans="1:12">
      <c r="A2614" s="3" t="s">
        <v>2194</v>
      </c>
      <c r="B2614" s="3" t="s">
        <v>2526</v>
      </c>
      <c r="C2614" s="3" t="s">
        <v>640</v>
      </c>
      <c r="D2614" s="3"/>
      <c r="E2614" s="2" t="str">
        <f>HYPERLINK("https://old.ukr-mobil.com/displej_huawei_y6_2018_atu-l21_y6_prime_2018_honor_7a_pro_honor_7c_s_tachskrinom_original_prc_gold_10940", "Перейти")</f>
        <v>Перейти</v>
      </c>
      <c r="F2614" s="2">
        <v>10940</v>
      </c>
      <c r="G2614" s="4" t="s">
        <v>2749</v>
      </c>
      <c r="H2614" s="1">
        <v>1</v>
      </c>
      <c r="I2614" s="1">
        <v>0</v>
      </c>
      <c r="J2614" s="1">
        <v>0</v>
      </c>
      <c r="K2614" s="2">
        <v>10.0</v>
      </c>
    </row>
    <row r="2615" spans="1:12">
      <c r="A2615" s="3" t="s">
        <v>2194</v>
      </c>
      <c r="B2615" s="3" t="s">
        <v>2526</v>
      </c>
      <c r="C2615" s="3" t="s">
        <v>640</v>
      </c>
      <c r="D2615" s="3"/>
      <c r="E2615" s="2" t="str">
        <f>HYPERLINK("https://old.ukr-mobil.com/displej_huawei_y6_2019_y6_prime_2019_y6s_s_tachskrinom_original_prc_black_11798", "Перейти")</f>
        <v>Перейти</v>
      </c>
      <c r="F2615" s="2">
        <v>11798</v>
      </c>
      <c r="G2615" s="4" t="s">
        <v>2750</v>
      </c>
      <c r="H2615" s="1">
        <v>0</v>
      </c>
      <c r="I2615" s="1">
        <v>0</v>
      </c>
      <c r="J2615" s="1">
        <v>0</v>
      </c>
      <c r="K2615" s="2">
        <v>9.0</v>
      </c>
    </row>
    <row r="2616" spans="1:12">
      <c r="A2616" s="3" t="s">
        <v>2194</v>
      </c>
      <c r="B2616" s="3" t="s">
        <v>2526</v>
      </c>
      <c r="C2616" s="3" t="s">
        <v>640</v>
      </c>
      <c r="D2616" s="3"/>
      <c r="E2616" s="2" t="str">
        <f>HYPERLINK("https://old.ukr-mobil.com/displej_huawei_y6_pro_tit-u02_honor_4c_pro_honor_play_5x_enjoy_5_s_tachskrinom_high_copy_white_7611", "Перейти")</f>
        <v>Перейти</v>
      </c>
      <c r="F2616" s="2">
        <v>7611</v>
      </c>
      <c r="G2616" s="4" t="s">
        <v>2751</v>
      </c>
      <c r="H2616" s="1">
        <v>0</v>
      </c>
      <c r="I2616" s="1">
        <v>0</v>
      </c>
      <c r="J2616" s="1">
        <v>0</v>
      </c>
      <c r="K2616" s="2">
        <v>7.0</v>
      </c>
    </row>
    <row r="2617" spans="1:12">
      <c r="A2617" s="3" t="s">
        <v>2194</v>
      </c>
      <c r="B2617" s="3" t="s">
        <v>2526</v>
      </c>
      <c r="C2617" s="3" t="s">
        <v>640</v>
      </c>
      <c r="D2617" s="3"/>
      <c r="E2617" s="2" t="str">
        <f>HYPERLINK("https://old.ukr-mobil.com/displej_huawei_y6p_2020_honor_9a_s_tachskrinom_original_prc_black_10001012", "Перейти")</f>
        <v>Перейти</v>
      </c>
      <c r="F2617" s="2">
        <v>10001012</v>
      </c>
      <c r="G2617" s="4" t="s">
        <v>2752</v>
      </c>
      <c r="H2617" s="1">
        <v>0</v>
      </c>
      <c r="I2617" s="1">
        <v>0</v>
      </c>
      <c r="J2617" s="1">
        <v>0</v>
      </c>
      <c r="K2617" s="2">
        <v>12.0</v>
      </c>
    </row>
    <row r="2618" spans="1:12">
      <c r="A2618" s="3" t="s">
        <v>2194</v>
      </c>
      <c r="B2618" s="3" t="s">
        <v>2526</v>
      </c>
      <c r="C2618" s="3" t="s">
        <v>640</v>
      </c>
      <c r="D2618" s="3"/>
      <c r="E2618" s="2" t="str">
        <f>HYPERLINK("https://old.ukr-mobil.com/displej_huawei_y7_2017_trt-lx1_trt-l21_y7_prime_2017_nova_lite_plus_enjoy_7_plus_s_tachskrinom_high_copy_white_9604", "Перейти")</f>
        <v>Перейти</v>
      </c>
      <c r="F2618" s="2">
        <v>9604</v>
      </c>
      <c r="G2618" s="4" t="s">
        <v>2753</v>
      </c>
      <c r="H2618" s="1">
        <v>13</v>
      </c>
      <c r="I2618" s="1">
        <v>3</v>
      </c>
      <c r="J2618" s="1">
        <v>2</v>
      </c>
      <c r="K2618" s="2">
        <v>12.0</v>
      </c>
    </row>
    <row r="2619" spans="1:12">
      <c r="A2619" s="3" t="s">
        <v>2194</v>
      </c>
      <c r="B2619" s="3" t="s">
        <v>2526</v>
      </c>
      <c r="C2619" s="3" t="s">
        <v>640</v>
      </c>
      <c r="D2619" s="3"/>
      <c r="E2619" s="2" t="str">
        <f>HYPERLINK("https://old.ukr-mobil.com/displej_huawei_y7_prime_2018_ldn-lx1_honor_7c_pro_lnd-l29_nova_2_lite_enjoy_8_s_tachskrinom_high_copy_black_10366", "Перейти")</f>
        <v>Перейти</v>
      </c>
      <c r="F2619" s="2">
        <v>10366</v>
      </c>
      <c r="G2619" s="4" t="s">
        <v>2754</v>
      </c>
      <c r="H2619" s="1">
        <v>0</v>
      </c>
      <c r="I2619" s="1">
        <v>0</v>
      </c>
      <c r="J2619" s="1">
        <v>1</v>
      </c>
      <c r="K2619" s="2">
        <v>10.0</v>
      </c>
    </row>
    <row r="2620" spans="1:12">
      <c r="A2620" s="3" t="s">
        <v>2194</v>
      </c>
      <c r="B2620" s="3" t="s">
        <v>2526</v>
      </c>
      <c r="C2620" s="3" t="s">
        <v>640</v>
      </c>
      <c r="D2620" s="3"/>
      <c r="E2620" s="2" t="str">
        <f>HYPERLINK("https://old.ukr-mobil.com/displej_huawei_y7_prime_2018_ldn-lx1_honor_7c_pro_lnd-l29_nova_2_lite_enjoy_8_s_tachskrinom_high_copy_white_10367", "Перейти")</f>
        <v>Перейти</v>
      </c>
      <c r="F2620" s="2">
        <v>10367</v>
      </c>
      <c r="G2620" s="4" t="s">
        <v>2755</v>
      </c>
      <c r="H2620" s="1">
        <v>3</v>
      </c>
      <c r="I2620" s="1">
        <v>3</v>
      </c>
      <c r="J2620" s="1">
        <v>1</v>
      </c>
      <c r="K2620" s="2">
        <v>11.5</v>
      </c>
    </row>
    <row r="2621" spans="1:12">
      <c r="A2621" s="3" t="s">
        <v>2194</v>
      </c>
      <c r="B2621" s="3" t="s">
        <v>2526</v>
      </c>
      <c r="C2621" s="3" t="s">
        <v>640</v>
      </c>
      <c r="D2621" s="3"/>
      <c r="E2621" s="2" t="str">
        <f>HYPERLINK("https://old.ukr-mobil.com/displej_huawei_y7_2019_y7_prime_2019_y7_pro_2019_s_tachskrinom_original_prc_black_11960", "Перейти")</f>
        <v>Перейти</v>
      </c>
      <c r="F2621" s="2">
        <v>11960</v>
      </c>
      <c r="G2621" s="4" t="s">
        <v>2756</v>
      </c>
      <c r="H2621" s="1">
        <v>0</v>
      </c>
      <c r="I2621" s="1">
        <v>0</v>
      </c>
      <c r="J2621" s="1">
        <v>0</v>
      </c>
      <c r="K2621" s="2">
        <v>11.0</v>
      </c>
    </row>
    <row r="2622" spans="1:12">
      <c r="A2622" s="3" t="s">
        <v>2194</v>
      </c>
      <c r="B2622" s="3" t="s">
        <v>2526</v>
      </c>
      <c r="C2622" s="3" t="s">
        <v>640</v>
      </c>
      <c r="D2622" s="3"/>
      <c r="E2622" s="2" t="str">
        <f>HYPERLINK("https://old.ukr-mobil.com/displej_huawei_y9_2018_fla-lx1_fla-lx3_enjoy_8_plus_s_tachskrinom_black_10418", "Перейти")</f>
        <v>Перейти</v>
      </c>
      <c r="F2622" s="2">
        <v>10418</v>
      </c>
      <c r="G2622" s="4" t="s">
        <v>2757</v>
      </c>
      <c r="H2622" s="1">
        <v>11</v>
      </c>
      <c r="I2622" s="1">
        <v>7</v>
      </c>
      <c r="J2622" s="1">
        <v>6</v>
      </c>
      <c r="K2622" s="2">
        <v>10.0</v>
      </c>
    </row>
    <row r="2623" spans="1:12">
      <c r="A2623" s="3" t="s">
        <v>2194</v>
      </c>
      <c r="B2623" s="3" t="s">
        <v>2526</v>
      </c>
      <c r="C2623" s="3" t="s">
        <v>640</v>
      </c>
      <c r="D2623" s="3"/>
      <c r="E2623" s="2" t="str">
        <f>HYPERLINK("https://old.ukr-mobil.com/displej_huawei_y9_2018_fla-lx1_fla-lx3_enjoy_8_plus_s_tachskrinom_gold_10420", "Перейти")</f>
        <v>Перейти</v>
      </c>
      <c r="F2623" s="2">
        <v>10420</v>
      </c>
      <c r="G2623" s="4" t="s">
        <v>2758</v>
      </c>
      <c r="H2623" s="1">
        <v>1</v>
      </c>
      <c r="I2623" s="1">
        <v>1</v>
      </c>
      <c r="J2623" s="1">
        <v>0</v>
      </c>
      <c r="K2623" s="2">
        <v>9.0</v>
      </c>
    </row>
    <row r="2624" spans="1:12">
      <c r="A2624" s="3" t="s">
        <v>2194</v>
      </c>
      <c r="B2624" s="3" t="s">
        <v>2526</v>
      </c>
      <c r="C2624" s="3" t="s">
        <v>640</v>
      </c>
      <c r="D2624" s="3"/>
      <c r="E2624" s="2" t="str">
        <f>HYPERLINK("https://old.ukr-mobil.com/displej_huawei_y9_2018_fla-lx1_fla-lx3_enjoy_8_plus_s_tachskrinom_white_10421", "Перейти")</f>
        <v>Перейти</v>
      </c>
      <c r="F2624" s="2">
        <v>10421</v>
      </c>
      <c r="G2624" s="4" t="s">
        <v>2759</v>
      </c>
      <c r="H2624" s="1">
        <v>0</v>
      </c>
      <c r="I2624" s="1">
        <v>1</v>
      </c>
      <c r="J2624" s="1">
        <v>0</v>
      </c>
      <c r="K2624" s="2">
        <v>8.5</v>
      </c>
    </row>
    <row r="2625" spans="1:12">
      <c r="A2625" s="3" t="s">
        <v>2194</v>
      </c>
      <c r="B2625" s="3" t="s">
        <v>2526</v>
      </c>
      <c r="C2625" s="3" t="s">
        <v>640</v>
      </c>
      <c r="D2625" s="3"/>
      <c r="E2625" s="2" t="str">
        <f>HYPERLINK("https://old.ukr-mobil.com/displej_huawei_y9_2019_jkm-l23_jkm-lx3_enjoy_9_plus_s_tachskrinom_black_10000538", "Перейти")</f>
        <v>Перейти</v>
      </c>
      <c r="F2625" s="2">
        <v>10000538</v>
      </c>
      <c r="G2625" s="4" t="s">
        <v>2760</v>
      </c>
      <c r="H2625" s="1">
        <v>6</v>
      </c>
      <c r="I2625" s="1">
        <v>3</v>
      </c>
      <c r="J2625" s="1">
        <v>4</v>
      </c>
      <c r="K2625" s="2">
        <v>11.0</v>
      </c>
    </row>
    <row r="2626" spans="1:12">
      <c r="A2626" s="3" t="s">
        <v>2194</v>
      </c>
      <c r="B2626" s="3" t="s">
        <v>2526</v>
      </c>
      <c r="C2626" s="3" t="s">
        <v>2761</v>
      </c>
      <c r="D2626" s="3"/>
      <c r="E2626" s="2" t="str">
        <f>HYPERLINK("https://old.ukr-mobil.com/index.php?route=product&amp;product_id=10004695", "Перейти")</f>
        <v>Перейти</v>
      </c>
      <c r="F2626" s="2">
        <v>10004695</v>
      </c>
      <c r="G2626" s="4" t="s">
        <v>2762</v>
      </c>
      <c r="H2626" s="1">
        <v>2</v>
      </c>
      <c r="I2626" s="1">
        <v>3</v>
      </c>
      <c r="J2626" s="1">
        <v>1</v>
      </c>
      <c r="K2626" s="2">
        <v>9.0</v>
      </c>
    </row>
    <row r="2627" spans="1:12">
      <c r="A2627" s="3" t="s">
        <v>2194</v>
      </c>
      <c r="B2627" s="3" t="s">
        <v>2526</v>
      </c>
      <c r="C2627" s="3" t="s">
        <v>2761</v>
      </c>
      <c r="D2627" s="3"/>
      <c r="E2627" s="2" t="str">
        <f>HYPERLINK("https://old.ukr-mobil.com/index.php?route=product&amp;product_id=10004696", "Перейти")</f>
        <v>Перейти</v>
      </c>
      <c r="F2627" s="2">
        <v>10004696</v>
      </c>
      <c r="G2627" s="4" t="s">
        <v>2763</v>
      </c>
      <c r="H2627" s="1">
        <v>1</v>
      </c>
      <c r="I2627" s="1">
        <v>0</v>
      </c>
      <c r="J2627" s="1">
        <v>1</v>
      </c>
      <c r="K2627" s="2">
        <v>11.0</v>
      </c>
    </row>
    <row r="2628" spans="1:12">
      <c r="A2628" s="3" t="s">
        <v>2194</v>
      </c>
      <c r="B2628" s="3" t="s">
        <v>2526</v>
      </c>
      <c r="C2628" s="3" t="s">
        <v>2761</v>
      </c>
      <c r="D2628" s="3"/>
      <c r="E2628" s="2" t="str">
        <f>HYPERLINK("https://old.ukr-mobil.com/index.php?route=product&amp;product_id=10004689", "Перейти")</f>
        <v>Перейти</v>
      </c>
      <c r="F2628" s="2">
        <v>10004689</v>
      </c>
      <c r="G2628" s="4" t="s">
        <v>2764</v>
      </c>
      <c r="H2628" s="1">
        <v>0</v>
      </c>
      <c r="I2628" s="1">
        <v>0</v>
      </c>
      <c r="J2628" s="1">
        <v>0</v>
      </c>
      <c r="K2628" s="2">
        <v>17.0</v>
      </c>
    </row>
    <row r="2629" spans="1:12">
      <c r="A2629" s="3" t="s">
        <v>2194</v>
      </c>
      <c r="B2629" s="3" t="s">
        <v>2526</v>
      </c>
      <c r="C2629" s="3" t="s">
        <v>2761</v>
      </c>
      <c r="D2629" s="3"/>
      <c r="E2629" s="2" t="str">
        <f>HYPERLINK("https://old.ukr-mobil.com/index.php?route=product&amp;product_id=10004691", "Перейти")</f>
        <v>Перейти</v>
      </c>
      <c r="F2629" s="2">
        <v>10004691</v>
      </c>
      <c r="G2629" s="4" t="s">
        <v>2765</v>
      </c>
      <c r="H2629" s="1">
        <v>0</v>
      </c>
      <c r="I2629" s="1">
        <v>0</v>
      </c>
      <c r="J2629" s="1">
        <v>0</v>
      </c>
      <c r="K2629" s="2">
        <v>11.0</v>
      </c>
    </row>
    <row r="2630" spans="1:12">
      <c r="A2630" s="3" t="s">
        <v>2194</v>
      </c>
      <c r="B2630" s="3" t="s">
        <v>2526</v>
      </c>
      <c r="C2630" s="3" t="s">
        <v>2761</v>
      </c>
      <c r="D2630" s="3"/>
      <c r="E2630" s="2" t="str">
        <f>HYPERLINK("https://old.ukr-mobil.com/index.php?route=product&amp;product_id=10004694", "Перейти")</f>
        <v>Перейти</v>
      </c>
      <c r="F2630" s="2">
        <v>10004694</v>
      </c>
      <c r="G2630" s="4" t="s">
        <v>2766</v>
      </c>
      <c r="H2630" s="1">
        <v>0</v>
      </c>
      <c r="I2630" s="1">
        <v>0</v>
      </c>
      <c r="J2630" s="1">
        <v>0</v>
      </c>
      <c r="K2630" s="2">
        <v>12.0</v>
      </c>
    </row>
    <row r="2631" spans="1:12">
      <c r="A2631" s="3" t="s">
        <v>2194</v>
      </c>
      <c r="B2631" s="3" t="s">
        <v>2526</v>
      </c>
      <c r="C2631" s="3" t="s">
        <v>2761</v>
      </c>
      <c r="D2631" s="3"/>
      <c r="E2631" s="2" t="str">
        <f>HYPERLINK("https://old.ukr-mobil.com/index.php?route=product&amp;product_id=10004692", "Перейти")</f>
        <v>Перейти</v>
      </c>
      <c r="F2631" s="2">
        <v>10004692</v>
      </c>
      <c r="G2631" s="4" t="s">
        <v>2767</v>
      </c>
      <c r="H2631" s="1">
        <v>0</v>
      </c>
      <c r="I2631" s="1">
        <v>0</v>
      </c>
      <c r="J2631" s="1">
        <v>0</v>
      </c>
      <c r="K2631" s="2">
        <v>11.0</v>
      </c>
    </row>
    <row r="2632" spans="1:12">
      <c r="A2632" s="3" t="s">
        <v>2194</v>
      </c>
      <c r="B2632" s="3" t="s">
        <v>2526</v>
      </c>
      <c r="C2632" s="3" t="s">
        <v>2761</v>
      </c>
      <c r="D2632" s="3"/>
      <c r="E2632" s="2" t="str">
        <f>HYPERLINK("https://old.ukr-mobil.com/index.php?route=product&amp;product_id=10004687", "Перейти")</f>
        <v>Перейти</v>
      </c>
      <c r="F2632" s="2">
        <v>10004687</v>
      </c>
      <c r="G2632" s="4" t="s">
        <v>2768</v>
      </c>
      <c r="H2632" s="1">
        <v>0</v>
      </c>
      <c r="I2632" s="1">
        <v>0</v>
      </c>
      <c r="J2632" s="1">
        <v>0</v>
      </c>
      <c r="K2632" s="2">
        <v>11.0</v>
      </c>
    </row>
    <row r="2633" spans="1:12">
      <c r="A2633" s="3" t="s">
        <v>2194</v>
      </c>
      <c r="B2633" s="3" t="s">
        <v>2526</v>
      </c>
      <c r="C2633" s="3" t="s">
        <v>2761</v>
      </c>
      <c r="D2633" s="3"/>
      <c r="E2633" s="2" t="str">
        <f>HYPERLINK("https://old.ukr-mobil.com/index.php?route=product&amp;product_id=10004688", "Перейти")</f>
        <v>Перейти</v>
      </c>
      <c r="F2633" s="2">
        <v>10004688</v>
      </c>
      <c r="G2633" s="4" t="s">
        <v>2769</v>
      </c>
      <c r="H2633" s="1">
        <v>0</v>
      </c>
      <c r="I2633" s="1">
        <v>0</v>
      </c>
      <c r="J2633" s="1">
        <v>0</v>
      </c>
      <c r="K2633" s="2">
        <v>22.0</v>
      </c>
    </row>
    <row r="2634" spans="1:12">
      <c r="A2634" s="3" t="s">
        <v>2194</v>
      </c>
      <c r="B2634" s="3" t="s">
        <v>2526</v>
      </c>
      <c r="C2634" s="3" t="s">
        <v>2761</v>
      </c>
      <c r="D2634" s="3"/>
      <c r="E2634" s="2" t="str">
        <f>HYPERLINK("https://old.ukr-mobil.com/index.php?route=product&amp;product_id=10004697", "Перейти")</f>
        <v>Перейти</v>
      </c>
      <c r="F2634" s="2">
        <v>10004697</v>
      </c>
      <c r="G2634" s="4" t="s">
        <v>2770</v>
      </c>
      <c r="H2634" s="1">
        <v>3</v>
      </c>
      <c r="I2634" s="1">
        <v>4</v>
      </c>
      <c r="J2634" s="1">
        <v>2</v>
      </c>
      <c r="K2634" s="2">
        <v>8.5</v>
      </c>
    </row>
    <row r="2635" spans="1:12">
      <c r="A2635" s="3" t="s">
        <v>2194</v>
      </c>
      <c r="B2635" s="3" t="s">
        <v>2526</v>
      </c>
      <c r="C2635" s="3" t="s">
        <v>2761</v>
      </c>
      <c r="D2635" s="3"/>
      <c r="E2635" s="2" t="str">
        <f>HYPERLINK("https://old.ukr-mobil.com/index.php?route=product&amp;product_id=10004699", "Перейти")</f>
        <v>Перейти</v>
      </c>
      <c r="F2635" s="2">
        <v>10004699</v>
      </c>
      <c r="G2635" s="4" t="s">
        <v>2771</v>
      </c>
      <c r="H2635" s="1">
        <v>0</v>
      </c>
      <c r="I2635" s="1">
        <v>0</v>
      </c>
      <c r="J2635" s="1">
        <v>0</v>
      </c>
      <c r="K2635" s="2">
        <v>15.0</v>
      </c>
    </row>
    <row r="2636" spans="1:12">
      <c r="A2636" s="3" t="s">
        <v>2194</v>
      </c>
      <c r="B2636" s="3" t="s">
        <v>2526</v>
      </c>
      <c r="C2636" s="3" t="s">
        <v>2761</v>
      </c>
      <c r="D2636" s="3"/>
      <c r="E2636" s="2" t="str">
        <f>HYPERLINK("https://old.ukr-mobil.com/index.php?route=product&amp;product_id=10004690", "Перейти")</f>
        <v>Перейти</v>
      </c>
      <c r="F2636" s="2">
        <v>10004690</v>
      </c>
      <c r="G2636" s="4" t="s">
        <v>2772</v>
      </c>
      <c r="H2636" s="1">
        <v>0</v>
      </c>
      <c r="I2636" s="1">
        <v>2</v>
      </c>
      <c r="J2636" s="1">
        <v>0</v>
      </c>
      <c r="K2636" s="2">
        <v>37.0</v>
      </c>
    </row>
    <row r="2637" spans="1:12">
      <c r="A2637" s="3" t="s">
        <v>2194</v>
      </c>
      <c r="B2637" s="3" t="s">
        <v>2526</v>
      </c>
      <c r="C2637" s="3" t="s">
        <v>2761</v>
      </c>
      <c r="D2637" s="3"/>
      <c r="E2637" s="2" t="str">
        <f>HYPERLINK("https://old.ukr-mobil.com/index.php?route=product&amp;product_id=10004693", "Перейти")</f>
        <v>Перейти</v>
      </c>
      <c r="F2637" s="2">
        <v>10004693</v>
      </c>
      <c r="G2637" s="4" t="s">
        <v>2773</v>
      </c>
      <c r="H2637" s="1">
        <v>0</v>
      </c>
      <c r="I2637" s="1">
        <v>0</v>
      </c>
      <c r="J2637" s="1">
        <v>0</v>
      </c>
      <c r="K2637" s="2">
        <v>12.0</v>
      </c>
    </row>
    <row r="2638" spans="1:12">
      <c r="A2638" s="3" t="s">
        <v>2194</v>
      </c>
      <c r="B2638" s="3" t="s">
        <v>2526</v>
      </c>
      <c r="C2638" s="3" t="s">
        <v>2761</v>
      </c>
      <c r="D2638" s="3"/>
      <c r="E2638" s="2" t="str">
        <f>HYPERLINK("https://old.ukr-mobil.com/index.php?route=product&amp;product_id=10004698", "Перейти")</f>
        <v>Перейти</v>
      </c>
      <c r="F2638" s="2">
        <v>10004698</v>
      </c>
      <c r="G2638" s="4" t="s">
        <v>2774</v>
      </c>
      <c r="H2638" s="1">
        <v>0</v>
      </c>
      <c r="I2638" s="1">
        <v>1</v>
      </c>
      <c r="J2638" s="1">
        <v>1</v>
      </c>
      <c r="K2638" s="2">
        <v>19.0</v>
      </c>
    </row>
    <row r="2639" spans="1:12">
      <c r="A2639" s="3" t="s">
        <v>2194</v>
      </c>
      <c r="B2639" s="3" t="s">
        <v>2526</v>
      </c>
      <c r="C2639" s="3" t="s">
        <v>2761</v>
      </c>
      <c r="D2639" s="3"/>
      <c r="E2639" s="2" t="str">
        <f>HYPERLINK("https://old.ukr-mobil.com/index.php?route=product&amp;product_id=10004700", "Перейти")</f>
        <v>Перейти</v>
      </c>
      <c r="F2639" s="2">
        <v>10004700</v>
      </c>
      <c r="G2639" s="4" t="s">
        <v>2775</v>
      </c>
      <c r="H2639" s="1">
        <v>3</v>
      </c>
      <c r="I2639" s="1">
        <v>3</v>
      </c>
      <c r="J2639" s="1">
        <v>3</v>
      </c>
      <c r="K2639" s="2">
        <v>34.0</v>
      </c>
    </row>
    <row r="2640" spans="1:12">
      <c r="A2640" s="3" t="s">
        <v>2194</v>
      </c>
      <c r="B2640" s="3" t="s">
        <v>2526</v>
      </c>
      <c r="C2640" s="3" t="s">
        <v>1056</v>
      </c>
      <c r="D2640" s="3"/>
      <c r="E2640" s="2" t="str">
        <f>HYPERLINK("https://old.ukr-mobil.com/index.php?route=product&amp;product_id=10004737", "Перейти")</f>
        <v>Перейти</v>
      </c>
      <c r="F2640" s="2">
        <v>10004737</v>
      </c>
      <c r="G2640" s="4" t="s">
        <v>2776</v>
      </c>
      <c r="H2640" s="1">
        <v>4</v>
      </c>
      <c r="I2640" s="1">
        <v>1</v>
      </c>
      <c r="J2640" s="1">
        <v>1</v>
      </c>
      <c r="K2640" s="2">
        <v>120.0</v>
      </c>
    </row>
    <row r="2641" spans="1:12">
      <c r="A2641" s="3" t="s">
        <v>2194</v>
      </c>
      <c r="B2641" s="3" t="s">
        <v>2526</v>
      </c>
      <c r="C2641" s="3" t="s">
        <v>1056</v>
      </c>
      <c r="D2641" s="3"/>
      <c r="E2641" s="2" t="str">
        <f>HYPERLINK("https://old.ukr-mobil.com/displej_lg_g8_thinq_g820_s_tachskrinom_original_prc_black_10001500", "Перейти")</f>
        <v>Перейти</v>
      </c>
      <c r="F2641" s="2">
        <v>10001500</v>
      </c>
      <c r="G2641" s="4" t="s">
        <v>2777</v>
      </c>
      <c r="H2641" s="1">
        <v>4</v>
      </c>
      <c r="I2641" s="1">
        <v>0</v>
      </c>
      <c r="J2641" s="1">
        <v>1</v>
      </c>
      <c r="K2641" s="2">
        <v>59.0</v>
      </c>
    </row>
    <row r="2642" spans="1:12">
      <c r="A2642" s="3" t="s">
        <v>2194</v>
      </c>
      <c r="B2642" s="3" t="s">
        <v>2526</v>
      </c>
      <c r="C2642" s="3" t="s">
        <v>1056</v>
      </c>
      <c r="D2642" s="3"/>
      <c r="E2642" s="2" t="str">
        <f>HYPERLINK("https://old.ukr-mobil.com/displej_lg_g8x_thinq_g850_s_tachskrinom_original_prc_black_10001407", "Перейти")</f>
        <v>Перейти</v>
      </c>
      <c r="F2642" s="2">
        <v>10001407</v>
      </c>
      <c r="G2642" s="4" t="s">
        <v>2778</v>
      </c>
      <c r="H2642" s="1">
        <v>0</v>
      </c>
      <c r="I2642" s="1">
        <v>0</v>
      </c>
      <c r="J2642" s="1">
        <v>0</v>
      </c>
      <c r="K2642" s="2">
        <v>28.0</v>
      </c>
    </row>
    <row r="2643" spans="1:12">
      <c r="A2643" s="3" t="s">
        <v>2194</v>
      </c>
      <c r="B2643" s="3" t="s">
        <v>2526</v>
      </c>
      <c r="C2643" s="3" t="s">
        <v>1056</v>
      </c>
      <c r="D2643" s="3"/>
      <c r="E2643" s="2" t="str">
        <f>HYPERLINK("https://old.ukr-mobil.com/index.php?route=product&amp;product_id=10004736", "Перейти")</f>
        <v>Перейти</v>
      </c>
      <c r="F2643" s="2">
        <v>10004736</v>
      </c>
      <c r="G2643" s="4" t="s">
        <v>2779</v>
      </c>
      <c r="H2643" s="1">
        <v>2</v>
      </c>
      <c r="I2643" s="1">
        <v>0</v>
      </c>
      <c r="J2643" s="1">
        <v>0</v>
      </c>
      <c r="K2643" s="2">
        <v>35.0</v>
      </c>
    </row>
    <row r="2644" spans="1:12">
      <c r="A2644" s="3" t="s">
        <v>2194</v>
      </c>
      <c r="B2644" s="3" t="s">
        <v>2526</v>
      </c>
      <c r="C2644" s="3" t="s">
        <v>1056</v>
      </c>
      <c r="D2644" s="3"/>
      <c r="E2644" s="2" t="str">
        <f>HYPERLINK("https://old.ukr-mobil.com/displej_lg_h502f_magna_y90_s_tachskrinom_black_5893", "Перейти")</f>
        <v>Перейти</v>
      </c>
      <c r="F2644" s="2">
        <v>5893</v>
      </c>
      <c r="G2644" s="4" t="s">
        <v>2780</v>
      </c>
      <c r="H2644" s="1">
        <v>1</v>
      </c>
      <c r="I2644" s="1">
        <v>0</v>
      </c>
      <c r="J2644" s="1">
        <v>0</v>
      </c>
      <c r="K2644" s="2">
        <v>16.2</v>
      </c>
    </row>
    <row r="2645" spans="1:12">
      <c r="A2645" s="3" t="s">
        <v>2194</v>
      </c>
      <c r="B2645" s="3" t="s">
        <v>2526</v>
      </c>
      <c r="C2645" s="3" t="s">
        <v>1056</v>
      </c>
      <c r="D2645" s="3"/>
      <c r="E2645" s="2" t="str">
        <f>HYPERLINK("https://old.ukr-mobil.com/displej_lg_k20_2019_s_tachskrinom_original_prc_black_10000592", "Перейти")</f>
        <v>Перейти</v>
      </c>
      <c r="F2645" s="2">
        <v>10000592</v>
      </c>
      <c r="G2645" s="4" t="s">
        <v>2781</v>
      </c>
      <c r="H2645" s="1">
        <v>1</v>
      </c>
      <c r="I2645" s="1">
        <v>0</v>
      </c>
      <c r="J2645" s="1">
        <v>0</v>
      </c>
      <c r="K2645" s="2">
        <v>20.0</v>
      </c>
    </row>
    <row r="2646" spans="1:12">
      <c r="A2646" s="3" t="s">
        <v>2194</v>
      </c>
      <c r="B2646" s="3" t="s">
        <v>2526</v>
      </c>
      <c r="C2646" s="3" t="s">
        <v>1056</v>
      </c>
      <c r="D2646" s="3"/>
      <c r="E2646" s="2" t="str">
        <f>HYPERLINK("https://old.ukr-mobil.com/displej_lg_k30_2019_s_tachskrinom_original_prc_black_10000593", "Перейти")</f>
        <v>Перейти</v>
      </c>
      <c r="F2646" s="2">
        <v>10000593</v>
      </c>
      <c r="G2646" s="4" t="s">
        <v>2782</v>
      </c>
      <c r="H2646" s="1">
        <v>2</v>
      </c>
      <c r="I2646" s="1">
        <v>2</v>
      </c>
      <c r="J2646" s="1">
        <v>1</v>
      </c>
      <c r="K2646" s="2">
        <v>17.0</v>
      </c>
    </row>
    <row r="2647" spans="1:12">
      <c r="A2647" s="3" t="s">
        <v>2194</v>
      </c>
      <c r="B2647" s="3" t="s">
        <v>2526</v>
      </c>
      <c r="C2647" s="3" t="s">
        <v>1056</v>
      </c>
      <c r="D2647" s="3"/>
      <c r="E2647" s="2" t="str">
        <f>HYPERLINK("https://old.ukr-mobil.com/displej_lg_q610_q7_plus_s_tachskrinom_original_prc_black_11404", "Перейти")</f>
        <v>Перейти</v>
      </c>
      <c r="F2647" s="2">
        <v>11404</v>
      </c>
      <c r="G2647" s="4" t="s">
        <v>2783</v>
      </c>
      <c r="H2647" s="1">
        <v>1</v>
      </c>
      <c r="I2647" s="1">
        <v>0</v>
      </c>
      <c r="J2647" s="1">
        <v>0</v>
      </c>
      <c r="K2647" s="2">
        <v>24.0</v>
      </c>
    </row>
    <row r="2648" spans="1:12">
      <c r="A2648" s="3" t="s">
        <v>2194</v>
      </c>
      <c r="B2648" s="3" t="s">
        <v>2526</v>
      </c>
      <c r="C2648" s="3" t="s">
        <v>1056</v>
      </c>
      <c r="D2648" s="3"/>
      <c r="E2648" s="2" t="str">
        <f>HYPERLINK("https://old.ukr-mobil.com/displej_lg_q710_q_stylus_s_tachskrinom_black_11403", "Перейти")</f>
        <v>Перейти</v>
      </c>
      <c r="F2648" s="2">
        <v>11403</v>
      </c>
      <c r="G2648" s="4" t="s">
        <v>2784</v>
      </c>
      <c r="H2648" s="1">
        <v>0</v>
      </c>
      <c r="I2648" s="1">
        <v>0</v>
      </c>
      <c r="J2648" s="1">
        <v>0</v>
      </c>
      <c r="K2648" s="2">
        <v>19.25</v>
      </c>
    </row>
    <row r="2649" spans="1:12">
      <c r="A2649" s="3" t="s">
        <v>2194</v>
      </c>
      <c r="B2649" s="3" t="s">
        <v>2526</v>
      </c>
      <c r="C2649" s="3" t="s">
        <v>1056</v>
      </c>
      <c r="D2649" s="3"/>
      <c r="E2649" s="2" t="str">
        <f>HYPERLINK("https://old.ukr-mobil.com/displej_lg_v30_h930ds_s_tachskrinom_original_black_9997", "Перейти")</f>
        <v>Перейти</v>
      </c>
      <c r="F2649" s="2">
        <v>9997</v>
      </c>
      <c r="G2649" s="4" t="s">
        <v>2785</v>
      </c>
      <c r="H2649" s="1">
        <v>0</v>
      </c>
      <c r="I2649" s="1">
        <v>0</v>
      </c>
      <c r="J2649" s="1">
        <v>0</v>
      </c>
      <c r="K2649" s="2">
        <v>52.0</v>
      </c>
    </row>
    <row r="2650" spans="1:12">
      <c r="A2650" s="3" t="s">
        <v>2194</v>
      </c>
      <c r="B2650" s="3" t="s">
        <v>2526</v>
      </c>
      <c r="C2650" s="3" t="s">
        <v>1056</v>
      </c>
      <c r="D2650" s="3"/>
      <c r="E2650" s="2" t="str">
        <f>HYPERLINK("https://old.ukr-mobil.com/displej_lg_v50_thinq_v500n_s_tachskrinom_original_prc_black_10001501", "Перейти")</f>
        <v>Перейти</v>
      </c>
      <c r="F2650" s="2">
        <v>10001501</v>
      </c>
      <c r="G2650" s="4" t="s">
        <v>2786</v>
      </c>
      <c r="H2650" s="1">
        <v>0</v>
      </c>
      <c r="I2650" s="1">
        <v>0</v>
      </c>
      <c r="J2650" s="1">
        <v>0</v>
      </c>
      <c r="K2650" s="2">
        <v>35.0</v>
      </c>
    </row>
    <row r="2651" spans="1:12">
      <c r="A2651" s="3" t="s">
        <v>2194</v>
      </c>
      <c r="B2651" s="3" t="s">
        <v>2526</v>
      </c>
      <c r="C2651" s="3" t="s">
        <v>1056</v>
      </c>
      <c r="D2651" s="3"/>
      <c r="E2651" s="2" t="str">
        <f>HYPERLINK("https://old.ukr-mobil.com/displej_lg_v60_thinq_v600am_s_tachskrinom_original_black_10002074", "Перейти")</f>
        <v>Перейти</v>
      </c>
      <c r="F2651" s="2">
        <v>10002074</v>
      </c>
      <c r="G2651" s="4" t="s">
        <v>2787</v>
      </c>
      <c r="H2651" s="1">
        <v>0</v>
      </c>
      <c r="I2651" s="1">
        <v>0</v>
      </c>
      <c r="J2651" s="1">
        <v>0</v>
      </c>
      <c r="K2651" s="2">
        <v>39.0</v>
      </c>
    </row>
    <row r="2652" spans="1:12">
      <c r="A2652" s="3" t="s">
        <v>2194</v>
      </c>
      <c r="B2652" s="3" t="s">
        <v>2526</v>
      </c>
      <c r="C2652" s="3" t="s">
        <v>1059</v>
      </c>
      <c r="D2652" s="3"/>
      <c r="E2652" s="2" t="str">
        <f>HYPERLINK("https://old.ukr-mobil.com/displej_meizu_m3_meizu_m3_mini_s_tachskrinom_black_7203", "Перейти")</f>
        <v>Перейти</v>
      </c>
      <c r="F2652" s="2">
        <v>7203</v>
      </c>
      <c r="G2652" s="4" t="s">
        <v>2788</v>
      </c>
      <c r="H2652" s="1">
        <v>3</v>
      </c>
      <c r="I2652" s="1">
        <v>0</v>
      </c>
      <c r="J2652" s="1">
        <v>0</v>
      </c>
      <c r="K2652" s="2">
        <v>10.0</v>
      </c>
    </row>
    <row r="2653" spans="1:12">
      <c r="A2653" s="3" t="s">
        <v>2194</v>
      </c>
      <c r="B2653" s="3" t="s">
        <v>2526</v>
      </c>
      <c r="C2653" s="3" t="s">
        <v>1059</v>
      </c>
      <c r="D2653" s="3"/>
      <c r="E2653" s="2" t="str">
        <f>HYPERLINK("https://old.ukr-mobil.com/displej_meizu_m3_meizu_m3_mini_s_tachskrinom_white_7204", "Перейти")</f>
        <v>Перейти</v>
      </c>
      <c r="F2653" s="2">
        <v>7204</v>
      </c>
      <c r="G2653" s="4" t="s">
        <v>2789</v>
      </c>
      <c r="H2653" s="1">
        <v>1</v>
      </c>
      <c r="I2653" s="1">
        <v>0</v>
      </c>
      <c r="J2653" s="1">
        <v>1</v>
      </c>
      <c r="K2653" s="2">
        <v>10.0</v>
      </c>
    </row>
    <row r="2654" spans="1:12">
      <c r="A2654" s="3" t="s">
        <v>2194</v>
      </c>
      <c r="B2654" s="3" t="s">
        <v>2526</v>
      </c>
      <c r="C2654" s="3" t="s">
        <v>1059</v>
      </c>
      <c r="D2654" s="3"/>
      <c r="E2654" s="2" t="str">
        <f>HYPERLINK("https://old.ukr-mobil.com/displej_meizu_m6s_s_tachskrinom_black_10180", "Перейти")</f>
        <v>Перейти</v>
      </c>
      <c r="F2654" s="2">
        <v>10180</v>
      </c>
      <c r="G2654" s="4" t="s">
        <v>2790</v>
      </c>
      <c r="H2654" s="1">
        <v>0</v>
      </c>
      <c r="I2654" s="1">
        <v>0</v>
      </c>
      <c r="J2654" s="1">
        <v>0</v>
      </c>
      <c r="K2654" s="2">
        <v>17.0</v>
      </c>
    </row>
    <row r="2655" spans="1:12">
      <c r="A2655" s="3" t="s">
        <v>2194</v>
      </c>
      <c r="B2655" s="3" t="s">
        <v>2526</v>
      </c>
      <c r="C2655" s="3" t="s">
        <v>1059</v>
      </c>
      <c r="D2655" s="3"/>
      <c r="E2655" s="2" t="str">
        <f>HYPERLINK("https://old.ukr-mobil.com/displej_meizu_m8_note_note_8_s_tachskrinom_high_copy_black_11884", "Перейти")</f>
        <v>Перейти</v>
      </c>
      <c r="F2655" s="2">
        <v>11884</v>
      </c>
      <c r="G2655" s="4" t="s">
        <v>2791</v>
      </c>
      <c r="H2655" s="1">
        <v>11</v>
      </c>
      <c r="I2655" s="1">
        <v>6</v>
      </c>
      <c r="J2655" s="1">
        <v>7</v>
      </c>
      <c r="K2655" s="2">
        <v>20.0</v>
      </c>
    </row>
    <row r="2656" spans="1:12">
      <c r="A2656" s="3" t="s">
        <v>2194</v>
      </c>
      <c r="B2656" s="3" t="s">
        <v>2526</v>
      </c>
      <c r="C2656" s="3" t="s">
        <v>1059</v>
      </c>
      <c r="D2656" s="3"/>
      <c r="E2656" s="2" t="str">
        <f>HYPERLINK("https://old.ukr-mobil.com/displej_meizu_m8_m8_lite_v8_v8_pro_s_tachskrinom_high_copy_black_11886", "Перейти")</f>
        <v>Перейти</v>
      </c>
      <c r="F2656" s="2">
        <v>11886</v>
      </c>
      <c r="G2656" s="4" t="s">
        <v>2792</v>
      </c>
      <c r="H2656" s="1">
        <v>2</v>
      </c>
      <c r="I2656" s="1">
        <v>3</v>
      </c>
      <c r="J2656" s="1">
        <v>0</v>
      </c>
      <c r="K2656" s="2">
        <v>19.0</v>
      </c>
    </row>
    <row r="2657" spans="1:12">
      <c r="A2657" s="3" t="s">
        <v>2194</v>
      </c>
      <c r="B2657" s="3" t="s">
        <v>2526</v>
      </c>
      <c r="C2657" s="3" t="s">
        <v>1059</v>
      </c>
      <c r="D2657" s="3"/>
      <c r="E2657" s="2" t="str">
        <f>HYPERLINK("https://old.ukr-mobil.com/displej_meizu_pro_7_s_tachskrinom_original_prc_black_10343", "Перейти")</f>
        <v>Перейти</v>
      </c>
      <c r="F2657" s="2">
        <v>10343</v>
      </c>
      <c r="G2657" s="4" t="s">
        <v>2793</v>
      </c>
      <c r="H2657" s="1">
        <v>1</v>
      </c>
      <c r="I2657" s="1">
        <v>0</v>
      </c>
      <c r="J2657" s="1">
        <v>0</v>
      </c>
      <c r="K2657" s="2">
        <v>42.0</v>
      </c>
    </row>
    <row r="2658" spans="1:12">
      <c r="A2658" s="3" t="s">
        <v>2194</v>
      </c>
      <c r="B2658" s="3" t="s">
        <v>2526</v>
      </c>
      <c r="C2658" s="3" t="s">
        <v>1068</v>
      </c>
      <c r="D2658" s="3"/>
      <c r="E2658" s="2" t="str">
        <f>HYPERLINK("https://old.ukr-mobil.com/displej_motorola_droid_mini_xt1030_s_tachskrinom_5303", "Перейти")</f>
        <v>Перейти</v>
      </c>
      <c r="F2658" s="2">
        <v>5303</v>
      </c>
      <c r="G2658" s="4" t="s">
        <v>2794</v>
      </c>
      <c r="H2658" s="1">
        <v>1</v>
      </c>
      <c r="I2658" s="1">
        <v>0</v>
      </c>
      <c r="J2658" s="1">
        <v>0</v>
      </c>
      <c r="K2658" s="2">
        <v>10.5</v>
      </c>
    </row>
    <row r="2659" spans="1:12">
      <c r="A2659" s="3" t="s">
        <v>2194</v>
      </c>
      <c r="B2659" s="3" t="s">
        <v>2526</v>
      </c>
      <c r="C2659" s="3" t="s">
        <v>1068</v>
      </c>
      <c r="D2659" s="3"/>
      <c r="E2659" s="2" t="str">
        <f>HYPERLINK("https://old.ukr-mobil.com/index.php?route=product&amp;product_id=10004682", "Перейти")</f>
        <v>Перейти</v>
      </c>
      <c r="F2659" s="2">
        <v>10004682</v>
      </c>
      <c r="G2659" s="4" t="s">
        <v>2795</v>
      </c>
      <c r="H2659" s="1">
        <v>9</v>
      </c>
      <c r="I2659" s="1">
        <v>1</v>
      </c>
      <c r="J2659" s="1">
        <v>0</v>
      </c>
      <c r="K2659" s="2">
        <v>15.0</v>
      </c>
    </row>
    <row r="2660" spans="1:12">
      <c r="A2660" s="3" t="s">
        <v>2194</v>
      </c>
      <c r="B2660" s="3" t="s">
        <v>2526</v>
      </c>
      <c r="C2660" s="3" t="s">
        <v>1068</v>
      </c>
      <c r="D2660" s="3"/>
      <c r="E2660" s="2" t="str">
        <f>HYPERLINK("https://old.ukr-mobil.com/displej_motorola_xt2155-1_xt2155-3_xt2155_moto_e20_s_tachskrinom_original_prc_black_10002428", "Перейти")</f>
        <v>Перейти</v>
      </c>
      <c r="F2660" s="2">
        <v>10002428</v>
      </c>
      <c r="G2660" s="4" t="s">
        <v>2796</v>
      </c>
      <c r="H2660" s="1">
        <v>20</v>
      </c>
      <c r="I2660" s="1">
        <v>10</v>
      </c>
      <c r="J2660" s="1">
        <v>0</v>
      </c>
      <c r="K2660" s="2">
        <v>12.0</v>
      </c>
    </row>
    <row r="2661" spans="1:12">
      <c r="A2661" s="3" t="s">
        <v>2194</v>
      </c>
      <c r="B2661" s="3" t="s">
        <v>2526</v>
      </c>
      <c r="C2661" s="3" t="s">
        <v>1068</v>
      </c>
      <c r="D2661" s="3"/>
      <c r="E2661" s="2" t="str">
        <f>HYPERLINK("https://old.ukr-mobil.com/displej_motorola_e20_xt2155_s_tachskrinom_s_ramkoyu_original_prc_black_10004537", "Перейти")</f>
        <v>Перейти</v>
      </c>
      <c r="F2661" s="2">
        <v>10004537</v>
      </c>
      <c r="G2661" s="4" t="s">
        <v>2797</v>
      </c>
      <c r="H2661" s="1">
        <v>4</v>
      </c>
      <c r="I2661" s="1">
        <v>3</v>
      </c>
      <c r="J2661" s="1">
        <v>3</v>
      </c>
      <c r="K2661" s="2">
        <v>13.85</v>
      </c>
    </row>
    <row r="2662" spans="1:12">
      <c r="A2662" s="3" t="s">
        <v>2194</v>
      </c>
      <c r="B2662" s="3" t="s">
        <v>2526</v>
      </c>
      <c r="C2662" s="3" t="s">
        <v>1068</v>
      </c>
      <c r="D2662" s="3"/>
      <c r="E2662" s="2" t="str">
        <f>HYPERLINK("https://old.ukr-mobil.com/displej_motorola_e30_xt2159_e40_xt2158-6_s_tachskrinom_original_prc_black_10003261", "Перейти")</f>
        <v>Перейти</v>
      </c>
      <c r="F2662" s="2">
        <v>10003261</v>
      </c>
      <c r="G2662" s="4" t="s">
        <v>2798</v>
      </c>
      <c r="H2662" s="1">
        <v>0</v>
      </c>
      <c r="I2662" s="1">
        <v>0</v>
      </c>
      <c r="J2662" s="1">
        <v>0</v>
      </c>
      <c r="K2662" s="2">
        <v>20.0</v>
      </c>
    </row>
    <row r="2663" spans="1:12">
      <c r="A2663" s="3" t="s">
        <v>2194</v>
      </c>
      <c r="B2663" s="3" t="s">
        <v>2526</v>
      </c>
      <c r="C2663" s="3" t="s">
        <v>1068</v>
      </c>
      <c r="D2663" s="3"/>
      <c r="E2663" s="2" t="str">
        <f>HYPERLINK("https://old.ukr-mobil.com/displej_motorola_xt2053_moto_e6s_s_tachskrinom_original_prc_black_10001928", "Перейти")</f>
        <v>Перейти</v>
      </c>
      <c r="F2663" s="2">
        <v>10001928</v>
      </c>
      <c r="G2663" s="4" t="s">
        <v>2799</v>
      </c>
      <c r="H2663" s="1">
        <v>0</v>
      </c>
      <c r="I2663" s="1">
        <v>0</v>
      </c>
      <c r="J2663" s="1">
        <v>0</v>
      </c>
      <c r="K2663" s="2">
        <v>15.5</v>
      </c>
    </row>
    <row r="2664" spans="1:12">
      <c r="A2664" s="3" t="s">
        <v>2194</v>
      </c>
      <c r="B2664" s="3" t="s">
        <v>2526</v>
      </c>
      <c r="C2664" s="3" t="s">
        <v>1068</v>
      </c>
      <c r="D2664" s="3"/>
      <c r="E2664" s="2" t="str">
        <f>HYPERLINK("https://old.ukr-mobil.com/displej_motorola_xt2095_moto_e7_moto_e7_power_moto_e7i_power_s_tachskrinom_original_prc_black_10001930", "Перейти")</f>
        <v>Перейти</v>
      </c>
      <c r="F2664" s="2">
        <v>10001930</v>
      </c>
      <c r="G2664" s="4" t="s">
        <v>2800</v>
      </c>
      <c r="H2664" s="1">
        <v>26</v>
      </c>
      <c r="I2664" s="1">
        <v>12</v>
      </c>
      <c r="J2664" s="1">
        <v>0</v>
      </c>
      <c r="K2664" s="2">
        <v>9.65</v>
      </c>
    </row>
    <row r="2665" spans="1:12">
      <c r="A2665" s="3" t="s">
        <v>2194</v>
      </c>
      <c r="B2665" s="3" t="s">
        <v>2526</v>
      </c>
      <c r="C2665" s="3" t="s">
        <v>1068</v>
      </c>
      <c r="D2665" s="3"/>
      <c r="E2665" s="2" t="str">
        <f>HYPERLINK("https://old.ukr-mobil.com/displej_motorola_e7_xt2095_s_tachskrinom_s_ramkoj_original_prc_black_10002564", "Перейти")</f>
        <v>Перейти</v>
      </c>
      <c r="F2665" s="2">
        <v>10002564</v>
      </c>
      <c r="G2665" s="4" t="s">
        <v>2801</v>
      </c>
      <c r="H2665" s="1">
        <v>24</v>
      </c>
      <c r="I2665" s="1">
        <v>12</v>
      </c>
      <c r="J2665" s="1">
        <v>10</v>
      </c>
      <c r="K2665" s="2">
        <v>12.0</v>
      </c>
    </row>
    <row r="2666" spans="1:12">
      <c r="A2666" s="3" t="s">
        <v>2194</v>
      </c>
      <c r="B2666" s="3" t="s">
        <v>2526</v>
      </c>
      <c r="C2666" s="3" t="s">
        <v>1068</v>
      </c>
      <c r="D2666" s="3"/>
      <c r="E2666" s="2" t="str">
        <f>HYPERLINK("https://old.ukr-mobil.com/displej_motorola_xt2081_moto_e7_plus_xt2083_moto_g9_play_s_tachskrinom_original_prc_black_10001931", "Перейти")</f>
        <v>Перейти</v>
      </c>
      <c r="F2666" s="2">
        <v>10001931</v>
      </c>
      <c r="G2666" s="4" t="s">
        <v>2802</v>
      </c>
      <c r="H2666" s="1">
        <v>19</v>
      </c>
      <c r="I2666" s="1">
        <v>5</v>
      </c>
      <c r="J2666" s="1">
        <v>4</v>
      </c>
      <c r="K2666" s="2">
        <v>17.0</v>
      </c>
    </row>
    <row r="2667" spans="1:12">
      <c r="A2667" s="3" t="s">
        <v>2194</v>
      </c>
      <c r="B2667" s="3" t="s">
        <v>2526</v>
      </c>
      <c r="C2667" s="3" t="s">
        <v>1068</v>
      </c>
      <c r="D2667" s="3"/>
      <c r="E2667" s="2" t="str">
        <f>HYPERLINK("https://old.ukr-mobil.com/displej_motorola_e7_plus_xt2081_g9_play_xt2083_s_tachskrinom_s_ramkoyu_original_prc_black_10004514", "Перейти")</f>
        <v>Перейти</v>
      </c>
      <c r="F2667" s="2">
        <v>10004514</v>
      </c>
      <c r="G2667" s="4" t="s">
        <v>2803</v>
      </c>
      <c r="H2667" s="1">
        <v>0</v>
      </c>
      <c r="I2667" s="1">
        <v>0</v>
      </c>
      <c r="J2667" s="1">
        <v>0</v>
      </c>
      <c r="K2667" s="2">
        <v>11.5</v>
      </c>
    </row>
    <row r="2668" spans="1:12">
      <c r="A2668" s="3" t="s">
        <v>2194</v>
      </c>
      <c r="B2668" s="3" t="s">
        <v>2526</v>
      </c>
      <c r="C2668" s="3" t="s">
        <v>1068</v>
      </c>
      <c r="D2668" s="3"/>
      <c r="E2668" s="2" t="str">
        <f>HYPERLINK("https://old.ukr-mobil.com/displej_motorola_e7_power_xt2097_e7i_power_s_tachskrinom_s_ramkoj_original_prc_black_10002563", "Перейти")</f>
        <v>Перейти</v>
      </c>
      <c r="F2668" s="2">
        <v>10002563</v>
      </c>
      <c r="G2668" s="4" t="s">
        <v>2804</v>
      </c>
      <c r="H2668" s="1">
        <v>0</v>
      </c>
      <c r="I2668" s="1">
        <v>0</v>
      </c>
      <c r="J2668" s="1">
        <v>0</v>
      </c>
      <c r="K2668" s="2">
        <v>12.65</v>
      </c>
    </row>
    <row r="2669" spans="1:12">
      <c r="A2669" s="3" t="s">
        <v>2194</v>
      </c>
      <c r="B2669" s="3" t="s">
        <v>2526</v>
      </c>
      <c r="C2669" s="3" t="s">
        <v>1068</v>
      </c>
      <c r="D2669" s="3"/>
      <c r="E2669" s="2" t="str">
        <f>HYPERLINK("https://old.ukr-mobil.com/displej_motorola_edge_20_lite_xt2139-1_s_tachskrinom_original_prc_black_10003260", "Перейти")</f>
        <v>Перейти</v>
      </c>
      <c r="F2669" s="2">
        <v>10003260</v>
      </c>
      <c r="G2669" s="4" t="s">
        <v>2805</v>
      </c>
      <c r="H2669" s="1">
        <v>5</v>
      </c>
      <c r="I2669" s="1">
        <v>2</v>
      </c>
      <c r="J2669" s="1">
        <v>1</v>
      </c>
      <c r="K2669" s="2">
        <v>70.0</v>
      </c>
    </row>
    <row r="2670" spans="1:12">
      <c r="A2670" s="3" t="s">
        <v>2194</v>
      </c>
      <c r="B2670" s="3" t="s">
        <v>2526</v>
      </c>
      <c r="C2670" s="3" t="s">
        <v>1068</v>
      </c>
      <c r="D2670" s="3"/>
      <c r="E2670" s="2" t="str">
        <f>HYPERLINK("https://old.ukr-mobil.com/displej_motorola_edge_20_edge_20_pro_s_tachskrinom_original_prc_black_10002437", "Перейти")</f>
        <v>Перейти</v>
      </c>
      <c r="F2670" s="2">
        <v>10002437</v>
      </c>
      <c r="G2670" s="4" t="s">
        <v>2806</v>
      </c>
      <c r="H2670" s="1">
        <v>0</v>
      </c>
      <c r="I2670" s="1">
        <v>1</v>
      </c>
      <c r="J2670" s="1">
        <v>0</v>
      </c>
      <c r="K2670" s="2">
        <v>55.0</v>
      </c>
    </row>
    <row r="2671" spans="1:12">
      <c r="A2671" s="3" t="s">
        <v>2194</v>
      </c>
      <c r="B2671" s="3" t="s">
        <v>2526</v>
      </c>
      <c r="C2671" s="3" t="s">
        <v>1068</v>
      </c>
      <c r="D2671" s="3"/>
      <c r="E2671" s="2" t="str">
        <f>HYPERLINK("https://old.ukr-mobil.com/index.php?route=product&amp;product_id=10004681", "Перейти")</f>
        <v>Перейти</v>
      </c>
      <c r="F2671" s="2">
        <v>10004681</v>
      </c>
      <c r="G2671" s="4" t="s">
        <v>2807</v>
      </c>
      <c r="H2671" s="1">
        <v>7</v>
      </c>
      <c r="I2671" s="1">
        <v>2</v>
      </c>
      <c r="J2671" s="1">
        <v>1</v>
      </c>
      <c r="K2671" s="2">
        <v>67.0</v>
      </c>
    </row>
    <row r="2672" spans="1:12">
      <c r="A2672" s="3" t="s">
        <v>2194</v>
      </c>
      <c r="B2672" s="3" t="s">
        <v>2526</v>
      </c>
      <c r="C2672" s="3" t="s">
        <v>1068</v>
      </c>
      <c r="D2672" s="3"/>
      <c r="E2672" s="2" t="str">
        <f>HYPERLINK("https://old.ukr-mobil.com/index.php?route=product&amp;product_id=10004674", "Перейти")</f>
        <v>Перейти</v>
      </c>
      <c r="F2672" s="2">
        <v>10004674</v>
      </c>
      <c r="G2672" s="4" t="s">
        <v>2808</v>
      </c>
      <c r="H2672" s="1">
        <v>2</v>
      </c>
      <c r="I2672" s="1">
        <v>1</v>
      </c>
      <c r="J2672" s="1">
        <v>0</v>
      </c>
      <c r="K2672" s="2">
        <v>50.0</v>
      </c>
    </row>
    <row r="2673" spans="1:12">
      <c r="A2673" s="3" t="s">
        <v>2194</v>
      </c>
      <c r="B2673" s="3" t="s">
        <v>2526</v>
      </c>
      <c r="C2673" s="3" t="s">
        <v>1068</v>
      </c>
      <c r="D2673" s="3"/>
      <c r="E2673" s="2" t="str">
        <f>HYPERLINK("https://old.ukr-mobil.com/displej_motorola_xt2127_moto_g10_moto_g10_power_moto_g30_lenovo_k13_pro_s_tachskrinom_original_prc_black_10001927", "Перейти")</f>
        <v>Перейти</v>
      </c>
      <c r="F2673" s="2">
        <v>10001927</v>
      </c>
      <c r="G2673" s="4" t="s">
        <v>2809</v>
      </c>
      <c r="H2673" s="1">
        <v>20</v>
      </c>
      <c r="I2673" s="1">
        <v>14</v>
      </c>
      <c r="J2673" s="1">
        <v>9</v>
      </c>
      <c r="K2673" s="2">
        <v>13.0</v>
      </c>
    </row>
    <row r="2674" spans="1:12">
      <c r="A2674" s="3" t="s">
        <v>2194</v>
      </c>
      <c r="B2674" s="3" t="s">
        <v>2526</v>
      </c>
      <c r="C2674" s="3" t="s">
        <v>1068</v>
      </c>
      <c r="D2674" s="3"/>
      <c r="E2674" s="2" t="str">
        <f>HYPERLINK("https://old.ukr-mobil.com/displej_motorola_g10_xt2127_g10_power_g30_lenovo_k13_pro_s_tachskrinom_s_ramkoyu_original_prc_black_10004512", "Перейти")</f>
        <v>Перейти</v>
      </c>
      <c r="F2674" s="2">
        <v>10004512</v>
      </c>
      <c r="G2674" s="4" t="s">
        <v>2810</v>
      </c>
      <c r="H2674" s="1">
        <v>0</v>
      </c>
      <c r="I2674" s="1">
        <v>0</v>
      </c>
      <c r="J2674" s="1">
        <v>0</v>
      </c>
      <c r="K2674" s="2">
        <v>14.1</v>
      </c>
    </row>
    <row r="2675" spans="1:12">
      <c r="A2675" s="3" t="s">
        <v>2194</v>
      </c>
      <c r="B2675" s="3" t="s">
        <v>2526</v>
      </c>
      <c r="C2675" s="3" t="s">
        <v>1068</v>
      </c>
      <c r="D2675" s="3"/>
      <c r="E2675" s="2" t="str">
        <f>HYPERLINK("https://old.ukr-mobil.com/displej_motorola_g13_xt2331_g23_xt2333_s_tachskrinom_original_prc_black_10004314", "Перейти")</f>
        <v>Перейти</v>
      </c>
      <c r="F2675" s="2">
        <v>10004314</v>
      </c>
      <c r="G2675" s="4" t="s">
        <v>2811</v>
      </c>
      <c r="H2675" s="1">
        <v>15</v>
      </c>
      <c r="I2675" s="1">
        <v>5</v>
      </c>
      <c r="J2675" s="1">
        <v>8</v>
      </c>
      <c r="K2675" s="2">
        <v>11.5</v>
      </c>
    </row>
    <row r="2676" spans="1:12">
      <c r="A2676" s="3" t="s">
        <v>2194</v>
      </c>
      <c r="B2676" s="3" t="s">
        <v>2526</v>
      </c>
      <c r="C2676" s="3" t="s">
        <v>1068</v>
      </c>
      <c r="D2676" s="3"/>
      <c r="E2676" s="2" t="str">
        <f>HYPERLINK("https://old.ukr-mobil.com/displej_motorola_g22_xt2231_s_tachskrinom_original_prc_black_10002951", "Перейти")</f>
        <v>Перейти</v>
      </c>
      <c r="F2676" s="2">
        <v>10002951</v>
      </c>
      <c r="G2676" s="4" t="s">
        <v>2812</v>
      </c>
      <c r="H2676" s="1">
        <v>0</v>
      </c>
      <c r="I2676" s="1">
        <v>0</v>
      </c>
      <c r="J2676" s="1">
        <v>0</v>
      </c>
      <c r="K2676" s="2">
        <v>11.0</v>
      </c>
    </row>
    <row r="2677" spans="1:12">
      <c r="A2677" s="3" t="s">
        <v>2194</v>
      </c>
      <c r="B2677" s="3" t="s">
        <v>2526</v>
      </c>
      <c r="C2677" s="3" t="s">
        <v>1068</v>
      </c>
      <c r="D2677" s="3"/>
      <c r="E2677" s="2" t="str">
        <f>HYPERLINK("https://old.ukr-mobil.com/displej_motorola_g22_xt2231_s_tachskrinom_s_ramkoj_original_prc_black_10004316", "Перейти")</f>
        <v>Перейти</v>
      </c>
      <c r="F2677" s="2">
        <v>10004316</v>
      </c>
      <c r="G2677" s="4" t="s">
        <v>2813</v>
      </c>
      <c r="H2677" s="1">
        <v>0</v>
      </c>
      <c r="I2677" s="1">
        <v>0</v>
      </c>
      <c r="J2677" s="1">
        <v>0</v>
      </c>
      <c r="K2677" s="2">
        <v>18.0</v>
      </c>
    </row>
    <row r="2678" spans="1:12">
      <c r="A2678" s="3" t="s">
        <v>2194</v>
      </c>
      <c r="B2678" s="3" t="s">
        <v>2526</v>
      </c>
      <c r="C2678" s="3" t="s">
        <v>1068</v>
      </c>
      <c r="D2678" s="3"/>
      <c r="E2678" s="2" t="str">
        <f>HYPERLINK("https://old.ukr-mobil.com/displej_motorola_g31_xt2173-3_g41_xt2167-2_g71_s_tachskrinom_oled_black_10002448", "Перейти")</f>
        <v>Перейти</v>
      </c>
      <c r="F2678" s="2">
        <v>10002448</v>
      </c>
      <c r="G2678" s="4" t="s">
        <v>2814</v>
      </c>
      <c r="H2678" s="1">
        <v>5</v>
      </c>
      <c r="I2678" s="1">
        <v>4</v>
      </c>
      <c r="J2678" s="1">
        <v>3</v>
      </c>
      <c r="K2678" s="2">
        <v>37.0</v>
      </c>
    </row>
    <row r="2679" spans="1:12">
      <c r="A2679" s="3" t="s">
        <v>2194</v>
      </c>
      <c r="B2679" s="3" t="s">
        <v>2526</v>
      </c>
      <c r="C2679" s="3" t="s">
        <v>1068</v>
      </c>
      <c r="D2679" s="3"/>
      <c r="E2679" s="2" t="str">
        <f>HYPERLINK("https://old.ukr-mobil.com/index.php?route=product&amp;product_id=10004679", "Перейти")</f>
        <v>Перейти</v>
      </c>
      <c r="F2679" s="2">
        <v>10004679</v>
      </c>
      <c r="G2679" s="4" t="s">
        <v>2815</v>
      </c>
      <c r="H2679" s="1">
        <v>0</v>
      </c>
      <c r="I2679" s="1">
        <v>0</v>
      </c>
      <c r="J2679" s="1">
        <v>0</v>
      </c>
      <c r="K2679" s="2">
        <v>18.0</v>
      </c>
    </row>
    <row r="2680" spans="1:12">
      <c r="A2680" s="3" t="s">
        <v>2194</v>
      </c>
      <c r="B2680" s="3" t="s">
        <v>2526</v>
      </c>
      <c r="C2680" s="3" t="s">
        <v>1068</v>
      </c>
      <c r="D2680" s="3"/>
      <c r="E2680" s="2" t="str">
        <f>HYPERLINK("https://old.ukr-mobil.com/displej_motorola_g60_xt2135-2_xt2135_g40_fusion_s_tachskrinom_high_quality_black_10003891", "Перейти")</f>
        <v>Перейти</v>
      </c>
      <c r="F2680" s="2">
        <v>10003891</v>
      </c>
      <c r="G2680" s="4" t="s">
        <v>2816</v>
      </c>
      <c r="H2680" s="1">
        <v>0</v>
      </c>
      <c r="I2680" s="1">
        <v>0</v>
      </c>
      <c r="J2680" s="1">
        <v>0</v>
      </c>
      <c r="K2680" s="2">
        <v>18.75</v>
      </c>
    </row>
    <row r="2681" spans="1:12">
      <c r="A2681" s="3" t="s">
        <v>2194</v>
      </c>
      <c r="B2681" s="3" t="s">
        <v>2526</v>
      </c>
      <c r="C2681" s="3" t="s">
        <v>1068</v>
      </c>
      <c r="D2681" s="3"/>
      <c r="E2681" s="2" t="str">
        <f>HYPERLINK("https://old.ukr-mobil.com/displej_motorola_g60_xt2135-2_xt2135_g40_fusion_s_tachskrinom_original_prc_black_10002430", "Перейти")</f>
        <v>Перейти</v>
      </c>
      <c r="F2681" s="2">
        <v>10002430</v>
      </c>
      <c r="G2681" s="4" t="s">
        <v>2817</v>
      </c>
      <c r="H2681" s="1">
        <v>0</v>
      </c>
      <c r="I2681" s="1">
        <v>0</v>
      </c>
      <c r="J2681" s="1">
        <v>0</v>
      </c>
      <c r="K2681" s="2">
        <v>13.4</v>
      </c>
    </row>
    <row r="2682" spans="1:12">
      <c r="A2682" s="3" t="s">
        <v>2194</v>
      </c>
      <c r="B2682" s="3" t="s">
        <v>2526</v>
      </c>
      <c r="C2682" s="3" t="s">
        <v>1068</v>
      </c>
      <c r="D2682" s="3"/>
      <c r="E2682" s="2" t="str">
        <f>HYPERLINK("https://old.ukr-mobil.com/index.php?route=product&amp;product_id=10004678", "Перейти")</f>
        <v>Перейти</v>
      </c>
      <c r="F2682" s="2">
        <v>10004678</v>
      </c>
      <c r="G2682" s="4" t="s">
        <v>2818</v>
      </c>
      <c r="H2682" s="1">
        <v>0</v>
      </c>
      <c r="I2682" s="1">
        <v>0</v>
      </c>
      <c r="J2682" s="1">
        <v>0</v>
      </c>
      <c r="K2682" s="2">
        <v>42.0</v>
      </c>
    </row>
    <row r="2683" spans="1:12">
      <c r="A2683" s="3" t="s">
        <v>2194</v>
      </c>
      <c r="B2683" s="3" t="s">
        <v>2526</v>
      </c>
      <c r="C2683" s="3" t="s">
        <v>1068</v>
      </c>
      <c r="D2683" s="3"/>
      <c r="E2683" s="2" t="str">
        <f>HYPERLINK("https://old.ukr-mobil.com/displej_motorola_xt2045_moto_g8_s_tachskrinom_original_prc_black_10001047", "Перейти")</f>
        <v>Перейти</v>
      </c>
      <c r="F2683" s="2">
        <v>10001047</v>
      </c>
      <c r="G2683" s="4" t="s">
        <v>2819</v>
      </c>
      <c r="H2683" s="1">
        <v>0</v>
      </c>
      <c r="I2683" s="1">
        <v>0</v>
      </c>
      <c r="J2683" s="1">
        <v>0</v>
      </c>
      <c r="K2683" s="2">
        <v>11.75</v>
      </c>
    </row>
    <row r="2684" spans="1:12">
      <c r="A2684" s="3" t="s">
        <v>2194</v>
      </c>
      <c r="B2684" s="3" t="s">
        <v>2526</v>
      </c>
      <c r="C2684" s="3" t="s">
        <v>1068</v>
      </c>
      <c r="D2684" s="3"/>
      <c r="E2684" s="2" t="str">
        <f>HYPERLINK("https://old.ukr-mobil.com/displej_motorola_xt2015_moto_g8_play_s_tachskrinom_original_prc_black_10001048", "Перейти")</f>
        <v>Перейти</v>
      </c>
      <c r="F2684" s="2">
        <v>10001048</v>
      </c>
      <c r="G2684" s="4" t="s">
        <v>2820</v>
      </c>
      <c r="H2684" s="1">
        <v>2</v>
      </c>
      <c r="I2684" s="1">
        <v>2</v>
      </c>
      <c r="J2684" s="1">
        <v>1</v>
      </c>
      <c r="K2684" s="2">
        <v>13.5</v>
      </c>
    </row>
    <row r="2685" spans="1:12">
      <c r="A2685" s="3" t="s">
        <v>2194</v>
      </c>
      <c r="B2685" s="3" t="s">
        <v>2526</v>
      </c>
      <c r="C2685" s="3" t="s">
        <v>1068</v>
      </c>
      <c r="D2685" s="3"/>
      <c r="E2685" s="2" t="str">
        <f>HYPERLINK("https://old.ukr-mobil.com/displej_motorola_xt2019_moto_g8_plus_s_tachskrinom_original_prc_black_10000552", "Перейти")</f>
        <v>Перейти</v>
      </c>
      <c r="F2685" s="2">
        <v>10000552</v>
      </c>
      <c r="G2685" s="4" t="s">
        <v>2821</v>
      </c>
      <c r="H2685" s="1">
        <v>1</v>
      </c>
      <c r="I2685" s="1">
        <v>1</v>
      </c>
      <c r="J2685" s="1">
        <v>0</v>
      </c>
      <c r="K2685" s="2">
        <v>19.5</v>
      </c>
    </row>
    <row r="2686" spans="1:12">
      <c r="A2686" s="3" t="s">
        <v>2194</v>
      </c>
      <c r="B2686" s="3" t="s">
        <v>2526</v>
      </c>
      <c r="C2686" s="3" t="s">
        <v>1068</v>
      </c>
      <c r="D2686" s="3"/>
      <c r="E2686" s="2" t="str">
        <f>HYPERLINK("https://old.ukr-mobil.com/displej_motorola_g8_power_xt2041-1_xt2041-3_s_tachskrinom_original_prc_black_10002555", "Перейти")</f>
        <v>Перейти</v>
      </c>
      <c r="F2686" s="2">
        <v>10002555</v>
      </c>
      <c r="G2686" s="4" t="s">
        <v>2822</v>
      </c>
      <c r="H2686" s="1">
        <v>0</v>
      </c>
      <c r="I2686" s="1">
        <v>3</v>
      </c>
      <c r="J2686" s="1">
        <v>1</v>
      </c>
      <c r="K2686" s="2">
        <v>21.0</v>
      </c>
    </row>
    <row r="2687" spans="1:12">
      <c r="A2687" s="3" t="s">
        <v>2194</v>
      </c>
      <c r="B2687" s="3" t="s">
        <v>2526</v>
      </c>
      <c r="C2687" s="3" t="s">
        <v>1068</v>
      </c>
      <c r="D2687" s="3"/>
      <c r="E2687" s="2" t="str">
        <f>HYPERLINK("https://old.ukr-mobil.com/index.php?route=product&amp;product_id=10004675", "Перейти")</f>
        <v>Перейти</v>
      </c>
      <c r="F2687" s="2">
        <v>10004675</v>
      </c>
      <c r="G2687" s="4" t="s">
        <v>2823</v>
      </c>
      <c r="H2687" s="1">
        <v>0</v>
      </c>
      <c r="I2687" s="1">
        <v>2</v>
      </c>
      <c r="J2687" s="1">
        <v>2</v>
      </c>
      <c r="K2687" s="2">
        <v>75.0</v>
      </c>
    </row>
    <row r="2688" spans="1:12">
      <c r="A2688" s="3" t="s">
        <v>2194</v>
      </c>
      <c r="B2688" s="3" t="s">
        <v>2526</v>
      </c>
      <c r="C2688" s="3" t="s">
        <v>1068</v>
      </c>
      <c r="D2688" s="3"/>
      <c r="E2688" s="2" t="str">
        <f>HYPERLINK("https://old.ukr-mobil.com/displej_motorola_g9_power_xt2091-3_xt2091-4_s_tachskrinom_original_prc_black_10002556", "Перейти")</f>
        <v>Перейти</v>
      </c>
      <c r="F2688" s="2">
        <v>10002556</v>
      </c>
      <c r="G2688" s="4" t="s">
        <v>2824</v>
      </c>
      <c r="H2688" s="1">
        <v>0</v>
      </c>
      <c r="I2688" s="1">
        <v>0</v>
      </c>
      <c r="J2688" s="1">
        <v>4</v>
      </c>
      <c r="K2688" s="2">
        <v>11.0</v>
      </c>
    </row>
    <row r="2689" spans="1:12">
      <c r="A2689" s="3" t="s">
        <v>2194</v>
      </c>
      <c r="B2689" s="3" t="s">
        <v>2526</v>
      </c>
      <c r="C2689" s="3" t="s">
        <v>1068</v>
      </c>
      <c r="D2689" s="3"/>
      <c r="E2689" s="2" t="str">
        <f>HYPERLINK("https://old.ukr-mobil.com/displej_motorola_g9_power_xt2091-3_xt2091-4_s_tachskrinom_s_ramkoyu_original_prc_black_10004513", "Перейти")</f>
        <v>Перейти</v>
      </c>
      <c r="F2689" s="2">
        <v>10004513</v>
      </c>
      <c r="G2689" s="4" t="s">
        <v>2825</v>
      </c>
      <c r="H2689" s="1">
        <v>0</v>
      </c>
      <c r="I2689" s="1">
        <v>0</v>
      </c>
      <c r="J2689" s="1">
        <v>0</v>
      </c>
      <c r="K2689" s="2">
        <v>23.0</v>
      </c>
    </row>
    <row r="2690" spans="1:12">
      <c r="A2690" s="3" t="s">
        <v>2194</v>
      </c>
      <c r="B2690" s="3" t="s">
        <v>2526</v>
      </c>
      <c r="C2690" s="3" t="s">
        <v>1068</v>
      </c>
      <c r="D2690" s="3"/>
      <c r="E2690" s="2" t="str">
        <f>HYPERLINK("https://old.ukr-mobil.com/displej_motorola_moto_e4_xt1760_xt1762_xt1766_s_tachskrinom_white_11091", "Перейти")</f>
        <v>Перейти</v>
      </c>
      <c r="F2690" s="2">
        <v>11091</v>
      </c>
      <c r="G2690" s="4" t="s">
        <v>2826</v>
      </c>
      <c r="H2690" s="1">
        <v>1</v>
      </c>
      <c r="I2690" s="1">
        <v>0</v>
      </c>
      <c r="J2690" s="1">
        <v>0</v>
      </c>
      <c r="K2690" s="2">
        <v>14.0</v>
      </c>
    </row>
    <row r="2691" spans="1:12">
      <c r="A2691" s="3" t="s">
        <v>2194</v>
      </c>
      <c r="B2691" s="3" t="s">
        <v>2526</v>
      </c>
      <c r="C2691" s="3" t="s">
        <v>1068</v>
      </c>
      <c r="D2691" s="3"/>
      <c r="E2691" s="2" t="str">
        <f>HYPERLINK("https://old.ukr-mobil.com/displej_motorola_moto_g200_s_tachskrinom_original_prc_black_10002436", "Перейти")</f>
        <v>Перейти</v>
      </c>
      <c r="F2691" s="2">
        <v>10002436</v>
      </c>
      <c r="G2691" s="4" t="s">
        <v>2827</v>
      </c>
      <c r="H2691" s="1">
        <v>1</v>
      </c>
      <c r="I2691" s="1">
        <v>2</v>
      </c>
      <c r="J2691" s="1">
        <v>1</v>
      </c>
      <c r="K2691" s="2">
        <v>22.1</v>
      </c>
    </row>
    <row r="2692" spans="1:12">
      <c r="A2692" s="3" t="s">
        <v>2194</v>
      </c>
      <c r="B2692" s="3" t="s">
        <v>2526</v>
      </c>
      <c r="C2692" s="3" t="s">
        <v>1068</v>
      </c>
      <c r="D2692" s="3"/>
      <c r="E2692" s="2" t="str">
        <f>HYPERLINK("https://old.ukr-mobil.com/displej_motorola_moto_x_xt1052_xt1058_xt1060_s_ramkoj_i_tachskrinom_white_6889", "Перейти")</f>
        <v>Перейти</v>
      </c>
      <c r="F2692" s="2">
        <v>6889</v>
      </c>
      <c r="G2692" s="4" t="s">
        <v>2828</v>
      </c>
      <c r="H2692" s="1">
        <v>0</v>
      </c>
      <c r="I2692" s="1">
        <v>1</v>
      </c>
      <c r="J2692" s="1">
        <v>0</v>
      </c>
      <c r="K2692" s="2">
        <v>17.5</v>
      </c>
    </row>
    <row r="2693" spans="1:12">
      <c r="A2693" s="3" t="s">
        <v>2194</v>
      </c>
      <c r="B2693" s="3" t="s">
        <v>2526</v>
      </c>
      <c r="C2693" s="3" t="s">
        <v>1068</v>
      </c>
      <c r="D2693" s="3"/>
      <c r="E2693" s="2" t="str">
        <f>HYPERLINK("https://old.ukr-mobil.com/displej_motorola_moto_x_xt1052_xt1058_xt1060_s_ramkoj_i_tachskrinom_black_5515", "Перейти")</f>
        <v>Перейти</v>
      </c>
      <c r="F2693" s="2">
        <v>5515</v>
      </c>
      <c r="G2693" s="4" t="s">
        <v>2829</v>
      </c>
      <c r="H2693" s="1">
        <v>3</v>
      </c>
      <c r="I2693" s="1">
        <v>0</v>
      </c>
      <c r="J2693" s="1">
        <v>1</v>
      </c>
      <c r="K2693" s="2">
        <v>11.5</v>
      </c>
    </row>
    <row r="2694" spans="1:12">
      <c r="A2694" s="3" t="s">
        <v>2194</v>
      </c>
      <c r="B2694" s="3" t="s">
        <v>2526</v>
      </c>
      <c r="C2694" s="3" t="s">
        <v>1068</v>
      </c>
      <c r="D2694" s="3"/>
      <c r="E2694" s="2" t="str">
        <f>HYPERLINK("https://old.ukr-mobil.com/displej_motorola_xt2013-2_moto_one_action_s_tachskrinom_original_prc_black_10000551", "Перейти")</f>
        <v>Перейти</v>
      </c>
      <c r="F2694" s="2">
        <v>10000551</v>
      </c>
      <c r="G2694" s="4" t="s">
        <v>2830</v>
      </c>
      <c r="H2694" s="1">
        <v>0</v>
      </c>
      <c r="I2694" s="1">
        <v>0</v>
      </c>
      <c r="J2694" s="1">
        <v>0</v>
      </c>
      <c r="K2694" s="2">
        <v>43.0</v>
      </c>
    </row>
    <row r="2695" spans="1:12">
      <c r="A2695" s="3" t="s">
        <v>2194</v>
      </c>
      <c r="B2695" s="3" t="s">
        <v>2526</v>
      </c>
      <c r="C2695" s="3" t="s">
        <v>1068</v>
      </c>
      <c r="D2695" s="3"/>
      <c r="E2695" s="2" t="str">
        <f>HYPERLINK("https://old.ukr-mobil.com/index.php?route=product&amp;product_id=10006060", "Перейти")</f>
        <v>Перейти</v>
      </c>
      <c r="F2695" s="2">
        <v>10006060</v>
      </c>
      <c r="G2695" s="4" t="s">
        <v>2831</v>
      </c>
      <c r="H2695" s="1">
        <v>0</v>
      </c>
      <c r="I2695" s="1">
        <v>0</v>
      </c>
      <c r="J2695" s="1">
        <v>0</v>
      </c>
      <c r="K2695" s="2">
        <v>20.3</v>
      </c>
    </row>
    <row r="2696" spans="1:12">
      <c r="A2696" s="3" t="s">
        <v>2194</v>
      </c>
      <c r="B2696" s="3" t="s">
        <v>2526</v>
      </c>
      <c r="C2696" s="3" t="s">
        <v>1068</v>
      </c>
      <c r="D2696" s="3"/>
      <c r="E2696" s="2" t="str">
        <f>HYPERLINK("https://old.ukr-mobil.com/displej_motorola_xt2010_moto_one_zoom_s_tachskrinom_original_prc_black_10001552", "Перейти")</f>
        <v>Перейти</v>
      </c>
      <c r="F2696" s="2">
        <v>10001552</v>
      </c>
      <c r="G2696" s="4" t="s">
        <v>2832</v>
      </c>
      <c r="H2696" s="1">
        <v>0</v>
      </c>
      <c r="I2696" s="1">
        <v>0</v>
      </c>
      <c r="J2696" s="1">
        <v>0</v>
      </c>
      <c r="K2696" s="2">
        <v>35.0</v>
      </c>
    </row>
    <row r="2697" spans="1:12">
      <c r="A2697" s="3" t="s">
        <v>2194</v>
      </c>
      <c r="B2697" s="3" t="s">
        <v>2526</v>
      </c>
      <c r="C2697" s="3" t="s">
        <v>1068</v>
      </c>
      <c r="D2697" s="3"/>
      <c r="E2697" s="2" t="str">
        <f>HYPERLINK("https://old.ukr-mobil.com/displej_motorola_xt1021_moto_e_xt1022_moto_e_xt1025_moto_e_s_tachskrinom_black_10785", "Перейти")</f>
        <v>Перейти</v>
      </c>
      <c r="F2697" s="2">
        <v>10785</v>
      </c>
      <c r="G2697" s="4" t="s">
        <v>2833</v>
      </c>
      <c r="H2697" s="1">
        <v>3</v>
      </c>
      <c r="I2697" s="1">
        <v>1</v>
      </c>
      <c r="J2697" s="1">
        <v>1</v>
      </c>
      <c r="K2697" s="2">
        <v>8.0</v>
      </c>
    </row>
    <row r="2698" spans="1:12">
      <c r="A2698" s="3" t="s">
        <v>2194</v>
      </c>
      <c r="B2698" s="3" t="s">
        <v>2526</v>
      </c>
      <c r="C2698" s="3" t="s">
        <v>1068</v>
      </c>
      <c r="D2698" s="3"/>
      <c r="E2698" s="2" t="str">
        <f>HYPERLINK("https://old.ukr-mobil.com/displej_motorola_xt1062_moto_g2_xt1063_moto_g2_xt1064_moto_g2_xt1068_moto_g2_s_ramkoj_i_tachskrinom_black_7912", "Перейти")</f>
        <v>Перейти</v>
      </c>
      <c r="F2698" s="2">
        <v>7912</v>
      </c>
      <c r="G2698" s="4" t="s">
        <v>2834</v>
      </c>
      <c r="H2698" s="1">
        <v>0</v>
      </c>
      <c r="I2698" s="1">
        <v>1</v>
      </c>
      <c r="J2698" s="1">
        <v>0</v>
      </c>
      <c r="K2698" s="2">
        <v>10.0</v>
      </c>
    </row>
    <row r="2699" spans="1:12">
      <c r="A2699" s="3" t="s">
        <v>2194</v>
      </c>
      <c r="B2699" s="3" t="s">
        <v>2526</v>
      </c>
      <c r="C2699" s="3" t="s">
        <v>1068</v>
      </c>
      <c r="D2699" s="3"/>
      <c r="E2699" s="2" t="str">
        <f>HYPERLINK("https://old.ukr-mobil.com/displej_motorola_xt1100_nexus_6_google_s_tachskrinom_black_8240", "Перейти")</f>
        <v>Перейти</v>
      </c>
      <c r="F2699" s="2">
        <v>8240</v>
      </c>
      <c r="G2699" s="4" t="s">
        <v>2835</v>
      </c>
      <c r="H2699" s="1">
        <v>1</v>
      </c>
      <c r="I2699" s="1">
        <v>0</v>
      </c>
      <c r="J2699" s="1">
        <v>0</v>
      </c>
      <c r="K2699" s="2">
        <v>34.5</v>
      </c>
    </row>
    <row r="2700" spans="1:12">
      <c r="A2700" s="3" t="s">
        <v>2194</v>
      </c>
      <c r="B2700" s="3" t="s">
        <v>2526</v>
      </c>
      <c r="C2700" s="3" t="s">
        <v>1068</v>
      </c>
      <c r="D2700" s="3"/>
      <c r="E2700" s="2" t="str">
        <f>HYPERLINK("https://old.ukr-mobil.com/displej_motorola_xt1254_droid_turbo_s_tachskrinom_ramkoj_black_10201", "Перейти")</f>
        <v>Перейти</v>
      </c>
      <c r="F2700" s="2">
        <v>10201</v>
      </c>
      <c r="G2700" s="4" t="s">
        <v>2836</v>
      </c>
      <c r="H2700" s="1">
        <v>0</v>
      </c>
      <c r="I2700" s="1">
        <v>0</v>
      </c>
      <c r="J2700" s="1">
        <v>0</v>
      </c>
      <c r="K2700" s="2">
        <v>23.0</v>
      </c>
    </row>
    <row r="2701" spans="1:12">
      <c r="A2701" s="3" t="s">
        <v>2194</v>
      </c>
      <c r="B2701" s="3" t="s">
        <v>2526</v>
      </c>
      <c r="C2701" s="3" t="s">
        <v>1068</v>
      </c>
      <c r="D2701" s="3"/>
      <c r="E2701" s="2" t="str">
        <f>HYPERLINK("https://old.ukr-mobil.com/displej_motorola_xt1505_moto_e2_xt1511_moto_e2_xt1526_moto_e2_xt1527_moto_e2_xt1528_moto_e2_s_tachskrinom_black_5673", "Перейти")</f>
        <v>Перейти</v>
      </c>
      <c r="F2701" s="2">
        <v>5673</v>
      </c>
      <c r="G2701" s="4" t="s">
        <v>2837</v>
      </c>
      <c r="H2701" s="1">
        <v>7</v>
      </c>
      <c r="I2701" s="1">
        <v>1</v>
      </c>
      <c r="J2701" s="1">
        <v>1</v>
      </c>
      <c r="K2701" s="2">
        <v>9.0</v>
      </c>
    </row>
    <row r="2702" spans="1:12">
      <c r="A2702" s="3" t="s">
        <v>2194</v>
      </c>
      <c r="B2702" s="3" t="s">
        <v>2526</v>
      </c>
      <c r="C2702" s="3" t="s">
        <v>1068</v>
      </c>
      <c r="D2702" s="3"/>
      <c r="E2702" s="2" t="str">
        <f>HYPERLINK("https://old.ukr-mobil.com/displej_motorola_xt1505_moto_e2_xt1511_moto_e2_xt1526_moto_e2_xt1527_moto_e2_xt1528_moto_e2_s_tachskrinom_white_5674", "Перейти")</f>
        <v>Перейти</v>
      </c>
      <c r="F2702" s="2">
        <v>5674</v>
      </c>
      <c r="G2702" s="4" t="s">
        <v>2838</v>
      </c>
      <c r="H2702" s="1">
        <v>7</v>
      </c>
      <c r="I2702" s="1">
        <v>7</v>
      </c>
      <c r="J2702" s="1">
        <v>1</v>
      </c>
      <c r="K2702" s="2">
        <v>8.0</v>
      </c>
    </row>
    <row r="2703" spans="1:12">
      <c r="A2703" s="3" t="s">
        <v>2194</v>
      </c>
      <c r="B2703" s="3" t="s">
        <v>2526</v>
      </c>
      <c r="C2703" s="3" t="s">
        <v>1068</v>
      </c>
      <c r="D2703" s="3"/>
      <c r="E2703" s="2" t="str">
        <f>HYPERLINK("https://old.ukr-mobil.com/displej_motorola_xt1600_xt1601_xt1602_xt1603_xt1607_xt1609_moto_g4_play_s_tachskrinom_original_black_6887", "Перейти")</f>
        <v>Перейти</v>
      </c>
      <c r="F2703" s="2">
        <v>6887</v>
      </c>
      <c r="G2703" s="4" t="s">
        <v>2839</v>
      </c>
      <c r="H2703" s="1">
        <v>0</v>
      </c>
      <c r="I2703" s="1">
        <v>2</v>
      </c>
      <c r="J2703" s="1">
        <v>2</v>
      </c>
      <c r="K2703" s="2">
        <v>16.0</v>
      </c>
    </row>
    <row r="2704" spans="1:12">
      <c r="A2704" s="3" t="s">
        <v>2194</v>
      </c>
      <c r="B2704" s="3" t="s">
        <v>2526</v>
      </c>
      <c r="C2704" s="3" t="s">
        <v>1068</v>
      </c>
      <c r="D2704" s="3"/>
      <c r="E2704" s="2" t="str">
        <f>HYPERLINK("https://old.ukr-mobil.com/displej_motorola_xt1620_xt1621_xt1622_xt1624_xt1625_xt1626_moto_g4_s_tachskrinom_original_black_10203", "Перейти")</f>
        <v>Перейти</v>
      </c>
      <c r="F2704" s="2">
        <v>10203</v>
      </c>
      <c r="G2704" s="4" t="s">
        <v>2840</v>
      </c>
      <c r="H2704" s="1">
        <v>0</v>
      </c>
      <c r="I2704" s="1">
        <v>0</v>
      </c>
      <c r="J2704" s="1">
        <v>0</v>
      </c>
      <c r="K2704" s="2">
        <v>20.0</v>
      </c>
    </row>
    <row r="2705" spans="1:12">
      <c r="A2705" s="3" t="s">
        <v>2194</v>
      </c>
      <c r="B2705" s="3" t="s">
        <v>2526</v>
      </c>
      <c r="C2705" s="3" t="s">
        <v>1068</v>
      </c>
      <c r="D2705" s="3"/>
      <c r="E2705" s="2" t="str">
        <f>HYPERLINK("https://old.ukr-mobil.com/displej_motorola_xt1635-02_moto_z_play_s_tachskrinom_black_9946", "Перейти")</f>
        <v>Перейти</v>
      </c>
      <c r="F2705" s="2">
        <v>9946</v>
      </c>
      <c r="G2705" s="4" t="s">
        <v>2841</v>
      </c>
      <c r="H2705" s="1">
        <v>0</v>
      </c>
      <c r="I2705" s="1">
        <v>0</v>
      </c>
      <c r="J2705" s="1">
        <v>0</v>
      </c>
      <c r="K2705" s="2">
        <v>34.0</v>
      </c>
    </row>
    <row r="2706" spans="1:12">
      <c r="A2706" s="3" t="s">
        <v>2194</v>
      </c>
      <c r="B2706" s="3" t="s">
        <v>2526</v>
      </c>
      <c r="C2706" s="3" t="s">
        <v>1068</v>
      </c>
      <c r="D2706" s="3"/>
      <c r="E2706" s="2" t="str">
        <f>HYPERLINK("https://old.ukr-mobil.com/displej_motorola_xt1641_moto_g4_plus_xt1642_moto_g4_plus_xt1644_moto_g4_plus_s_tachskrinom_black_9339", "Перейти")</f>
        <v>Перейти</v>
      </c>
      <c r="F2706" s="2">
        <v>9339</v>
      </c>
      <c r="G2706" s="4" t="s">
        <v>2842</v>
      </c>
      <c r="H2706" s="1">
        <v>0</v>
      </c>
      <c r="I2706" s="1">
        <v>0</v>
      </c>
      <c r="J2706" s="1">
        <v>0</v>
      </c>
      <c r="K2706" s="2">
        <v>8.7</v>
      </c>
    </row>
    <row r="2707" spans="1:12">
      <c r="A2707" s="3" t="s">
        <v>2194</v>
      </c>
      <c r="B2707" s="3" t="s">
        <v>2526</v>
      </c>
      <c r="C2707" s="3" t="s">
        <v>1068</v>
      </c>
      <c r="D2707" s="3"/>
      <c r="E2707" s="2" t="str">
        <f>HYPERLINK("https://old.ukr-mobil.com/displej_motorola_xt1641_moto_g4_plus_xt1642_moto_g4_plus_xt1644_moto_g4_plus_s_tachskrinom_white_10184", "Перейти")</f>
        <v>Перейти</v>
      </c>
      <c r="F2707" s="2">
        <v>10184</v>
      </c>
      <c r="G2707" s="4" t="s">
        <v>2843</v>
      </c>
      <c r="H2707" s="1">
        <v>3</v>
      </c>
      <c r="I2707" s="1">
        <v>2</v>
      </c>
      <c r="J2707" s="1">
        <v>1</v>
      </c>
      <c r="K2707" s="2">
        <v>9.0</v>
      </c>
    </row>
    <row r="2708" spans="1:12">
      <c r="A2708" s="3" t="s">
        <v>2194</v>
      </c>
      <c r="B2708" s="3" t="s">
        <v>2526</v>
      </c>
      <c r="C2708" s="3" t="s">
        <v>1068</v>
      </c>
      <c r="D2708" s="3"/>
      <c r="E2708" s="2" t="str">
        <f>HYPERLINK("https://old.ukr-mobil.com/displej_motorola_xt1650_moto_z_s_tachskrinom_black_11962", "Перейти")</f>
        <v>Перейти</v>
      </c>
      <c r="F2708" s="2">
        <v>11962</v>
      </c>
      <c r="G2708" s="4" t="s">
        <v>2844</v>
      </c>
      <c r="H2708" s="1">
        <v>0</v>
      </c>
      <c r="I2708" s="1">
        <v>1</v>
      </c>
      <c r="J2708" s="1">
        <v>0</v>
      </c>
      <c r="K2708" s="2">
        <v>35.0</v>
      </c>
    </row>
    <row r="2709" spans="1:12">
      <c r="A2709" s="3" t="s">
        <v>2194</v>
      </c>
      <c r="B2709" s="3" t="s">
        <v>2526</v>
      </c>
      <c r="C2709" s="3" t="s">
        <v>1068</v>
      </c>
      <c r="D2709" s="3"/>
      <c r="E2709" s="2" t="str">
        <f>HYPERLINK("https://old.ukr-mobil.com/displej_motorola_xt1670_xt1672_xt1675_xt1676_moto_g5_s_tachskrinom_high_copy_black_9340", "Перейти")</f>
        <v>Перейти</v>
      </c>
      <c r="F2709" s="2">
        <v>9340</v>
      </c>
      <c r="G2709" s="4" t="s">
        <v>2845</v>
      </c>
      <c r="H2709" s="1">
        <v>0</v>
      </c>
      <c r="I2709" s="1">
        <v>0</v>
      </c>
      <c r="J2709" s="1">
        <v>0</v>
      </c>
      <c r="K2709" s="2">
        <v>11.5</v>
      </c>
    </row>
    <row r="2710" spans="1:12">
      <c r="A2710" s="3" t="s">
        <v>2194</v>
      </c>
      <c r="B2710" s="3" t="s">
        <v>2526</v>
      </c>
      <c r="C2710" s="3" t="s">
        <v>1068</v>
      </c>
      <c r="D2710" s="3"/>
      <c r="E2710" s="2" t="str">
        <f>HYPERLINK("https://old.ukr-mobil.com/displej_motorola_xt1684_xt1685_xt1687_moto_g5_plus_s_tachskrinom_original_prc_black_9341", "Перейти")</f>
        <v>Перейти</v>
      </c>
      <c r="F2710" s="2">
        <v>9341</v>
      </c>
      <c r="G2710" s="4" t="s">
        <v>2846</v>
      </c>
      <c r="H2710" s="1">
        <v>0</v>
      </c>
      <c r="I2710" s="1">
        <v>0</v>
      </c>
      <c r="J2710" s="1">
        <v>0</v>
      </c>
      <c r="K2710" s="2">
        <v>21.5</v>
      </c>
    </row>
    <row r="2711" spans="1:12">
      <c r="A2711" s="3" t="s">
        <v>2194</v>
      </c>
      <c r="B2711" s="3" t="s">
        <v>2526</v>
      </c>
      <c r="C2711" s="3" t="s">
        <v>1068</v>
      </c>
      <c r="D2711" s="3"/>
      <c r="E2711" s="2" t="str">
        <f>HYPERLINK("https://old.ukr-mobil.com/displej_motorola_xt1700_moto_e3_s_tachskrinom_black_11717", "Перейти")</f>
        <v>Перейти</v>
      </c>
      <c r="F2711" s="2">
        <v>11717</v>
      </c>
      <c r="G2711" s="4" t="s">
        <v>2847</v>
      </c>
      <c r="H2711" s="1">
        <v>2</v>
      </c>
      <c r="I2711" s="1">
        <v>2</v>
      </c>
      <c r="J2711" s="1">
        <v>1</v>
      </c>
      <c r="K2711" s="2">
        <v>11.0</v>
      </c>
    </row>
    <row r="2712" spans="1:12">
      <c r="A2712" s="3" t="s">
        <v>2194</v>
      </c>
      <c r="B2712" s="3" t="s">
        <v>2526</v>
      </c>
      <c r="C2712" s="3" t="s">
        <v>1068</v>
      </c>
      <c r="D2712" s="3"/>
      <c r="E2712" s="2" t="str">
        <f>HYPERLINK("https://old.ukr-mobil.com/displej_motorola_xt1710_moto_z2_play_s_tachskrinom_black_10786", "Перейти")</f>
        <v>Перейти</v>
      </c>
      <c r="F2712" s="2">
        <v>10786</v>
      </c>
      <c r="G2712" s="4" t="s">
        <v>2848</v>
      </c>
      <c r="H2712" s="1">
        <v>0</v>
      </c>
      <c r="I2712" s="1">
        <v>0</v>
      </c>
      <c r="J2712" s="1">
        <v>0</v>
      </c>
      <c r="K2712" s="2">
        <v>35.5</v>
      </c>
    </row>
    <row r="2713" spans="1:12">
      <c r="A2713" s="3" t="s">
        <v>2194</v>
      </c>
      <c r="B2713" s="3" t="s">
        <v>2526</v>
      </c>
      <c r="C2713" s="3" t="s">
        <v>1068</v>
      </c>
      <c r="D2713" s="3"/>
      <c r="E2713" s="2" t="str">
        <f>HYPERLINK("https://old.ukr-mobil.com/displej_motorola_xt1723_moto_c_plus_s_tachskrinom_black_10784", "Перейти")</f>
        <v>Перейти</v>
      </c>
      <c r="F2713" s="2">
        <v>10784</v>
      </c>
      <c r="G2713" s="4" t="s">
        <v>2849</v>
      </c>
      <c r="H2713" s="1">
        <v>0</v>
      </c>
      <c r="I2713" s="1">
        <v>0</v>
      </c>
      <c r="J2713" s="1">
        <v>0</v>
      </c>
      <c r="K2713" s="2">
        <v>17.0</v>
      </c>
    </row>
    <row r="2714" spans="1:12">
      <c r="A2714" s="3" t="s">
        <v>2194</v>
      </c>
      <c r="B2714" s="3" t="s">
        <v>2526</v>
      </c>
      <c r="C2714" s="3" t="s">
        <v>1068</v>
      </c>
      <c r="D2714" s="3"/>
      <c r="E2714" s="2" t="str">
        <f>HYPERLINK("https://old.ukr-mobil.com/displej_motorola_xt1750_moto_c_s_tachskrinom_black_10783", "Перейти")</f>
        <v>Перейти</v>
      </c>
      <c r="F2714" s="2">
        <v>10783</v>
      </c>
      <c r="G2714" s="4" t="s">
        <v>2850</v>
      </c>
      <c r="H2714" s="1">
        <v>1</v>
      </c>
      <c r="I2714" s="1">
        <v>0</v>
      </c>
      <c r="J2714" s="1">
        <v>0</v>
      </c>
      <c r="K2714" s="2">
        <v>10.0</v>
      </c>
    </row>
    <row r="2715" spans="1:12">
      <c r="A2715" s="3" t="s">
        <v>2194</v>
      </c>
      <c r="B2715" s="3" t="s">
        <v>2526</v>
      </c>
      <c r="C2715" s="3" t="s">
        <v>1068</v>
      </c>
      <c r="D2715" s="3"/>
      <c r="E2715" s="2" t="str">
        <f>HYPERLINK("https://old.ukr-mobil.com/displej_motorola_xt1770_xt1771_xt1775_moto_e4_plus_s_tachskrinom_black_11290", "Перейти")</f>
        <v>Перейти</v>
      </c>
      <c r="F2715" s="2">
        <v>11290</v>
      </c>
      <c r="G2715" s="4" t="s">
        <v>2851</v>
      </c>
      <c r="H2715" s="1">
        <v>0</v>
      </c>
      <c r="I2715" s="1">
        <v>0</v>
      </c>
      <c r="J2715" s="1">
        <v>0</v>
      </c>
      <c r="K2715" s="2">
        <v>18.5</v>
      </c>
    </row>
    <row r="2716" spans="1:12">
      <c r="A2716" s="3" t="s">
        <v>2194</v>
      </c>
      <c r="B2716" s="3" t="s">
        <v>2526</v>
      </c>
      <c r="C2716" s="3" t="s">
        <v>1068</v>
      </c>
      <c r="D2716" s="3"/>
      <c r="E2716" s="2" t="str">
        <f>HYPERLINK("https://old.ukr-mobil.com/displej_motorola_xt1789_moto_z2_force_s_tachskrinom_black_12313", "Перейти")</f>
        <v>Перейти</v>
      </c>
      <c r="F2716" s="2">
        <v>12313</v>
      </c>
      <c r="G2716" s="4" t="s">
        <v>2852</v>
      </c>
      <c r="H2716" s="1">
        <v>0</v>
      </c>
      <c r="I2716" s="1">
        <v>0</v>
      </c>
      <c r="J2716" s="1">
        <v>0</v>
      </c>
      <c r="K2716" s="2">
        <v>77.0</v>
      </c>
    </row>
    <row r="2717" spans="1:12">
      <c r="A2717" s="3" t="s">
        <v>2194</v>
      </c>
      <c r="B2717" s="3" t="s">
        <v>2526</v>
      </c>
      <c r="C2717" s="3" t="s">
        <v>1068</v>
      </c>
      <c r="D2717" s="3"/>
      <c r="E2717" s="2" t="str">
        <f>HYPERLINK("https://old.ukr-mobil.com/displej_motorola_xt1792_xt1793_xt1794_moto_g5s_s_tachskrinom_original_prc_black_10787", "Перейти")</f>
        <v>Перейти</v>
      </c>
      <c r="F2717" s="2">
        <v>10787</v>
      </c>
      <c r="G2717" s="4" t="s">
        <v>2853</v>
      </c>
      <c r="H2717" s="1">
        <v>0</v>
      </c>
      <c r="I2717" s="1">
        <v>0</v>
      </c>
      <c r="J2717" s="1">
        <v>0</v>
      </c>
      <c r="K2717" s="2">
        <v>13.0</v>
      </c>
    </row>
    <row r="2718" spans="1:12">
      <c r="A2718" s="3" t="s">
        <v>2194</v>
      </c>
      <c r="B2718" s="3" t="s">
        <v>2526</v>
      </c>
      <c r="C2718" s="3" t="s">
        <v>1068</v>
      </c>
      <c r="D2718" s="3"/>
      <c r="E2718" s="2" t="str">
        <f>HYPERLINK("https://old.ukr-mobil.com/displej_motorola_xt1900_moto_x4_s_tachskrinom_black_11714", "Перейти")</f>
        <v>Перейти</v>
      </c>
      <c r="F2718" s="2">
        <v>11714</v>
      </c>
      <c r="G2718" s="4" t="s">
        <v>2854</v>
      </c>
      <c r="H2718" s="1">
        <v>0</v>
      </c>
      <c r="I2718" s="1">
        <v>0</v>
      </c>
      <c r="J2718" s="1">
        <v>0</v>
      </c>
      <c r="K2718" s="2">
        <v>12.5</v>
      </c>
    </row>
    <row r="2719" spans="1:12">
      <c r="A2719" s="3" t="s">
        <v>2194</v>
      </c>
      <c r="B2719" s="3" t="s">
        <v>2526</v>
      </c>
      <c r="C2719" s="3" t="s">
        <v>1068</v>
      </c>
      <c r="D2719" s="3"/>
      <c r="E2719" s="2" t="str">
        <f>HYPERLINK("https://old.ukr-mobil.com/displej_motorola_xt1900_moto_x4_s_tachskrinom_blue_11715", "Перейти")</f>
        <v>Перейти</v>
      </c>
      <c r="F2719" s="2">
        <v>11715</v>
      </c>
      <c r="G2719" s="4" t="s">
        <v>2855</v>
      </c>
      <c r="H2719" s="1">
        <v>0</v>
      </c>
      <c r="I2719" s="1">
        <v>0</v>
      </c>
      <c r="J2719" s="1">
        <v>0</v>
      </c>
      <c r="K2719" s="2">
        <v>23.79</v>
      </c>
    </row>
    <row r="2720" spans="1:12">
      <c r="A2720" s="3" t="s">
        <v>2194</v>
      </c>
      <c r="B2720" s="3" t="s">
        <v>2526</v>
      </c>
      <c r="C2720" s="3" t="s">
        <v>1068</v>
      </c>
      <c r="D2720" s="3"/>
      <c r="E2720" s="2" t="str">
        <f>HYPERLINK("https://old.ukr-mobil.com/displej_motorola_xt1922_moto_g6_play_s_tachskrinom_black_11718", "Перейти")</f>
        <v>Перейти</v>
      </c>
      <c r="F2720" s="2">
        <v>11718</v>
      </c>
      <c r="G2720" s="4" t="s">
        <v>2856</v>
      </c>
      <c r="H2720" s="1">
        <v>2</v>
      </c>
      <c r="I2720" s="1">
        <v>1</v>
      </c>
      <c r="J2720" s="1">
        <v>2</v>
      </c>
      <c r="K2720" s="2">
        <v>11.0</v>
      </c>
    </row>
    <row r="2721" spans="1:12">
      <c r="A2721" s="3" t="s">
        <v>2194</v>
      </c>
      <c r="B2721" s="3" t="s">
        <v>2526</v>
      </c>
      <c r="C2721" s="3" t="s">
        <v>1068</v>
      </c>
      <c r="D2721" s="3"/>
      <c r="E2721" s="2" t="str">
        <f>HYPERLINK("https://old.ukr-mobil.com/displej_motorola_xt1924_moto_e5_plus_s_tachskrinom_high_copy_black_11861", "Перейти")</f>
        <v>Перейти</v>
      </c>
      <c r="F2721" s="2">
        <v>11861</v>
      </c>
      <c r="G2721" s="4" t="s">
        <v>2857</v>
      </c>
      <c r="H2721" s="1">
        <v>1</v>
      </c>
      <c r="I2721" s="1">
        <v>0</v>
      </c>
      <c r="J2721" s="1">
        <v>0</v>
      </c>
      <c r="K2721" s="2">
        <v>16.25</v>
      </c>
    </row>
    <row r="2722" spans="1:12">
      <c r="A2722" s="3" t="s">
        <v>2194</v>
      </c>
      <c r="B2722" s="3" t="s">
        <v>2526</v>
      </c>
      <c r="C2722" s="3" t="s">
        <v>1068</v>
      </c>
      <c r="D2722" s="3"/>
      <c r="E2722" s="2" t="str">
        <f>HYPERLINK("https://old.ukr-mobil.com/displej_motorola_xt1925_moto_g6_s_tachskrinom_original_prc_black_11719", "Перейти")</f>
        <v>Перейти</v>
      </c>
      <c r="F2722" s="2">
        <v>11719</v>
      </c>
      <c r="G2722" s="4" t="s">
        <v>2858</v>
      </c>
      <c r="H2722" s="1">
        <v>1</v>
      </c>
      <c r="I2722" s="1">
        <v>3</v>
      </c>
      <c r="J2722" s="1">
        <v>1</v>
      </c>
      <c r="K2722" s="2">
        <v>12.0</v>
      </c>
    </row>
    <row r="2723" spans="1:12">
      <c r="A2723" s="3" t="s">
        <v>2194</v>
      </c>
      <c r="B2723" s="3" t="s">
        <v>2526</v>
      </c>
      <c r="C2723" s="3" t="s">
        <v>1068</v>
      </c>
      <c r="D2723" s="3"/>
      <c r="E2723" s="2" t="str">
        <f>HYPERLINK("https://old.ukr-mobil.com/displej_motorola_xt1941-4_moto_one_s_tachskrinom_original_prc_black_11866", "Перейти")</f>
        <v>Перейти</v>
      </c>
      <c r="F2723" s="2">
        <v>11866</v>
      </c>
      <c r="G2723" s="4" t="s">
        <v>2859</v>
      </c>
      <c r="H2723" s="1">
        <v>0</v>
      </c>
      <c r="I2723" s="1">
        <v>0</v>
      </c>
      <c r="J2723" s="1">
        <v>0</v>
      </c>
      <c r="K2723" s="2">
        <v>10.8</v>
      </c>
    </row>
    <row r="2724" spans="1:12">
      <c r="A2724" s="3" t="s">
        <v>2194</v>
      </c>
      <c r="B2724" s="3" t="s">
        <v>2526</v>
      </c>
      <c r="C2724" s="3" t="s">
        <v>1068</v>
      </c>
      <c r="D2724" s="3"/>
      <c r="E2724" s="2" t="str">
        <f>HYPERLINK("https://old.ukr-mobil.com/displej_motorola_xt1944_moto_e5_s_tachskrinom_black_11716", "Перейти")</f>
        <v>Перейти</v>
      </c>
      <c r="F2724" s="2">
        <v>11716</v>
      </c>
      <c r="G2724" s="4" t="s">
        <v>2860</v>
      </c>
      <c r="H2724" s="1">
        <v>12</v>
      </c>
      <c r="I2724" s="1">
        <v>3</v>
      </c>
      <c r="J2724" s="1">
        <v>3</v>
      </c>
      <c r="K2724" s="2">
        <v>12.0</v>
      </c>
    </row>
    <row r="2725" spans="1:12">
      <c r="A2725" s="3" t="s">
        <v>2194</v>
      </c>
      <c r="B2725" s="3" t="s">
        <v>2526</v>
      </c>
      <c r="C2725" s="3" t="s">
        <v>1068</v>
      </c>
      <c r="D2725" s="3"/>
      <c r="E2725" s="2" t="str">
        <f>HYPERLINK("https://old.ukr-mobil.com/displej_motorola_xt1962_moto_g7_xt1965_moto_g7_plus_s_tachskrinom_black_11862", "Перейти")</f>
        <v>Перейти</v>
      </c>
      <c r="F2725" s="2">
        <v>11862</v>
      </c>
      <c r="G2725" s="4" t="s">
        <v>2861</v>
      </c>
      <c r="H2725" s="1">
        <v>8</v>
      </c>
      <c r="I2725" s="1">
        <v>0</v>
      </c>
      <c r="J2725" s="1">
        <v>3</v>
      </c>
      <c r="K2725" s="2">
        <v>14.1</v>
      </c>
    </row>
    <row r="2726" spans="1:12">
      <c r="A2726" s="3" t="s">
        <v>2194</v>
      </c>
      <c r="B2726" s="3" t="s">
        <v>2526</v>
      </c>
      <c r="C2726" s="3" t="s">
        <v>1068</v>
      </c>
      <c r="D2726" s="3"/>
      <c r="E2726" s="2" t="str">
        <f>HYPERLINK("https://old.ukr-mobil.com/displej_motorola_xt1980-4_moto_z4_s_tachskrinom_original_prc_black_10001553", "Перейти")</f>
        <v>Перейти</v>
      </c>
      <c r="F2726" s="2">
        <v>10001553</v>
      </c>
      <c r="G2726" s="4" t="s">
        <v>2862</v>
      </c>
      <c r="H2726" s="1">
        <v>0</v>
      </c>
      <c r="I2726" s="1">
        <v>0</v>
      </c>
      <c r="J2726" s="1">
        <v>0</v>
      </c>
      <c r="K2726" s="2">
        <v>31.0</v>
      </c>
    </row>
    <row r="2727" spans="1:12">
      <c r="A2727" s="3" t="s">
        <v>2194</v>
      </c>
      <c r="B2727" s="3" t="s">
        <v>2526</v>
      </c>
      <c r="C2727" s="3" t="s">
        <v>1068</v>
      </c>
      <c r="D2727" s="3"/>
      <c r="E2727" s="2" t="str">
        <f>HYPERLINK("https://old.ukr-mobil.com/displej_motorola_xt2027_one_hyper_s_tachskrinom_original_prc_black_10002219", "Перейти")</f>
        <v>Перейти</v>
      </c>
      <c r="F2727" s="2">
        <v>10002219</v>
      </c>
      <c r="G2727" s="4" t="s">
        <v>2863</v>
      </c>
      <c r="H2727" s="1">
        <v>5</v>
      </c>
      <c r="I2727" s="1">
        <v>3</v>
      </c>
      <c r="J2727" s="1">
        <v>8</v>
      </c>
      <c r="K2727" s="2">
        <v>12.45</v>
      </c>
    </row>
    <row r="2728" spans="1:12">
      <c r="A2728" s="3" t="s">
        <v>2194</v>
      </c>
      <c r="B2728" s="3" t="s">
        <v>2526</v>
      </c>
      <c r="C2728" s="3" t="s">
        <v>1068</v>
      </c>
      <c r="D2728" s="3"/>
      <c r="E2728" s="2" t="str">
        <f>HYPERLINK("https://old.ukr-mobil.com/displej_motorola_xt2043_moto_g_pro_xt2043-4_moto_g_stylus_s_tachskrinom_original_prc_black_10001939", "Перейти")</f>
        <v>Перейти</v>
      </c>
      <c r="F2728" s="2">
        <v>10001939</v>
      </c>
      <c r="G2728" s="4" t="s">
        <v>2864</v>
      </c>
      <c r="H2728" s="1">
        <v>9</v>
      </c>
      <c r="I2728" s="1">
        <v>5</v>
      </c>
      <c r="J2728" s="1">
        <v>5</v>
      </c>
      <c r="K2728" s="2">
        <v>20.0</v>
      </c>
    </row>
    <row r="2729" spans="1:12">
      <c r="A2729" s="3" t="s">
        <v>2194</v>
      </c>
      <c r="B2729" s="3" t="s">
        <v>2526</v>
      </c>
      <c r="C2729" s="3" t="s">
        <v>1068</v>
      </c>
      <c r="D2729" s="3"/>
      <c r="E2729" s="2" t="str">
        <f>HYPERLINK("https://old.ukr-mobil.com/displej_motorola_xt2055_moto_g8_power_lite_s_tachskrinom_original_prc_black_10001046", "Перейти")</f>
        <v>Перейти</v>
      </c>
      <c r="F2729" s="2">
        <v>10001046</v>
      </c>
      <c r="G2729" s="4" t="s">
        <v>2865</v>
      </c>
      <c r="H2729" s="1">
        <v>0</v>
      </c>
      <c r="I2729" s="1">
        <v>1</v>
      </c>
      <c r="J2729" s="1">
        <v>1</v>
      </c>
      <c r="K2729" s="2">
        <v>11.5</v>
      </c>
    </row>
    <row r="2730" spans="1:12">
      <c r="A2730" s="3" t="s">
        <v>2194</v>
      </c>
      <c r="B2730" s="3" t="s">
        <v>2526</v>
      </c>
      <c r="C2730" s="3" t="s">
        <v>1068</v>
      </c>
      <c r="D2730" s="3"/>
      <c r="E2730" s="2" t="str">
        <f>HYPERLINK("https://old.ukr-mobil.com/displej_motorola_xt2067_one_fusion_plus_s_tachskrinom_original_prc_black_10002218", "Перейти")</f>
        <v>Перейти</v>
      </c>
      <c r="F2730" s="2">
        <v>10002218</v>
      </c>
      <c r="G2730" s="4" t="s">
        <v>2866</v>
      </c>
      <c r="H2730" s="1">
        <v>1</v>
      </c>
      <c r="I2730" s="1">
        <v>0</v>
      </c>
      <c r="J2730" s="1">
        <v>0</v>
      </c>
      <c r="K2730" s="2">
        <v>12.65</v>
      </c>
    </row>
    <row r="2731" spans="1:12">
      <c r="A2731" s="3" t="s">
        <v>2194</v>
      </c>
      <c r="B2731" s="3" t="s">
        <v>2526</v>
      </c>
      <c r="C2731" s="3" t="s">
        <v>1068</v>
      </c>
      <c r="D2731" s="3"/>
      <c r="E2731" s="2" t="str">
        <f>HYPERLINK("https://old.ukr-mobil.com/displej_motorola_xt2087_moto_g9_plus_s_tachskrinom_original_prc_black_10001929", "Перейти")</f>
        <v>Перейти</v>
      </c>
      <c r="F2731" s="2">
        <v>10001929</v>
      </c>
      <c r="G2731" s="4" t="s">
        <v>2867</v>
      </c>
      <c r="H2731" s="1">
        <v>0</v>
      </c>
      <c r="I2731" s="1">
        <v>0</v>
      </c>
      <c r="J2731" s="1">
        <v>0</v>
      </c>
      <c r="K2731" s="2">
        <v>13.6</v>
      </c>
    </row>
    <row r="2732" spans="1:12">
      <c r="A2732" s="3" t="s">
        <v>2194</v>
      </c>
      <c r="B2732" s="3" t="s">
        <v>2526</v>
      </c>
      <c r="C2732" s="3" t="s">
        <v>1068</v>
      </c>
      <c r="D2732" s="3"/>
      <c r="E2732" s="2" t="str">
        <f>HYPERLINK("https://old.ukr-mobil.com/displej_motorola_xt2125-4_xt2125_moto_g100_s_tachskrinom_original_prc_black_10002429", "Перейти")</f>
        <v>Перейти</v>
      </c>
      <c r="F2732" s="2">
        <v>10002429</v>
      </c>
      <c r="G2732" s="4" t="s">
        <v>2868</v>
      </c>
      <c r="H2732" s="1">
        <v>14</v>
      </c>
      <c r="I2732" s="1">
        <v>4</v>
      </c>
      <c r="J2732" s="1">
        <v>4</v>
      </c>
      <c r="K2732" s="2">
        <v>23.0</v>
      </c>
    </row>
    <row r="2733" spans="1:12">
      <c r="A2733" s="3" t="s">
        <v>2194</v>
      </c>
      <c r="B2733" s="3" t="s">
        <v>2526</v>
      </c>
      <c r="C2733" s="3" t="s">
        <v>1068</v>
      </c>
      <c r="D2733" s="3"/>
      <c r="E2733" s="2" t="str">
        <f>HYPERLINK("https://old.ukr-mobil.com/displej_motorola_xt2128_moto_g20_s_tachskrinom_original_prc_black_10001938", "Перейти")</f>
        <v>Перейти</v>
      </c>
      <c r="F2733" s="2">
        <v>10001938</v>
      </c>
      <c r="G2733" s="4" t="s">
        <v>2869</v>
      </c>
      <c r="H2733" s="1">
        <v>8</v>
      </c>
      <c r="I2733" s="1">
        <v>7</v>
      </c>
      <c r="J2733" s="1">
        <v>2</v>
      </c>
      <c r="K2733" s="2">
        <v>12.6</v>
      </c>
    </row>
    <row r="2734" spans="1:12">
      <c r="A2734" s="3" t="s">
        <v>2194</v>
      </c>
      <c r="B2734" s="3" t="s">
        <v>2526</v>
      </c>
      <c r="C2734" s="3" t="s">
        <v>1086</v>
      </c>
      <c r="D2734" s="3"/>
      <c r="E2734" s="2" t="str">
        <f>HYPERLINK("https://old.ukr-mobil.com/displej_nokia_1_dual_sim_s_tachskrinom_black_11024", "Перейти")</f>
        <v>Перейти</v>
      </c>
      <c r="F2734" s="2">
        <v>11024</v>
      </c>
      <c r="G2734" s="4" t="s">
        <v>2870</v>
      </c>
      <c r="H2734" s="1">
        <v>1</v>
      </c>
      <c r="I2734" s="1">
        <v>0</v>
      </c>
      <c r="J2734" s="1">
        <v>0</v>
      </c>
      <c r="K2734" s="2">
        <v>6.35</v>
      </c>
    </row>
    <row r="2735" spans="1:12">
      <c r="A2735" s="3" t="s">
        <v>2194</v>
      </c>
      <c r="B2735" s="3" t="s">
        <v>2526</v>
      </c>
      <c r="C2735" s="3" t="s">
        <v>1086</v>
      </c>
      <c r="D2735" s="3"/>
      <c r="E2735" s="2" t="str">
        <f>HYPERLINK("https://old.ukr-mobil.com/displej_nokia_1_3_s_tachskrinom_original_prc_black_10001024", "Перейти")</f>
        <v>Перейти</v>
      </c>
      <c r="F2735" s="2">
        <v>10001024</v>
      </c>
      <c r="G2735" s="4" t="s">
        <v>2871</v>
      </c>
      <c r="H2735" s="1">
        <v>12</v>
      </c>
      <c r="I2735" s="1">
        <v>7</v>
      </c>
      <c r="J2735" s="1">
        <v>0</v>
      </c>
      <c r="K2735" s="2">
        <v>11.0</v>
      </c>
    </row>
    <row r="2736" spans="1:12">
      <c r="A2736" s="3" t="s">
        <v>2194</v>
      </c>
      <c r="B2736" s="3" t="s">
        <v>2526</v>
      </c>
      <c r="C2736" s="3" t="s">
        <v>1086</v>
      </c>
      <c r="D2736" s="3"/>
      <c r="E2736" s="2" t="str">
        <f>HYPERLINK("https://old.ukr-mobil.com/displej_nokia_1_4_ta-1322_ta-1323_ta-1329_s_tachskrinom_original_prc_black_10001932", "Перейти")</f>
        <v>Перейти</v>
      </c>
      <c r="F2736" s="2">
        <v>10001932</v>
      </c>
      <c r="G2736" s="4" t="s">
        <v>2872</v>
      </c>
      <c r="H2736" s="1">
        <v>0</v>
      </c>
      <c r="I2736" s="1">
        <v>1</v>
      </c>
      <c r="J2736" s="1">
        <v>0</v>
      </c>
      <c r="K2736" s="2">
        <v>11.0</v>
      </c>
    </row>
    <row r="2737" spans="1:12">
      <c r="A2737" s="3" t="s">
        <v>2194</v>
      </c>
      <c r="B2737" s="3" t="s">
        <v>2526</v>
      </c>
      <c r="C2737" s="3" t="s">
        <v>1086</v>
      </c>
      <c r="D2737" s="3"/>
      <c r="E2737" s="2" t="str">
        <f>HYPERLINK("https://old.ukr-mobil.com/displej_nokia_2_1_s_tachskrinom_black_11028", "Перейти")</f>
        <v>Перейти</v>
      </c>
      <c r="F2737" s="2">
        <v>11028</v>
      </c>
      <c r="G2737" s="4" t="s">
        <v>2873</v>
      </c>
      <c r="H2737" s="1">
        <v>1</v>
      </c>
      <c r="I2737" s="1">
        <v>0</v>
      </c>
      <c r="J2737" s="1">
        <v>0</v>
      </c>
      <c r="K2737" s="2">
        <v>10.0</v>
      </c>
    </row>
    <row r="2738" spans="1:12">
      <c r="A2738" s="3" t="s">
        <v>2194</v>
      </c>
      <c r="B2738" s="3" t="s">
        <v>2526</v>
      </c>
      <c r="C2738" s="3" t="s">
        <v>1086</v>
      </c>
      <c r="D2738" s="3"/>
      <c r="E2738" s="2" t="str">
        <f>HYPERLINK("https://old.ukr-mobil.com/displej_nokia_2_3_s_tachskrinom_original_prc_black_10001025", "Перейти")</f>
        <v>Перейти</v>
      </c>
      <c r="F2738" s="2">
        <v>10001025</v>
      </c>
      <c r="G2738" s="4" t="s">
        <v>2874</v>
      </c>
      <c r="H2738" s="1">
        <v>1</v>
      </c>
      <c r="I2738" s="1">
        <v>0</v>
      </c>
      <c r="J2738" s="1">
        <v>0</v>
      </c>
      <c r="K2738" s="2">
        <v>14.0</v>
      </c>
    </row>
    <row r="2739" spans="1:12">
      <c r="A2739" s="3" t="s">
        <v>2194</v>
      </c>
      <c r="B2739" s="3" t="s">
        <v>2526</v>
      </c>
      <c r="C2739" s="3" t="s">
        <v>1086</v>
      </c>
      <c r="D2739" s="3"/>
      <c r="E2739" s="2" t="str">
        <f>HYPERLINK("https://old.ukr-mobil.com/displej_nokia_2_4_ta-1277_ta-1275_ta-1274_ta-1270_s_tachskrinom_original_prc_black_10001933", "Перейти")</f>
        <v>Перейти</v>
      </c>
      <c r="F2739" s="2">
        <v>10001933</v>
      </c>
      <c r="G2739" s="4" t="s">
        <v>2875</v>
      </c>
      <c r="H2739" s="1">
        <v>0</v>
      </c>
      <c r="I2739" s="1">
        <v>0</v>
      </c>
      <c r="J2739" s="1">
        <v>0</v>
      </c>
      <c r="K2739" s="2">
        <v>13.0</v>
      </c>
    </row>
    <row r="2740" spans="1:12">
      <c r="A2740" s="3" t="s">
        <v>2194</v>
      </c>
      <c r="B2740" s="3" t="s">
        <v>2526</v>
      </c>
      <c r="C2740" s="3" t="s">
        <v>1086</v>
      </c>
      <c r="D2740" s="3"/>
      <c r="E2740" s="2" t="str">
        <f>HYPERLINK("https://old.ukr-mobil.com/displej_nokia_3_1_plus_s_tachskrinom_original_prc_black_10000736", "Перейти")</f>
        <v>Перейти</v>
      </c>
      <c r="F2740" s="2">
        <v>10000736</v>
      </c>
      <c r="G2740" s="4" t="s">
        <v>2876</v>
      </c>
      <c r="H2740" s="1">
        <v>0</v>
      </c>
      <c r="I2740" s="1">
        <v>0</v>
      </c>
      <c r="J2740" s="1">
        <v>0</v>
      </c>
      <c r="K2740" s="2">
        <v>10.55</v>
      </c>
    </row>
    <row r="2741" spans="1:12">
      <c r="A2741" s="3" t="s">
        <v>2194</v>
      </c>
      <c r="B2741" s="3" t="s">
        <v>2526</v>
      </c>
      <c r="C2741" s="3" t="s">
        <v>1086</v>
      </c>
      <c r="D2741" s="3"/>
      <c r="E2741" s="2" t="str">
        <f>HYPERLINK("https://old.ukr-mobil.com/displej_nokia_3_2_dual_sim_s_tachskrinom_high_copy_black_10000415", "Перейти")</f>
        <v>Перейти</v>
      </c>
      <c r="F2741" s="2">
        <v>10000415</v>
      </c>
      <c r="G2741" s="4" t="s">
        <v>2877</v>
      </c>
      <c r="H2741" s="1">
        <v>1</v>
      </c>
      <c r="I2741" s="1">
        <v>0</v>
      </c>
      <c r="J2741" s="1">
        <v>0</v>
      </c>
      <c r="K2741" s="2">
        <v>10.0</v>
      </c>
    </row>
    <row r="2742" spans="1:12">
      <c r="A2742" s="3" t="s">
        <v>2194</v>
      </c>
      <c r="B2742" s="3" t="s">
        <v>2526</v>
      </c>
      <c r="C2742" s="3" t="s">
        <v>1086</v>
      </c>
      <c r="D2742" s="3"/>
      <c r="E2742" s="2" t="str">
        <f>HYPERLINK("https://old.ukr-mobil.com/displej_nokia_3_2_dual_sim_s_tachskrinom_original_prc_black_10000732", "Перейти")</f>
        <v>Перейти</v>
      </c>
      <c r="F2742" s="2">
        <v>10000732</v>
      </c>
      <c r="G2742" s="4" t="s">
        <v>2878</v>
      </c>
      <c r="H2742" s="1">
        <v>28</v>
      </c>
      <c r="I2742" s="1">
        <v>7</v>
      </c>
      <c r="J2742" s="1">
        <v>15</v>
      </c>
      <c r="K2742" s="2">
        <v>10.0</v>
      </c>
    </row>
    <row r="2743" spans="1:12">
      <c r="A2743" s="3" t="s">
        <v>2194</v>
      </c>
      <c r="B2743" s="3" t="s">
        <v>2526</v>
      </c>
      <c r="C2743" s="3" t="s">
        <v>1086</v>
      </c>
      <c r="D2743" s="3"/>
      <c r="E2743" s="2" t="str">
        <f>HYPERLINK("https://old.ukr-mobil.com/displej_nokia_3_4_s_tachskrinom_original_black_10001275", "Перейти")</f>
        <v>Перейти</v>
      </c>
      <c r="F2743" s="2">
        <v>10001275</v>
      </c>
      <c r="G2743" s="4" t="s">
        <v>2879</v>
      </c>
      <c r="H2743" s="1">
        <v>0</v>
      </c>
      <c r="I2743" s="1">
        <v>0</v>
      </c>
      <c r="J2743" s="1">
        <v>0</v>
      </c>
      <c r="K2743" s="2">
        <v>11.0</v>
      </c>
    </row>
    <row r="2744" spans="1:12">
      <c r="A2744" s="3" t="s">
        <v>2194</v>
      </c>
      <c r="B2744" s="3" t="s">
        <v>2526</v>
      </c>
      <c r="C2744" s="3" t="s">
        <v>1086</v>
      </c>
      <c r="D2744" s="3"/>
      <c r="E2744" s="2" t="str">
        <f>HYPERLINK("https://old.ukr-mobil.com/displej_nokia_4_2_dual_sim_s_tachskrinom_high_copy_black_10000414", "Перейти")</f>
        <v>Перейти</v>
      </c>
      <c r="F2744" s="2">
        <v>10000414</v>
      </c>
      <c r="G2744" s="4" t="s">
        <v>2880</v>
      </c>
      <c r="H2744" s="1">
        <v>0</v>
      </c>
      <c r="I2744" s="1">
        <v>0</v>
      </c>
      <c r="J2744" s="1">
        <v>0</v>
      </c>
      <c r="K2744" s="2">
        <v>8.0</v>
      </c>
    </row>
    <row r="2745" spans="1:12">
      <c r="A2745" s="3" t="s">
        <v>2194</v>
      </c>
      <c r="B2745" s="3" t="s">
        <v>2526</v>
      </c>
      <c r="C2745" s="3" t="s">
        <v>1086</v>
      </c>
      <c r="D2745" s="3"/>
      <c r="E2745" s="2" t="str">
        <f>HYPERLINK("https://old.ukr-mobil.com/displej_nokia_5_1_s_tachskrinom_black_11206", "Перейти")</f>
        <v>Перейти</v>
      </c>
      <c r="F2745" s="2">
        <v>11206</v>
      </c>
      <c r="G2745" s="4" t="s">
        <v>2881</v>
      </c>
      <c r="H2745" s="1">
        <v>1</v>
      </c>
      <c r="I2745" s="1">
        <v>0</v>
      </c>
      <c r="J2745" s="1">
        <v>1</v>
      </c>
      <c r="K2745" s="2">
        <v>16.0</v>
      </c>
    </row>
    <row r="2746" spans="1:12">
      <c r="A2746" s="3" t="s">
        <v>2194</v>
      </c>
      <c r="B2746" s="3" t="s">
        <v>2526</v>
      </c>
      <c r="C2746" s="3" t="s">
        <v>1086</v>
      </c>
      <c r="D2746" s="3"/>
      <c r="E2746" s="2" t="str">
        <f>HYPERLINK("https://old.ukr-mobil.com/displej_nokia_6_1_plus_x6_s_tachskrinom_black_11026", "Перейти")</f>
        <v>Перейти</v>
      </c>
      <c r="F2746" s="2">
        <v>11026</v>
      </c>
      <c r="G2746" s="4" t="s">
        <v>2882</v>
      </c>
      <c r="H2746" s="1">
        <v>0</v>
      </c>
      <c r="I2746" s="1">
        <v>1</v>
      </c>
      <c r="J2746" s="1">
        <v>0</v>
      </c>
      <c r="K2746" s="2">
        <v>19.15</v>
      </c>
    </row>
    <row r="2747" spans="1:12">
      <c r="A2747" s="3" t="s">
        <v>2194</v>
      </c>
      <c r="B2747" s="3" t="s">
        <v>2526</v>
      </c>
      <c r="C2747" s="3" t="s">
        <v>1086</v>
      </c>
      <c r="D2747" s="3"/>
      <c r="E2747" s="2" t="str">
        <f>HYPERLINK("https://old.ukr-mobil.com/displej_nokia_6_1_s_tachskrinom_black_11207", "Перейти")</f>
        <v>Перейти</v>
      </c>
      <c r="F2747" s="2">
        <v>11207</v>
      </c>
      <c r="G2747" s="4" t="s">
        <v>2883</v>
      </c>
      <c r="H2747" s="1">
        <v>0</v>
      </c>
      <c r="I2747" s="1">
        <v>1</v>
      </c>
      <c r="J2747" s="1">
        <v>0</v>
      </c>
      <c r="K2747" s="2">
        <v>0.0</v>
      </c>
    </row>
    <row r="2748" spans="1:12">
      <c r="A2748" s="3" t="s">
        <v>2194</v>
      </c>
      <c r="B2748" s="3" t="s">
        <v>2526</v>
      </c>
      <c r="C2748" s="3" t="s">
        <v>1086</v>
      </c>
      <c r="D2748" s="3"/>
      <c r="E2748" s="2" t="str">
        <f>HYPERLINK("https://old.ukr-mobil.com/displej_nokia_6_2_s_tachskrinom_original_black_10001023", "Перейти")</f>
        <v>Перейти</v>
      </c>
      <c r="F2748" s="2">
        <v>10001023</v>
      </c>
      <c r="G2748" s="4" t="s">
        <v>2884</v>
      </c>
      <c r="H2748" s="1">
        <v>31</v>
      </c>
      <c r="I2748" s="1">
        <v>3</v>
      </c>
      <c r="J2748" s="1">
        <v>1</v>
      </c>
      <c r="K2748" s="2">
        <v>11.5</v>
      </c>
    </row>
    <row r="2749" spans="1:12">
      <c r="A2749" s="3" t="s">
        <v>2194</v>
      </c>
      <c r="B2749" s="3" t="s">
        <v>2526</v>
      </c>
      <c r="C2749" s="3" t="s">
        <v>1086</v>
      </c>
      <c r="D2749" s="3"/>
      <c r="E2749" s="2" t="str">
        <f>HYPERLINK("https://old.ukr-mobil.com/displej_nokia_7_dual_sim_s_tachskrinom_black_9988", "Перейти")</f>
        <v>Перейти</v>
      </c>
      <c r="F2749" s="2">
        <v>9988</v>
      </c>
      <c r="G2749" s="4" t="s">
        <v>2885</v>
      </c>
      <c r="H2749" s="1">
        <v>1</v>
      </c>
      <c r="I2749" s="1">
        <v>4</v>
      </c>
      <c r="J2749" s="1">
        <v>1</v>
      </c>
      <c r="K2749" s="2">
        <v>5.85</v>
      </c>
    </row>
    <row r="2750" spans="1:12">
      <c r="A2750" s="3" t="s">
        <v>2194</v>
      </c>
      <c r="B2750" s="3" t="s">
        <v>2526</v>
      </c>
      <c r="C2750" s="3" t="s">
        <v>1086</v>
      </c>
      <c r="D2750" s="3"/>
      <c r="E2750" s="2" t="str">
        <f>HYPERLINK("https://old.ukr-mobil.com/displej_nokia_7_1_s_tachskrinom_original_prc_black_11394", "Перейти")</f>
        <v>Перейти</v>
      </c>
      <c r="F2750" s="2">
        <v>11394</v>
      </c>
      <c r="G2750" s="4" t="s">
        <v>2886</v>
      </c>
      <c r="H2750" s="1">
        <v>0</v>
      </c>
      <c r="I2750" s="1">
        <v>0</v>
      </c>
      <c r="J2750" s="1">
        <v>0</v>
      </c>
      <c r="K2750" s="2">
        <v>18.5</v>
      </c>
    </row>
    <row r="2751" spans="1:12">
      <c r="A2751" s="3" t="s">
        <v>2194</v>
      </c>
      <c r="B2751" s="3" t="s">
        <v>2526</v>
      </c>
      <c r="C2751" s="3" t="s">
        <v>1086</v>
      </c>
      <c r="D2751" s="3"/>
      <c r="E2751" s="2" t="str">
        <f>HYPERLINK("https://old.ukr-mobil.com/displej_nokia_700_lumia_c_tachskrinom_white_3324", "Перейти")</f>
        <v>Перейти</v>
      </c>
      <c r="F2751" s="2">
        <v>3324</v>
      </c>
      <c r="G2751" s="4" t="s">
        <v>2887</v>
      </c>
      <c r="H2751" s="1">
        <v>0</v>
      </c>
      <c r="I2751" s="1">
        <v>0</v>
      </c>
      <c r="J2751" s="1">
        <v>0</v>
      </c>
      <c r="K2751" s="2">
        <v>11.09</v>
      </c>
    </row>
    <row r="2752" spans="1:12">
      <c r="A2752" s="3" t="s">
        <v>2194</v>
      </c>
      <c r="B2752" s="3" t="s">
        <v>2526</v>
      </c>
      <c r="C2752" s="3" t="s">
        <v>1086</v>
      </c>
      <c r="D2752" s="3"/>
      <c r="E2752" s="2" t="str">
        <f>HYPERLINK("https://old.ukr-mobil.com/displej_nokia_8_s_tachskrinom_black_11027", "Перейти")</f>
        <v>Перейти</v>
      </c>
      <c r="F2752" s="2">
        <v>11027</v>
      </c>
      <c r="G2752" s="4" t="s">
        <v>2888</v>
      </c>
      <c r="H2752" s="1">
        <v>0</v>
      </c>
      <c r="I2752" s="1">
        <v>0</v>
      </c>
      <c r="J2752" s="1">
        <v>0</v>
      </c>
      <c r="K2752" s="2">
        <v>23.18</v>
      </c>
    </row>
    <row r="2753" spans="1:12">
      <c r="A2753" s="3" t="s">
        <v>2194</v>
      </c>
      <c r="B2753" s="3" t="s">
        <v>2526</v>
      </c>
      <c r="C2753" s="3" t="s">
        <v>1086</v>
      </c>
      <c r="D2753" s="3"/>
      <c r="E2753" s="2" t="str">
        <f>HYPERLINK("https://old.ukr-mobil.com/displej_nokia_8_1_dual_sim_s_tachskrinom_black_11859", "Перейти")</f>
        <v>Перейти</v>
      </c>
      <c r="F2753" s="2">
        <v>11859</v>
      </c>
      <c r="G2753" s="4" t="s">
        <v>2889</v>
      </c>
      <c r="H2753" s="1">
        <v>0</v>
      </c>
      <c r="I2753" s="1">
        <v>0</v>
      </c>
      <c r="J2753" s="1">
        <v>0</v>
      </c>
      <c r="K2753" s="2">
        <v>27.22</v>
      </c>
    </row>
    <row r="2754" spans="1:12">
      <c r="A2754" s="3" t="s">
        <v>2194</v>
      </c>
      <c r="B2754" s="3" t="s">
        <v>2526</v>
      </c>
      <c r="C2754" s="3" t="s">
        <v>1086</v>
      </c>
      <c r="D2754" s="3"/>
      <c r="E2754" s="2" t="str">
        <f>HYPERLINK("https://old.ukr-mobil.com/displej_nokia_c1_plus_s_tachskrinom_high_quality_black_10003299", "Перейти")</f>
        <v>Перейти</v>
      </c>
      <c r="F2754" s="2">
        <v>10003299</v>
      </c>
      <c r="G2754" s="4" t="s">
        <v>2890</v>
      </c>
      <c r="H2754" s="1">
        <v>4</v>
      </c>
      <c r="I2754" s="1">
        <v>2</v>
      </c>
      <c r="J2754" s="1">
        <v>2</v>
      </c>
      <c r="K2754" s="2">
        <v>16.0</v>
      </c>
    </row>
    <row r="2755" spans="1:12">
      <c r="A2755" s="3" t="s">
        <v>2194</v>
      </c>
      <c r="B2755" s="3" t="s">
        <v>2526</v>
      </c>
      <c r="C2755" s="3" t="s">
        <v>1086</v>
      </c>
      <c r="D2755" s="3"/>
      <c r="E2755" s="2" t="str">
        <f>HYPERLINK("https://old.ukr-mobil.com/displej_nokia_c10_ta-1342_c20_ta-1348_ta-1356_c20_dual_sim_ta-1339_ta-1352_c21_ta-1356_ta-1352_s_tachskrinom_high_quality_black_10003298", "Перейти")</f>
        <v>Перейти</v>
      </c>
      <c r="F2755" s="2">
        <v>10003298</v>
      </c>
      <c r="G2755" s="4" t="s">
        <v>2891</v>
      </c>
      <c r="H2755" s="1">
        <v>5</v>
      </c>
      <c r="I2755" s="1">
        <v>4</v>
      </c>
      <c r="J2755" s="1">
        <v>0</v>
      </c>
      <c r="K2755" s="2">
        <v>10.0</v>
      </c>
    </row>
    <row r="2756" spans="1:12">
      <c r="A2756" s="3" t="s">
        <v>2194</v>
      </c>
      <c r="B2756" s="3" t="s">
        <v>2526</v>
      </c>
      <c r="C2756" s="3" t="s">
        <v>1086</v>
      </c>
      <c r="D2756" s="3"/>
      <c r="E2756" s="2" t="str">
        <f>HYPERLINK("https://old.ukr-mobil.com/displej_nokia_c21_plus_ta-1424_s_tachskrinom_high_quality_black_10003300", "Перейти")</f>
        <v>Перейти</v>
      </c>
      <c r="F2756" s="2">
        <v>10003300</v>
      </c>
      <c r="G2756" s="4" t="s">
        <v>2892</v>
      </c>
      <c r="H2756" s="1">
        <v>0</v>
      </c>
      <c r="I2756" s="1">
        <v>0</v>
      </c>
      <c r="J2756" s="1">
        <v>0</v>
      </c>
      <c r="K2756" s="2">
        <v>11.0</v>
      </c>
    </row>
    <row r="2757" spans="1:12">
      <c r="A2757" s="3" t="s">
        <v>2194</v>
      </c>
      <c r="B2757" s="3" t="s">
        <v>2526</v>
      </c>
      <c r="C2757" s="3" t="s">
        <v>1086</v>
      </c>
      <c r="D2757" s="3"/>
      <c r="E2757" s="2" t="str">
        <f>HYPERLINK("https://old.ukr-mobil.com/displej_nokia_c3-00_e5-00_x2-01_asha_200_asha_201_asha_302_1731", "Перейти")</f>
        <v>Перейти</v>
      </c>
      <c r="F2757" s="2">
        <v>1731</v>
      </c>
      <c r="G2757" s="4" t="s">
        <v>2893</v>
      </c>
      <c r="H2757" s="1">
        <v>0</v>
      </c>
      <c r="I2757" s="1">
        <v>0</v>
      </c>
      <c r="J2757" s="1">
        <v>2</v>
      </c>
      <c r="K2757" s="2">
        <v>2.5</v>
      </c>
    </row>
    <row r="2758" spans="1:12">
      <c r="A2758" s="3" t="s">
        <v>2194</v>
      </c>
      <c r="B2758" s="3" t="s">
        <v>2526</v>
      </c>
      <c r="C2758" s="3" t="s">
        <v>1086</v>
      </c>
      <c r="D2758" s="3"/>
      <c r="E2758" s="2" t="str">
        <f>HYPERLINK("https://old.ukr-mobil.com/displej_nokia_c30_ta-1357_ta-1377_ta-1369_ta-1360_ta-1359_s_tachskrinom_high_copy_black_10002946", "Перейти")</f>
        <v>Перейти</v>
      </c>
      <c r="F2758" s="2">
        <v>10002946</v>
      </c>
      <c r="G2758" s="4" t="s">
        <v>2894</v>
      </c>
      <c r="H2758" s="1">
        <v>3</v>
      </c>
      <c r="I2758" s="1">
        <v>3</v>
      </c>
      <c r="J2758" s="1">
        <v>0</v>
      </c>
      <c r="K2758" s="2">
        <v>12.0</v>
      </c>
    </row>
    <row r="2759" spans="1:12">
      <c r="A2759" s="3" t="s">
        <v>2194</v>
      </c>
      <c r="B2759" s="3" t="s">
        <v>2526</v>
      </c>
      <c r="C2759" s="3" t="s">
        <v>1086</v>
      </c>
      <c r="D2759" s="3"/>
      <c r="E2759" s="2" t="str">
        <f>HYPERLINK("https://old.ukr-mobil.com/displej_nokia_g10_g20_ta-1334_ta-1351_ta-1346_ta-1338_s_tachskrinom_original_prc_black_10002097", "Перейти")</f>
        <v>Перейти</v>
      </c>
      <c r="F2759" s="2">
        <v>10002097</v>
      </c>
      <c r="G2759" s="4" t="s">
        <v>2895</v>
      </c>
      <c r="H2759" s="1">
        <v>0</v>
      </c>
      <c r="I2759" s="1">
        <v>0</v>
      </c>
      <c r="J2759" s="1">
        <v>0</v>
      </c>
      <c r="K2759" s="2">
        <v>11.0</v>
      </c>
    </row>
    <row r="2760" spans="1:12">
      <c r="A2760" s="3" t="s">
        <v>2194</v>
      </c>
      <c r="B2760" s="3" t="s">
        <v>2526</v>
      </c>
      <c r="C2760" s="3" t="s">
        <v>1086</v>
      </c>
      <c r="D2760" s="3"/>
      <c r="E2760" s="2" t="str">
        <f>HYPERLINK("https://old.ukr-mobil.com/displej_nokia_g10_ta-1334_ta-1351_g20_ta-1336_ta-1334_s_tachskrinom_s_ramkoj_original_prc_black_10002535", "Перейти")</f>
        <v>Перейти</v>
      </c>
      <c r="F2760" s="2">
        <v>10002535</v>
      </c>
      <c r="G2760" s="4" t="s">
        <v>2896</v>
      </c>
      <c r="H2760" s="1">
        <v>0</v>
      </c>
      <c r="I2760" s="1">
        <v>0</v>
      </c>
      <c r="J2760" s="1">
        <v>0</v>
      </c>
      <c r="K2760" s="2">
        <v>30.0</v>
      </c>
    </row>
    <row r="2761" spans="1:12">
      <c r="A2761" s="3" t="s">
        <v>2194</v>
      </c>
      <c r="B2761" s="3" t="s">
        <v>2526</v>
      </c>
      <c r="C2761" s="3" t="s">
        <v>1086</v>
      </c>
      <c r="D2761" s="3"/>
      <c r="E2761" s="2" t="str">
        <f>HYPERLINK("https://old.ukr-mobil.com/displej_nokia_g11_g21_ta-1401_ta-1405_ta-1404_ta-1412_ta-1418_s_tachskrinom_high_quality_black_10003301", "Перейти")</f>
        <v>Перейти</v>
      </c>
      <c r="F2761" s="2">
        <v>10003301</v>
      </c>
      <c r="G2761" s="4" t="s">
        <v>2897</v>
      </c>
      <c r="H2761" s="1">
        <v>7</v>
      </c>
      <c r="I2761" s="1">
        <v>10</v>
      </c>
      <c r="J2761" s="1">
        <v>0</v>
      </c>
      <c r="K2761" s="2">
        <v>10.95</v>
      </c>
    </row>
    <row r="2762" spans="1:12">
      <c r="A2762" s="3" t="s">
        <v>2194</v>
      </c>
      <c r="B2762" s="3" t="s">
        <v>2526</v>
      </c>
      <c r="C2762" s="3" t="s">
        <v>1086</v>
      </c>
      <c r="D2762" s="3"/>
      <c r="E2762" s="2" t="str">
        <f>HYPERLINK("https://old.ukr-mobil.com/displej_nokia_g50_ta-1358_ta-1390_ta-1370_ta-1367_ta-1361_s_tachskrinom_high_quality_black_10003297", "Перейти")</f>
        <v>Перейти</v>
      </c>
      <c r="F2762" s="2">
        <v>10003297</v>
      </c>
      <c r="G2762" s="4" t="s">
        <v>2898</v>
      </c>
      <c r="H2762" s="1">
        <v>0</v>
      </c>
      <c r="I2762" s="1">
        <v>2</v>
      </c>
      <c r="J2762" s="1">
        <v>0</v>
      </c>
      <c r="K2762" s="2">
        <v>15.25</v>
      </c>
    </row>
    <row r="2763" spans="1:12">
      <c r="A2763" s="3" t="s">
        <v>2194</v>
      </c>
      <c r="B2763" s="3" t="s">
        <v>2526</v>
      </c>
      <c r="C2763" s="3" t="s">
        <v>1086</v>
      </c>
      <c r="D2763" s="3"/>
      <c r="E2763" s="2" t="str">
        <f>HYPERLINK("https://old.ukr-mobil.com/displej_nokia_x2-02_x2-05_3118", "Перейти")</f>
        <v>Перейти</v>
      </c>
      <c r="F2763" s="2">
        <v>3118</v>
      </c>
      <c r="G2763" s="4" t="s">
        <v>2899</v>
      </c>
      <c r="H2763" s="1">
        <v>1</v>
      </c>
      <c r="I2763" s="1">
        <v>0</v>
      </c>
      <c r="J2763" s="1">
        <v>0</v>
      </c>
      <c r="K2763" s="2">
        <v>5.0</v>
      </c>
    </row>
    <row r="2764" spans="1:12">
      <c r="A2764" s="3" t="s">
        <v>2194</v>
      </c>
      <c r="B2764" s="3" t="s">
        <v>2526</v>
      </c>
      <c r="C2764" s="3" t="s">
        <v>1086</v>
      </c>
      <c r="D2764" s="3"/>
      <c r="E2764" s="2" t="str">
        <f>HYPERLINK("https://old.ukr-mobil.com/displej_nokia_x2_dual_sim_c_tachskrinom_ramkoj_original_5255", "Перейти")</f>
        <v>Перейти</v>
      </c>
      <c r="F2764" s="2">
        <v>5255</v>
      </c>
      <c r="G2764" s="4" t="s">
        <v>2900</v>
      </c>
      <c r="H2764" s="1">
        <v>2</v>
      </c>
      <c r="I2764" s="1">
        <v>0</v>
      </c>
      <c r="J2764" s="1">
        <v>0</v>
      </c>
      <c r="K2764" s="2">
        <v>9.0</v>
      </c>
    </row>
    <row r="2765" spans="1:12">
      <c r="A2765" s="3" t="s">
        <v>2194</v>
      </c>
      <c r="B2765" s="3" t="s">
        <v>2526</v>
      </c>
      <c r="C2765" s="3" t="s">
        <v>1090</v>
      </c>
      <c r="D2765" s="3"/>
      <c r="E2765" s="2" t="str">
        <f>HYPERLINK("https://old.ukr-mobil.com/displej_oneplus_10_pro_ne2210_ne2211_ne2213_ne2215_s_tachskrinom_original_black_10003146", "Перейти")</f>
        <v>Перейти</v>
      </c>
      <c r="F2765" s="2">
        <v>10003146</v>
      </c>
      <c r="G2765" s="4" t="s">
        <v>2901</v>
      </c>
      <c r="H2765" s="1">
        <v>0</v>
      </c>
      <c r="I2765" s="1">
        <v>2</v>
      </c>
      <c r="J2765" s="1">
        <v>0</v>
      </c>
      <c r="K2765" s="2">
        <v>136.0</v>
      </c>
    </row>
    <row r="2766" spans="1:12">
      <c r="A2766" s="3" t="s">
        <v>2194</v>
      </c>
      <c r="B2766" s="3" t="s">
        <v>2526</v>
      </c>
      <c r="C2766" s="3" t="s">
        <v>1090</v>
      </c>
      <c r="D2766" s="3"/>
      <c r="E2766" s="2" t="str">
        <f>HYPERLINK("https://old.ukr-mobil.com/displej_oneplus_3_a3003_oneplus_3t_a3010_s_tachskrinom_oled_black_9630", "Перейти")</f>
        <v>Перейти</v>
      </c>
      <c r="F2766" s="2">
        <v>9630</v>
      </c>
      <c r="G2766" s="4" t="s">
        <v>2902</v>
      </c>
      <c r="H2766" s="1">
        <v>1</v>
      </c>
      <c r="I2766" s="1">
        <v>0</v>
      </c>
      <c r="J2766" s="1">
        <v>0</v>
      </c>
      <c r="K2766" s="2">
        <v>41.0</v>
      </c>
    </row>
    <row r="2767" spans="1:12">
      <c r="A2767" s="3" t="s">
        <v>2194</v>
      </c>
      <c r="B2767" s="3" t="s">
        <v>2526</v>
      </c>
      <c r="C2767" s="3" t="s">
        <v>1090</v>
      </c>
      <c r="D2767" s="3"/>
      <c r="E2767" s="2" t="str">
        <f>HYPERLINK("https://old.ukr-mobil.com/displej_oneplus_6_s_tachskrinom_oled_black_10001315", "Перейти")</f>
        <v>Перейти</v>
      </c>
      <c r="F2767" s="2">
        <v>10001315</v>
      </c>
      <c r="G2767" s="4" t="s">
        <v>2903</v>
      </c>
      <c r="H2767" s="1">
        <v>1</v>
      </c>
      <c r="I2767" s="1">
        <v>0</v>
      </c>
      <c r="J2767" s="1">
        <v>0</v>
      </c>
      <c r="K2767" s="2">
        <v>30.45</v>
      </c>
    </row>
    <row r="2768" spans="1:12">
      <c r="A2768" s="3" t="s">
        <v>2194</v>
      </c>
      <c r="B2768" s="3" t="s">
        <v>2526</v>
      </c>
      <c r="C2768" s="3" t="s">
        <v>1090</v>
      </c>
      <c r="D2768" s="3"/>
      <c r="E2768" s="2" t="str">
        <f>HYPERLINK("https://old.ukr-mobil.com/displej_oneplus_6_a6003_s_tachskrinom_original_prc_black_10394", "Перейти")</f>
        <v>Перейти</v>
      </c>
      <c r="F2768" s="2">
        <v>10394</v>
      </c>
      <c r="G2768" s="4" t="s">
        <v>2904</v>
      </c>
      <c r="H2768" s="1">
        <v>1</v>
      </c>
      <c r="I2768" s="1">
        <v>0</v>
      </c>
      <c r="J2768" s="1">
        <v>0</v>
      </c>
      <c r="K2768" s="2">
        <v>70.0</v>
      </c>
    </row>
    <row r="2769" spans="1:12">
      <c r="A2769" s="3" t="s">
        <v>2194</v>
      </c>
      <c r="B2769" s="3" t="s">
        <v>2526</v>
      </c>
      <c r="C2769" s="3" t="s">
        <v>1090</v>
      </c>
      <c r="D2769" s="3"/>
      <c r="E2769" s="2" t="str">
        <f>HYPERLINK("https://old.ukr-mobil.com/displej_oneplus_6t_s_tachskrinom_oled_black_10001314", "Перейти")</f>
        <v>Перейти</v>
      </c>
      <c r="F2769" s="2">
        <v>10001314</v>
      </c>
      <c r="G2769" s="4" t="s">
        <v>2905</v>
      </c>
      <c r="H2769" s="1">
        <v>0</v>
      </c>
      <c r="I2769" s="1">
        <v>0</v>
      </c>
      <c r="J2769" s="1">
        <v>0</v>
      </c>
      <c r="K2769" s="2">
        <v>25.0</v>
      </c>
    </row>
    <row r="2770" spans="1:12">
      <c r="A2770" s="3" t="s">
        <v>2194</v>
      </c>
      <c r="B2770" s="3" t="s">
        <v>2526</v>
      </c>
      <c r="C2770" s="3" t="s">
        <v>1090</v>
      </c>
      <c r="D2770" s="3"/>
      <c r="E2770" s="2" t="str">
        <f>HYPERLINK("https://old.ukr-mobil.com/displej_oneplus_7t_s_tachskrinom_oled_black_10001148", "Перейти")</f>
        <v>Перейти</v>
      </c>
      <c r="F2770" s="2">
        <v>10001148</v>
      </c>
      <c r="G2770" s="4" t="s">
        <v>2906</v>
      </c>
      <c r="H2770" s="1">
        <v>0</v>
      </c>
      <c r="I2770" s="1">
        <v>0</v>
      </c>
      <c r="J2770" s="1">
        <v>0</v>
      </c>
      <c r="K2770" s="2">
        <v>20.0</v>
      </c>
    </row>
    <row r="2771" spans="1:12">
      <c r="A2771" s="3" t="s">
        <v>2194</v>
      </c>
      <c r="B2771" s="3" t="s">
        <v>2526</v>
      </c>
      <c r="C2771" s="3" t="s">
        <v>1090</v>
      </c>
      <c r="D2771" s="3"/>
      <c r="E2771" s="2" t="str">
        <f>HYPERLINK("https://old.ukr-mobil.com/displej_oneplus_7t_s_tachskrinom_oled_black_10001627", "Перейти")</f>
        <v>Перейти</v>
      </c>
      <c r="F2771" s="2">
        <v>10001627</v>
      </c>
      <c r="G2771" s="4" t="s">
        <v>2907</v>
      </c>
      <c r="H2771" s="1">
        <v>0</v>
      </c>
      <c r="I2771" s="1">
        <v>0</v>
      </c>
      <c r="J2771" s="1">
        <v>0</v>
      </c>
      <c r="K2771" s="2">
        <v>23.5</v>
      </c>
    </row>
    <row r="2772" spans="1:12">
      <c r="A2772" s="3" t="s">
        <v>2194</v>
      </c>
      <c r="B2772" s="3" t="s">
        <v>2526</v>
      </c>
      <c r="C2772" s="3" t="s">
        <v>1090</v>
      </c>
      <c r="D2772" s="3"/>
      <c r="E2772" s="2" t="str">
        <f>HYPERLINK("https://old.ukr-mobil.com/displej_oneplus_7t_s_tachskrinom_original_black_10001313", "Перейти")</f>
        <v>Перейти</v>
      </c>
      <c r="F2772" s="2">
        <v>10001313</v>
      </c>
      <c r="G2772" s="4" t="s">
        <v>2908</v>
      </c>
      <c r="H2772" s="1">
        <v>0</v>
      </c>
      <c r="I2772" s="1">
        <v>0</v>
      </c>
      <c r="J2772" s="1">
        <v>0</v>
      </c>
      <c r="K2772" s="2">
        <v>135.0</v>
      </c>
    </row>
    <row r="2773" spans="1:12">
      <c r="A2773" s="3" t="s">
        <v>2194</v>
      </c>
      <c r="B2773" s="3" t="s">
        <v>2526</v>
      </c>
      <c r="C2773" s="3" t="s">
        <v>1090</v>
      </c>
      <c r="D2773" s="3"/>
      <c r="E2773" s="2" t="str">
        <f>HYPERLINK("https://old.ukr-mobil.com/displej_oneplus_8_pro_s_tachskrinom_original_black_10001317", "Перейти")</f>
        <v>Перейти</v>
      </c>
      <c r="F2773" s="2">
        <v>10001317</v>
      </c>
      <c r="G2773" s="4" t="s">
        <v>2909</v>
      </c>
      <c r="H2773" s="1">
        <v>0</v>
      </c>
      <c r="I2773" s="1">
        <v>0</v>
      </c>
      <c r="J2773" s="1">
        <v>0</v>
      </c>
      <c r="K2773" s="2">
        <v>186.0</v>
      </c>
    </row>
    <row r="2774" spans="1:12">
      <c r="A2774" s="3" t="s">
        <v>2194</v>
      </c>
      <c r="B2774" s="3" t="s">
        <v>2526</v>
      </c>
      <c r="C2774" s="3" t="s">
        <v>1090</v>
      </c>
      <c r="D2774" s="3"/>
      <c r="E2774" s="2" t="str">
        <f>HYPERLINK("https://old.ukr-mobil.com/displej_oneplus_8_s_tachskrinom_original_black_10001147", "Перейти")</f>
        <v>Перейти</v>
      </c>
      <c r="F2774" s="2">
        <v>10001147</v>
      </c>
      <c r="G2774" s="4" t="s">
        <v>2910</v>
      </c>
      <c r="H2774" s="1">
        <v>0</v>
      </c>
      <c r="I2774" s="1">
        <v>0</v>
      </c>
      <c r="J2774" s="1">
        <v>0</v>
      </c>
      <c r="K2774" s="2">
        <v>65.0</v>
      </c>
    </row>
    <row r="2775" spans="1:12">
      <c r="A2775" s="3" t="s">
        <v>2194</v>
      </c>
      <c r="B2775" s="3" t="s">
        <v>2526</v>
      </c>
      <c r="C2775" s="3" t="s">
        <v>1090</v>
      </c>
      <c r="D2775" s="3"/>
      <c r="E2775" s="2" t="str">
        <f>HYPERLINK("https://old.ukr-mobil.com/displej_oneplus_8_s_tachskrinom_s_ramkoj_original_blue_10004466", "Перейти")</f>
        <v>Перейти</v>
      </c>
      <c r="F2775" s="2">
        <v>10004466</v>
      </c>
      <c r="G2775" s="4" t="s">
        <v>2911</v>
      </c>
      <c r="H2775" s="1">
        <v>4</v>
      </c>
      <c r="I2775" s="1">
        <v>0</v>
      </c>
      <c r="J2775" s="1">
        <v>1</v>
      </c>
      <c r="K2775" s="2">
        <v>90.0</v>
      </c>
    </row>
    <row r="2776" spans="1:12">
      <c r="A2776" s="3" t="s">
        <v>2194</v>
      </c>
      <c r="B2776" s="3" t="s">
        <v>2526</v>
      </c>
      <c r="C2776" s="3" t="s">
        <v>1090</v>
      </c>
      <c r="D2776" s="3"/>
      <c r="E2776" s="2" t="str">
        <f>HYPERLINK("https://old.ukr-mobil.com/displej_oneplus_8_s_tachskrinom_s_ramkoj_original_silver_10003179", "Перейти")</f>
        <v>Перейти</v>
      </c>
      <c r="F2776" s="2">
        <v>10003179</v>
      </c>
      <c r="G2776" s="4" t="s">
        <v>2912</v>
      </c>
      <c r="H2776" s="1">
        <v>1</v>
      </c>
      <c r="I2776" s="1">
        <v>1</v>
      </c>
      <c r="J2776" s="1">
        <v>1</v>
      </c>
      <c r="K2776" s="2">
        <v>90.0</v>
      </c>
    </row>
    <row r="2777" spans="1:12">
      <c r="A2777" s="3" t="s">
        <v>2194</v>
      </c>
      <c r="B2777" s="3" t="s">
        <v>2526</v>
      </c>
      <c r="C2777" s="3" t="s">
        <v>1090</v>
      </c>
      <c r="D2777" s="3"/>
      <c r="E2777" s="2" t="str">
        <f>HYPERLINK("https://old.ukr-mobil.com/displej_oneplus_8_s_tachskrinom_s_ramkoj_original_black_10003158", "Перейти")</f>
        <v>Перейти</v>
      </c>
      <c r="F2777" s="2">
        <v>10003158</v>
      </c>
      <c r="G2777" s="4" t="s">
        <v>2913</v>
      </c>
      <c r="H2777" s="1">
        <v>0</v>
      </c>
      <c r="I2777" s="1">
        <v>1</v>
      </c>
      <c r="J2777" s="1">
        <v>0</v>
      </c>
      <c r="K2777" s="2">
        <v>110.0</v>
      </c>
    </row>
    <row r="2778" spans="1:12">
      <c r="A2778" s="3" t="s">
        <v>2194</v>
      </c>
      <c r="B2778" s="3" t="s">
        <v>2526</v>
      </c>
      <c r="C2778" s="3" t="s">
        <v>1090</v>
      </c>
      <c r="D2778" s="3"/>
      <c r="E2778" s="2" t="str">
        <f>HYPERLINK("https://old.ukr-mobil.com/displej_oneplus_8t_s_tachskrinom_original_black_10001318", "Перейти")</f>
        <v>Перейти</v>
      </c>
      <c r="F2778" s="2">
        <v>10001318</v>
      </c>
      <c r="G2778" s="4" t="s">
        <v>2914</v>
      </c>
      <c r="H2778" s="1">
        <v>0</v>
      </c>
      <c r="I2778" s="1">
        <v>0</v>
      </c>
      <c r="J2778" s="1">
        <v>0</v>
      </c>
      <c r="K2778" s="2">
        <v>105.0</v>
      </c>
    </row>
    <row r="2779" spans="1:12">
      <c r="A2779" s="3" t="s">
        <v>2194</v>
      </c>
      <c r="B2779" s="3" t="s">
        <v>2526</v>
      </c>
      <c r="C2779" s="3" t="s">
        <v>1090</v>
      </c>
      <c r="D2779" s="3"/>
      <c r="E2779" s="2" t="str">
        <f>HYPERLINK("https://old.ukr-mobil.com/displej_oneplus_9_le2110_le2111_le2113_le2115_le2117_s_tachskrinom_original_black_10003159", "Перейти")</f>
        <v>Перейти</v>
      </c>
      <c r="F2779" s="2">
        <v>10003159</v>
      </c>
      <c r="G2779" s="4" t="s">
        <v>2915</v>
      </c>
      <c r="H2779" s="1">
        <v>5</v>
      </c>
      <c r="I2779" s="1">
        <v>2</v>
      </c>
      <c r="J2779" s="1">
        <v>2</v>
      </c>
      <c r="K2779" s="2">
        <v>85.0</v>
      </c>
    </row>
    <row r="2780" spans="1:12">
      <c r="A2780" s="3" t="s">
        <v>2194</v>
      </c>
      <c r="B2780" s="3" t="s">
        <v>2526</v>
      </c>
      <c r="C2780" s="3" t="s">
        <v>1090</v>
      </c>
      <c r="D2780" s="3"/>
      <c r="E2780" s="2" t="str">
        <f>HYPERLINK("https://old.ukr-mobil.com/displej_oneplus_9_le2110_le2111_le2113_le2115_le2117_s_tachskrinom_s_ramkoj_original_arctic_sky_10003162", "Перейти")</f>
        <v>Перейти</v>
      </c>
      <c r="F2780" s="2">
        <v>10003162</v>
      </c>
      <c r="G2780" s="4" t="s">
        <v>2916</v>
      </c>
      <c r="H2780" s="1">
        <v>0</v>
      </c>
      <c r="I2780" s="1">
        <v>0</v>
      </c>
      <c r="J2780" s="1">
        <v>0</v>
      </c>
      <c r="K2780" s="2">
        <v>139.0</v>
      </c>
    </row>
    <row r="2781" spans="1:12">
      <c r="A2781" s="3" t="s">
        <v>2194</v>
      </c>
      <c r="B2781" s="3" t="s">
        <v>2526</v>
      </c>
      <c r="C2781" s="3" t="s">
        <v>1090</v>
      </c>
      <c r="D2781" s="3"/>
      <c r="E2781" s="2" t="str">
        <f>HYPERLINK("https://old.ukr-mobil.com/displej_oneplus_9_le2110_le2111_le2113_le2115_le2117_s_tachskrinom_s_ramkoj_original_black_10003161", "Перейти")</f>
        <v>Перейти</v>
      </c>
      <c r="F2781" s="2">
        <v>10003161</v>
      </c>
      <c r="G2781" s="4" t="s">
        <v>2917</v>
      </c>
      <c r="H2781" s="1">
        <v>0</v>
      </c>
      <c r="I2781" s="1">
        <v>0</v>
      </c>
      <c r="J2781" s="1">
        <v>0</v>
      </c>
      <c r="K2781" s="2">
        <v>113.0</v>
      </c>
    </row>
    <row r="2782" spans="1:12">
      <c r="A2782" s="3" t="s">
        <v>2194</v>
      </c>
      <c r="B2782" s="3" t="s">
        <v>2526</v>
      </c>
      <c r="C2782" s="3" t="s">
        <v>1090</v>
      </c>
      <c r="D2782" s="3"/>
      <c r="E2782" s="2" t="str">
        <f>HYPERLINK("https://old.ukr-mobil.com/displej_oneplus_9_le2110_le2111_le2113_le2115_le2117_s_tachskrinom_s_ramkoj_original_winter_mist_10003160", "Перейти")</f>
        <v>Перейти</v>
      </c>
      <c r="F2782" s="2">
        <v>10003160</v>
      </c>
      <c r="G2782" s="4" t="s">
        <v>2918</v>
      </c>
      <c r="H2782" s="1">
        <v>0</v>
      </c>
      <c r="I2782" s="1">
        <v>0</v>
      </c>
      <c r="J2782" s="1">
        <v>0</v>
      </c>
      <c r="K2782" s="2">
        <v>113.0</v>
      </c>
    </row>
    <row r="2783" spans="1:12">
      <c r="A2783" s="3" t="s">
        <v>2194</v>
      </c>
      <c r="B2783" s="3" t="s">
        <v>2526</v>
      </c>
      <c r="C2783" s="3" t="s">
        <v>1090</v>
      </c>
      <c r="D2783" s="3"/>
      <c r="E2783" s="2" t="str">
        <f>HYPERLINK("https://old.ukr-mobil.com/displej_oneplus_9_pro_le2121_le2125_le2123_le2120_le2127_oppo_find_x3_x3_pro_s_tachskrinom_original_black_10003163", "Перейти")</f>
        <v>Перейти</v>
      </c>
      <c r="F2783" s="2">
        <v>10003163</v>
      </c>
      <c r="G2783" s="4" t="s">
        <v>2919</v>
      </c>
      <c r="H2783" s="1">
        <v>0</v>
      </c>
      <c r="I2783" s="1">
        <v>0</v>
      </c>
      <c r="J2783" s="1">
        <v>0</v>
      </c>
      <c r="K2783" s="2">
        <v>170.0</v>
      </c>
    </row>
    <row r="2784" spans="1:12">
      <c r="A2784" s="3" t="s">
        <v>2194</v>
      </c>
      <c r="B2784" s="3" t="s">
        <v>2526</v>
      </c>
      <c r="C2784" s="3" t="s">
        <v>1090</v>
      </c>
      <c r="D2784" s="3"/>
      <c r="E2784" s="2" t="str">
        <f>HYPERLINK("https://old.ukr-mobil.com/displej_oneplus_9_pro_le2121_le2125_le2123_le2120_le2127_s_tachskrinom_s_ramkoj_original_black_10004465", "Перейти")</f>
        <v>Перейти</v>
      </c>
      <c r="F2784" s="2">
        <v>10004465</v>
      </c>
      <c r="G2784" s="4" t="s">
        <v>2920</v>
      </c>
      <c r="H2784" s="1">
        <v>0</v>
      </c>
      <c r="I2784" s="1">
        <v>0</v>
      </c>
      <c r="J2784" s="1">
        <v>0</v>
      </c>
      <c r="K2784" s="2">
        <v>185.0</v>
      </c>
    </row>
    <row r="2785" spans="1:12">
      <c r="A2785" s="3" t="s">
        <v>2194</v>
      </c>
      <c r="B2785" s="3" t="s">
        <v>2526</v>
      </c>
      <c r="C2785" s="3" t="s">
        <v>1090</v>
      </c>
      <c r="D2785" s="3"/>
      <c r="E2785" s="2" t="str">
        <f>HYPERLINK("https://old.ukr-mobil.com/displej_oneplus_9_pro_s_tachskrinom_s_ramkoj_original_black_10002014", "Перейти")</f>
        <v>Перейти</v>
      </c>
      <c r="F2785" s="2">
        <v>10002014</v>
      </c>
      <c r="G2785" s="4" t="s">
        <v>2921</v>
      </c>
      <c r="H2785" s="1">
        <v>0</v>
      </c>
      <c r="I2785" s="1">
        <v>0</v>
      </c>
      <c r="J2785" s="1">
        <v>0</v>
      </c>
      <c r="K2785" s="2">
        <v>260.0</v>
      </c>
    </row>
    <row r="2786" spans="1:12">
      <c r="A2786" s="3" t="s">
        <v>2194</v>
      </c>
      <c r="B2786" s="3" t="s">
        <v>2526</v>
      </c>
      <c r="C2786" s="3" t="s">
        <v>1090</v>
      </c>
      <c r="D2786" s="3"/>
      <c r="E2786" s="2" t="str">
        <f>HYPERLINK("https://old.ukr-mobil.com/displej_oneplus_9r_s_tachskrinom_original_black_10002015", "Перейти")</f>
        <v>Перейти</v>
      </c>
      <c r="F2786" s="2">
        <v>10002015</v>
      </c>
      <c r="G2786" s="4" t="s">
        <v>2922</v>
      </c>
      <c r="H2786" s="1">
        <v>3</v>
      </c>
      <c r="I2786" s="1">
        <v>1</v>
      </c>
      <c r="J2786" s="1">
        <v>1</v>
      </c>
      <c r="K2786" s="2">
        <v>90.0</v>
      </c>
    </row>
    <row r="2787" spans="1:12">
      <c r="A2787" s="3" t="s">
        <v>2194</v>
      </c>
      <c r="B2787" s="3" t="s">
        <v>2526</v>
      </c>
      <c r="C2787" s="3" t="s">
        <v>1090</v>
      </c>
      <c r="D2787" s="3"/>
      <c r="E2787" s="2" t="str">
        <f>HYPERLINK("https://old.ukr-mobil.com/displej_oneplus_nord_2_dn2103_dn2101_nord_ce_eb2101_eb2103_oppo_reno_5_reno_6_reno_7_k9_realme_q3_s_tachskrinom_oled_black_10003169", "Перейти")</f>
        <v>Перейти</v>
      </c>
      <c r="F2787" s="2">
        <v>10003169</v>
      </c>
      <c r="G2787" s="4" t="s">
        <v>2923</v>
      </c>
      <c r="H2787" s="1">
        <v>0</v>
      </c>
      <c r="I2787" s="1">
        <v>0</v>
      </c>
      <c r="J2787" s="1">
        <v>0</v>
      </c>
      <c r="K2787" s="2">
        <v>53.0</v>
      </c>
    </row>
    <row r="2788" spans="1:12">
      <c r="A2788" s="3" t="s">
        <v>2194</v>
      </c>
      <c r="B2788" s="3" t="s">
        <v>2526</v>
      </c>
      <c r="C2788" s="3" t="s">
        <v>1090</v>
      </c>
      <c r="D2788" s="3"/>
      <c r="E2788" s="2" t="str">
        <f>HYPERLINK("https://old.ukr-mobil.com/displej_oneplus_nord_2_dn2103_dn2101_nord_ce_eb2101_eb2103_s_tachskrinom_original_black_10002118", "Перейти")</f>
        <v>Перейти</v>
      </c>
      <c r="F2788" s="2">
        <v>10002118</v>
      </c>
      <c r="G2788" s="4" t="s">
        <v>2924</v>
      </c>
      <c r="H2788" s="1">
        <v>0</v>
      </c>
      <c r="I2788" s="1">
        <v>1</v>
      </c>
      <c r="J2788" s="1">
        <v>0</v>
      </c>
      <c r="K2788" s="2">
        <v>107.0</v>
      </c>
    </row>
    <row r="2789" spans="1:12">
      <c r="A2789" s="3" t="s">
        <v>2194</v>
      </c>
      <c r="B2789" s="3" t="s">
        <v>2526</v>
      </c>
      <c r="C2789" s="3" t="s">
        <v>1090</v>
      </c>
      <c r="D2789" s="3"/>
      <c r="E2789" s="2" t="str">
        <f>HYPERLINK("https://old.ukr-mobil.com/displej_oneplus_nord_2_dn2103_dn2101_nord_ce_eb2101_eb2103_oppo_reno_5_reno_6_reno_7_k9_realme_q3_s_tachskrinom_s_ramkoj_original_black_10003171", "Перейти")</f>
        <v>Перейти</v>
      </c>
      <c r="F2789" s="2">
        <v>10003171</v>
      </c>
      <c r="G2789" s="4" t="s">
        <v>2925</v>
      </c>
      <c r="H2789" s="1">
        <v>1</v>
      </c>
      <c r="I2789" s="1">
        <v>2</v>
      </c>
      <c r="J2789" s="1">
        <v>0</v>
      </c>
      <c r="K2789" s="2">
        <v>115.0</v>
      </c>
    </row>
    <row r="2790" spans="1:12">
      <c r="A2790" s="3" t="s">
        <v>2194</v>
      </c>
      <c r="B2790" s="3" t="s">
        <v>2526</v>
      </c>
      <c r="C2790" s="3" t="s">
        <v>1090</v>
      </c>
      <c r="D2790" s="3"/>
      <c r="E2790" s="2" t="str">
        <f>HYPERLINK("https://old.ukr-mobil.com/displej_oneplus_nord_s_tachskrinom_original_black_10001146", "Перейти")</f>
        <v>Перейти</v>
      </c>
      <c r="F2790" s="2">
        <v>10001146</v>
      </c>
      <c r="G2790" s="4" t="s">
        <v>2926</v>
      </c>
      <c r="H2790" s="1">
        <v>0</v>
      </c>
      <c r="I2790" s="1">
        <v>0</v>
      </c>
      <c r="J2790" s="1">
        <v>0</v>
      </c>
      <c r="K2790" s="2">
        <v>129.0</v>
      </c>
    </row>
    <row r="2791" spans="1:12">
      <c r="A2791" s="3" t="s">
        <v>2194</v>
      </c>
      <c r="B2791" s="3" t="s">
        <v>2526</v>
      </c>
      <c r="C2791" s="3" t="s">
        <v>1090</v>
      </c>
      <c r="D2791" s="3"/>
      <c r="E2791" s="2" t="str">
        <f>HYPERLINK("https://old.ukr-mobil.com/displej_oneplus_one_a0001_s_tachskrinom_black_7416", "Перейти")</f>
        <v>Перейти</v>
      </c>
      <c r="F2791" s="2">
        <v>7416</v>
      </c>
      <c r="G2791" s="4" t="s">
        <v>2927</v>
      </c>
      <c r="H2791" s="1">
        <v>0</v>
      </c>
      <c r="I2791" s="1">
        <v>0</v>
      </c>
      <c r="J2791" s="1">
        <v>0</v>
      </c>
      <c r="K2791" s="2">
        <v>22.0</v>
      </c>
    </row>
    <row r="2792" spans="1:12">
      <c r="A2792" s="3" t="s">
        <v>2194</v>
      </c>
      <c r="B2792" s="3" t="s">
        <v>2526</v>
      </c>
      <c r="C2792" s="3" t="s">
        <v>796</v>
      </c>
      <c r="D2792" s="3"/>
      <c r="E2792" s="2" t="str">
        <f>HYPERLINK("https://old.ukr-mobil.com/displej_oppo_a15_2020_a15s_s_tachskrinom_original_prc_black_10001845", "Перейти")</f>
        <v>Перейти</v>
      </c>
      <c r="F2792" s="2">
        <v>10001845</v>
      </c>
      <c r="G2792" s="4" t="s">
        <v>2928</v>
      </c>
      <c r="H2792" s="1">
        <v>9</v>
      </c>
      <c r="I2792" s="1">
        <v>5</v>
      </c>
      <c r="J2792" s="1">
        <v>1</v>
      </c>
      <c r="K2792" s="2">
        <v>13.5</v>
      </c>
    </row>
    <row r="2793" spans="1:12">
      <c r="A2793" s="3" t="s">
        <v>2194</v>
      </c>
      <c r="B2793" s="3" t="s">
        <v>2526</v>
      </c>
      <c r="C2793" s="3" t="s">
        <v>796</v>
      </c>
      <c r="D2793" s="3"/>
      <c r="E2793" s="2" t="str">
        <f>HYPERLINK("https://old.ukr-mobil.com/index.php?route=product&amp;product_id=10004572", "Перейти")</f>
        <v>Перейти</v>
      </c>
      <c r="F2793" s="2">
        <v>10004572</v>
      </c>
      <c r="G2793" s="4" t="s">
        <v>2929</v>
      </c>
      <c r="H2793" s="1">
        <v>3</v>
      </c>
      <c r="I2793" s="1">
        <v>2</v>
      </c>
      <c r="J2793" s="1">
        <v>4</v>
      </c>
      <c r="K2793" s="2">
        <v>11.0</v>
      </c>
    </row>
    <row r="2794" spans="1:12">
      <c r="A2794" s="3" t="s">
        <v>2194</v>
      </c>
      <c r="B2794" s="3" t="s">
        <v>2526</v>
      </c>
      <c r="C2794" s="3" t="s">
        <v>796</v>
      </c>
      <c r="D2794" s="3"/>
      <c r="E2794" s="2" t="str">
        <f>HYPERLINK("https://old.ukr-mobil.com/displej_oppo_a17_a57e_a77_4g_oneplus_nord_n20_se_s_tachskrinom_original_prc_black_10004554", "Перейти")</f>
        <v>Перейти</v>
      </c>
      <c r="F2794" s="2">
        <v>10004554</v>
      </c>
      <c r="G2794" s="4" t="s">
        <v>2930</v>
      </c>
      <c r="H2794" s="1">
        <v>2</v>
      </c>
      <c r="I2794" s="1">
        <v>3</v>
      </c>
      <c r="J2794" s="1">
        <v>3</v>
      </c>
      <c r="K2794" s="2">
        <v>12.0</v>
      </c>
    </row>
    <row r="2795" spans="1:12">
      <c r="A2795" s="3" t="s">
        <v>2194</v>
      </c>
      <c r="B2795" s="3" t="s">
        <v>2526</v>
      </c>
      <c r="C2795" s="3" t="s">
        <v>796</v>
      </c>
      <c r="D2795" s="3"/>
      <c r="E2795" s="2" t="str">
        <f>HYPERLINK("https://old.ukr-mobil.com/index.php?route=product&amp;product_id=10004667", "Перейти")</f>
        <v>Перейти</v>
      </c>
      <c r="F2795" s="2">
        <v>10004667</v>
      </c>
      <c r="G2795" s="4" t="s">
        <v>2931</v>
      </c>
      <c r="H2795" s="1">
        <v>0</v>
      </c>
      <c r="I2795" s="1">
        <v>0</v>
      </c>
      <c r="J2795" s="1">
        <v>1</v>
      </c>
      <c r="K2795" s="2">
        <v>20.0</v>
      </c>
    </row>
    <row r="2796" spans="1:12">
      <c r="A2796" s="3" t="s">
        <v>2194</v>
      </c>
      <c r="B2796" s="3" t="s">
        <v>2526</v>
      </c>
      <c r="C2796" s="3" t="s">
        <v>796</v>
      </c>
      <c r="D2796" s="3"/>
      <c r="E2796" s="2" t="str">
        <f>HYPERLINK("https://old.ukr-mobil.com/displej_oppo_a32_a53_s_tachskrinom_original_black_10001152", "Перейти")</f>
        <v>Перейти</v>
      </c>
      <c r="F2796" s="2">
        <v>10001152</v>
      </c>
      <c r="G2796" s="4" t="s">
        <v>2932</v>
      </c>
      <c r="H2796" s="1">
        <v>4</v>
      </c>
      <c r="I2796" s="1">
        <v>4</v>
      </c>
      <c r="J2796" s="1">
        <v>0</v>
      </c>
      <c r="K2796" s="2">
        <v>14.0</v>
      </c>
    </row>
    <row r="2797" spans="1:12">
      <c r="A2797" s="3" t="s">
        <v>2194</v>
      </c>
      <c r="B2797" s="3" t="s">
        <v>2526</v>
      </c>
      <c r="C2797" s="3" t="s">
        <v>796</v>
      </c>
      <c r="D2797" s="3"/>
      <c r="E2797" s="2" t="str">
        <f>HYPERLINK("https://old.ukr-mobil.com/displej_oppo_a32_2020_a33_2020_oppo_a53_oppo_a53s_realme_7i_realme_c17_oneplus_nord_n100_s_tachskrinom_s_ramkoj_original_prc_black_10003174", "Перейти")</f>
        <v>Перейти</v>
      </c>
      <c r="F2797" s="2">
        <v>10003174</v>
      </c>
      <c r="G2797" s="4" t="s">
        <v>2933</v>
      </c>
      <c r="H2797" s="1">
        <v>0</v>
      </c>
      <c r="I2797" s="1">
        <v>2</v>
      </c>
      <c r="J2797" s="1">
        <v>0</v>
      </c>
      <c r="K2797" s="2">
        <v>22.0</v>
      </c>
    </row>
    <row r="2798" spans="1:12">
      <c r="A2798" s="3" t="s">
        <v>2194</v>
      </c>
      <c r="B2798" s="3" t="s">
        <v>2526</v>
      </c>
      <c r="C2798" s="3" t="s">
        <v>796</v>
      </c>
      <c r="D2798" s="3"/>
      <c r="E2798" s="2" t="str">
        <f>HYPERLINK("https://old.ukr-mobil.com/displej_oppo_a36_a76_s_tachskrinom_original_prc_black_10004555", "Перейти")</f>
        <v>Перейти</v>
      </c>
      <c r="F2798" s="2">
        <v>10004555</v>
      </c>
      <c r="G2798" s="4" t="s">
        <v>2934</v>
      </c>
      <c r="H2798" s="1">
        <v>0</v>
      </c>
      <c r="I2798" s="1">
        <v>0</v>
      </c>
      <c r="J2798" s="1">
        <v>0</v>
      </c>
      <c r="K2798" s="2">
        <v>16.0</v>
      </c>
    </row>
    <row r="2799" spans="1:12">
      <c r="A2799" s="3" t="s">
        <v>2194</v>
      </c>
      <c r="B2799" s="3" t="s">
        <v>2526</v>
      </c>
      <c r="C2799" s="3" t="s">
        <v>796</v>
      </c>
      <c r="D2799" s="3"/>
      <c r="E2799" s="2" t="str">
        <f>HYPERLINK("https://old.ukr-mobil.com/displej_oppo_a3s_a5_s_tachskrinom_original_prc_black_10000540", "Перейти")</f>
        <v>Перейти</v>
      </c>
      <c r="F2799" s="2">
        <v>10000540</v>
      </c>
      <c r="G2799" s="4" t="s">
        <v>2935</v>
      </c>
      <c r="H2799" s="1">
        <v>16</v>
      </c>
      <c r="I2799" s="1">
        <v>6</v>
      </c>
      <c r="J2799" s="1">
        <v>5</v>
      </c>
      <c r="K2799" s="2">
        <v>12.0</v>
      </c>
    </row>
    <row r="2800" spans="1:12">
      <c r="A2800" s="3" t="s">
        <v>2194</v>
      </c>
      <c r="B2800" s="3" t="s">
        <v>2526</v>
      </c>
      <c r="C2800" s="3" t="s">
        <v>796</v>
      </c>
      <c r="D2800" s="3"/>
      <c r="E2800" s="2" t="str">
        <f>HYPERLINK("https://old.ukr-mobil.com/displej_oppo_a52_a72_a92_s_tachskrinom_high_quality_black_10003707", "Перейти")</f>
        <v>Перейти</v>
      </c>
      <c r="F2800" s="2">
        <v>10003707</v>
      </c>
      <c r="G2800" s="4" t="s">
        <v>2936</v>
      </c>
      <c r="H2800" s="1">
        <v>5</v>
      </c>
      <c r="I2800" s="1">
        <v>0</v>
      </c>
      <c r="J2800" s="1">
        <v>4</v>
      </c>
      <c r="K2800" s="2">
        <v>12.0</v>
      </c>
    </row>
    <row r="2801" spans="1:12">
      <c r="A2801" s="3" t="s">
        <v>2194</v>
      </c>
      <c r="B2801" s="3" t="s">
        <v>2526</v>
      </c>
      <c r="C2801" s="3" t="s">
        <v>796</v>
      </c>
      <c r="D2801" s="3"/>
      <c r="E2801" s="2" t="str">
        <f>HYPERLINK("https://old.ukr-mobil.com/displej_oppo_a54_4g_s_tachskrinom_original_prc_black_10001846", "Перейти")</f>
        <v>Перейти</v>
      </c>
      <c r="F2801" s="2">
        <v>10001846</v>
      </c>
      <c r="G2801" s="4" t="s">
        <v>2937</v>
      </c>
      <c r="H2801" s="1">
        <v>2</v>
      </c>
      <c r="I2801" s="1">
        <v>0</v>
      </c>
      <c r="J2801" s="1">
        <v>3</v>
      </c>
      <c r="K2801" s="2">
        <v>13.0</v>
      </c>
    </row>
    <row r="2802" spans="1:12">
      <c r="A2802" s="3" t="s">
        <v>2194</v>
      </c>
      <c r="B2802" s="3" t="s">
        <v>2526</v>
      </c>
      <c r="C2802" s="3" t="s">
        <v>796</v>
      </c>
      <c r="D2802" s="3"/>
      <c r="E2802" s="2" t="str">
        <f>HYPERLINK("https://old.ukr-mobil.com/index.php?route=product&amp;product_id=10004665", "Перейти")</f>
        <v>Перейти</v>
      </c>
      <c r="F2802" s="2">
        <v>10004665</v>
      </c>
      <c r="G2802" s="4" t="s">
        <v>2938</v>
      </c>
      <c r="H2802" s="1">
        <v>0</v>
      </c>
      <c r="I2802" s="1">
        <v>0</v>
      </c>
      <c r="J2802" s="1">
        <v>0</v>
      </c>
      <c r="K2802" s="2">
        <v>22.0</v>
      </c>
    </row>
    <row r="2803" spans="1:12">
      <c r="A2803" s="3" t="s">
        <v>2194</v>
      </c>
      <c r="B2803" s="3" t="s">
        <v>2526</v>
      </c>
      <c r="C2803" s="3" t="s">
        <v>796</v>
      </c>
      <c r="D2803" s="3"/>
      <c r="E2803" s="2" t="str">
        <f>HYPERLINK("https://old.ukr-mobil.com/displej_oppo_a54_5g_a72_4g_a74_5g_a93_5g_oneplus_nord_n200_5g_s_tachskrinom_original_prc_black_10003165", "Перейти")</f>
        <v>Перейти</v>
      </c>
      <c r="F2803" s="2">
        <v>10003165</v>
      </c>
      <c r="G2803" s="4" t="s">
        <v>2939</v>
      </c>
      <c r="H2803" s="1">
        <v>5</v>
      </c>
      <c r="I2803" s="1">
        <v>6</v>
      </c>
      <c r="J2803" s="1">
        <v>0</v>
      </c>
      <c r="K2803" s="2">
        <v>14.0</v>
      </c>
    </row>
    <row r="2804" spans="1:12">
      <c r="A2804" s="3" t="s">
        <v>2194</v>
      </c>
      <c r="B2804" s="3" t="s">
        <v>2526</v>
      </c>
      <c r="C2804" s="3" t="s">
        <v>796</v>
      </c>
      <c r="D2804" s="3"/>
      <c r="E2804" s="2" t="str">
        <f>HYPERLINK("https://old.ukr-mobil.com/displej_oppo_a54_5g_a72_4g_a74_5g_a93_5g_oneplus_nord_n200_5g_s_tachskrinom_s_ramkoj_original_prc_black_10003172", "Перейти")</f>
        <v>Перейти</v>
      </c>
      <c r="F2804" s="2">
        <v>10003172</v>
      </c>
      <c r="G2804" s="4" t="s">
        <v>2940</v>
      </c>
      <c r="H2804" s="1">
        <v>0</v>
      </c>
      <c r="I2804" s="1">
        <v>0</v>
      </c>
      <c r="J2804" s="1">
        <v>0</v>
      </c>
      <c r="K2804" s="2">
        <v>16.6</v>
      </c>
    </row>
    <row r="2805" spans="1:12">
      <c r="A2805" s="3" t="s">
        <v>2194</v>
      </c>
      <c r="B2805" s="3" t="s">
        <v>2526</v>
      </c>
      <c r="C2805" s="3" t="s">
        <v>796</v>
      </c>
      <c r="D2805" s="3"/>
      <c r="E2805" s="2" t="str">
        <f>HYPERLINK("https://old.ukr-mobil.com/index.php?route=product&amp;product_id=10004670", "Перейти")</f>
        <v>Перейти</v>
      </c>
      <c r="F2805" s="2">
        <v>10004670</v>
      </c>
      <c r="G2805" s="4" t="s">
        <v>2941</v>
      </c>
      <c r="H2805" s="1">
        <v>0</v>
      </c>
      <c r="I2805" s="1">
        <v>0</v>
      </c>
      <c r="J2805" s="1">
        <v>0</v>
      </c>
      <c r="K2805" s="2">
        <v>17.0</v>
      </c>
    </row>
    <row r="2806" spans="1:12">
      <c r="A2806" s="3" t="s">
        <v>2194</v>
      </c>
      <c r="B2806" s="3" t="s">
        <v>2526</v>
      </c>
      <c r="C2806" s="3" t="s">
        <v>796</v>
      </c>
      <c r="D2806" s="3"/>
      <c r="E2806" s="2" t="str">
        <f>HYPERLINK("https://old.ukr-mobil.com/index.php?route=product&amp;product_id=10005927", "Перейти")</f>
        <v>Перейти</v>
      </c>
      <c r="F2806" s="2">
        <v>10005927</v>
      </c>
      <c r="G2806" s="4" t="s">
        <v>2942</v>
      </c>
      <c r="H2806" s="1">
        <v>1</v>
      </c>
      <c r="I2806" s="1">
        <v>0</v>
      </c>
      <c r="J2806" s="1">
        <v>4</v>
      </c>
      <c r="K2806" s="2">
        <v>12.0</v>
      </c>
    </row>
    <row r="2807" spans="1:12">
      <c r="A2807" s="3" t="s">
        <v>2194</v>
      </c>
      <c r="B2807" s="3" t="s">
        <v>2526</v>
      </c>
      <c r="C2807" s="3" t="s">
        <v>796</v>
      </c>
      <c r="D2807" s="3"/>
      <c r="E2807" s="2" t="str">
        <f>HYPERLINK("https://old.ukr-mobil.com/index.php?route=product&amp;product_id=10004666", "Перейти")</f>
        <v>Перейти</v>
      </c>
      <c r="F2807" s="2">
        <v>10004666</v>
      </c>
      <c r="G2807" s="4" t="s">
        <v>2943</v>
      </c>
      <c r="H2807" s="1">
        <v>0</v>
      </c>
      <c r="I2807" s="1">
        <v>0</v>
      </c>
      <c r="J2807" s="1">
        <v>0</v>
      </c>
      <c r="K2807" s="2">
        <v>21.0</v>
      </c>
    </row>
    <row r="2808" spans="1:12">
      <c r="A2808" s="3" t="s">
        <v>2194</v>
      </c>
      <c r="B2808" s="3" t="s">
        <v>2526</v>
      </c>
      <c r="C2808" s="3" t="s">
        <v>796</v>
      </c>
      <c r="D2808" s="3"/>
      <c r="E2808" s="2" t="str">
        <f>HYPERLINK("https://old.ukr-mobil.com/index.php?route=product&amp;product_id=10004669", "Перейти")</f>
        <v>Перейти</v>
      </c>
      <c r="F2808" s="2">
        <v>10004669</v>
      </c>
      <c r="G2808" s="4" t="s">
        <v>2944</v>
      </c>
      <c r="H2808" s="1">
        <v>3</v>
      </c>
      <c r="I2808" s="1">
        <v>3</v>
      </c>
      <c r="J2808" s="1">
        <v>1</v>
      </c>
      <c r="K2808" s="2">
        <v>13.9</v>
      </c>
    </row>
    <row r="2809" spans="1:12">
      <c r="A2809" s="3" t="s">
        <v>2194</v>
      </c>
      <c r="B2809" s="3" t="s">
        <v>2526</v>
      </c>
      <c r="C2809" s="3" t="s">
        <v>796</v>
      </c>
      <c r="D2809" s="3"/>
      <c r="E2809" s="2" t="str">
        <f>HYPERLINK("https://old.ukr-mobil.com/displej_oppo_reno_5_lite_s_tachskrinom_incell_10002070", "Перейти")</f>
        <v>Перейти</v>
      </c>
      <c r="F2809" s="2">
        <v>10002070</v>
      </c>
      <c r="G2809" s="4" t="s">
        <v>2945</v>
      </c>
      <c r="H2809" s="1">
        <v>0</v>
      </c>
      <c r="I2809" s="1">
        <v>0</v>
      </c>
      <c r="J2809" s="1">
        <v>0</v>
      </c>
      <c r="K2809" s="2">
        <v>28.0</v>
      </c>
    </row>
    <row r="2810" spans="1:12">
      <c r="A2810" s="3" t="s">
        <v>2194</v>
      </c>
      <c r="B2810" s="3" t="s">
        <v>2526</v>
      </c>
      <c r="C2810" s="3" t="s">
        <v>796</v>
      </c>
      <c r="D2810" s="3"/>
      <c r="E2810" s="2" t="str">
        <f>HYPERLINK("https://old.ukr-mobil.com/displej_oppo_a74_4g_a94_reno_5_lite_realme_7_pro_realme_8_realme_8_pro_realme_v_s_tachskrinom_rev_1_1_05_original_10002322", "Перейти")</f>
        <v>Перейти</v>
      </c>
      <c r="F2810" s="2">
        <v>10002322</v>
      </c>
      <c r="G2810" s="4" t="s">
        <v>2946</v>
      </c>
      <c r="H2810" s="1">
        <v>4</v>
      </c>
      <c r="I2810" s="1">
        <v>0</v>
      </c>
      <c r="J2810" s="1">
        <v>4</v>
      </c>
      <c r="K2810" s="2">
        <v>66.0</v>
      </c>
    </row>
    <row r="2811" spans="1:12">
      <c r="A2811" s="3" t="s">
        <v>2194</v>
      </c>
      <c r="B2811" s="3" t="s">
        <v>2526</v>
      </c>
      <c r="C2811" s="3" t="s">
        <v>796</v>
      </c>
      <c r="D2811" s="3"/>
      <c r="E2811" s="2" t="str">
        <f>HYPERLINK("https://old.ukr-mobil.com/displej_oppo_a74_4g_a95_4g_a96_5g_reno_8_lite_5g_realme_8_oneplus_nord_n20_5g_s_tachskrinom_rev_1_1_05_oled_10003288", "Перейти")</f>
        <v>Перейти</v>
      </c>
      <c r="F2811" s="2">
        <v>10003288</v>
      </c>
      <c r="G2811" s="4" t="s">
        <v>2947</v>
      </c>
      <c r="H2811" s="1">
        <v>0</v>
      </c>
      <c r="I2811" s="1">
        <v>0</v>
      </c>
      <c r="J2811" s="1">
        <v>0</v>
      </c>
      <c r="K2811" s="2">
        <v>38.0</v>
      </c>
    </row>
    <row r="2812" spans="1:12">
      <c r="A2812" s="3" t="s">
        <v>2194</v>
      </c>
      <c r="B2812" s="3" t="s">
        <v>2526</v>
      </c>
      <c r="C2812" s="3" t="s">
        <v>796</v>
      </c>
      <c r="D2812" s="3"/>
      <c r="E2812" s="2" t="str">
        <f>HYPERLINK("https://old.ukr-mobil.com/displej_oppo_a74_4g_a94_4g_a94_5g_reno_5_lite_realme_7_pro_realme_8_realme_8_pro_realme_v_s_tachskrinom_rev_0_4_04_oled_10003009", "Перейти")</f>
        <v>Перейти</v>
      </c>
      <c r="F2812" s="2">
        <v>10003009</v>
      </c>
      <c r="G2812" s="4" t="s">
        <v>2948</v>
      </c>
      <c r="H2812" s="1">
        <v>0</v>
      </c>
      <c r="I2812" s="1">
        <v>2</v>
      </c>
      <c r="J2812" s="1">
        <v>3</v>
      </c>
      <c r="K2812" s="2">
        <v>37.0</v>
      </c>
    </row>
    <row r="2813" spans="1:12">
      <c r="A2813" s="3" t="s">
        <v>2194</v>
      </c>
      <c r="B2813" s="3" t="s">
        <v>2526</v>
      </c>
      <c r="C2813" s="3" t="s">
        <v>796</v>
      </c>
      <c r="D2813" s="3"/>
      <c r="E2813" s="2" t="str">
        <f>HYPERLINK("https://old.ukr-mobil.com/index.php?route=product&amp;product_id=10004668", "Перейти")</f>
        <v>Перейти</v>
      </c>
      <c r="F2813" s="2">
        <v>10004668</v>
      </c>
      <c r="G2813" s="4" t="s">
        <v>2949</v>
      </c>
      <c r="H2813" s="1">
        <v>8</v>
      </c>
      <c r="I2813" s="1">
        <v>2</v>
      </c>
      <c r="J2813" s="1">
        <v>3</v>
      </c>
      <c r="K2813" s="2">
        <v>18.0</v>
      </c>
    </row>
    <row r="2814" spans="1:12">
      <c r="A2814" s="3" t="s">
        <v>2194</v>
      </c>
      <c r="B2814" s="3" t="s">
        <v>2526</v>
      </c>
      <c r="C2814" s="3" t="s">
        <v>796</v>
      </c>
      <c r="D2814" s="3"/>
      <c r="E2814" s="2" t="str">
        <f>HYPERLINK("https://old.ukr-mobil.com/displej_oppo_realme_6_pro_s_tachskrinom_original_prc_black_10001835", "Перейти")</f>
        <v>Перейти</v>
      </c>
      <c r="F2814" s="2">
        <v>10001835</v>
      </c>
      <c r="G2814" s="4" t="s">
        <v>2950</v>
      </c>
      <c r="H2814" s="1">
        <v>0</v>
      </c>
      <c r="I2814" s="1">
        <v>0</v>
      </c>
      <c r="J2814" s="1">
        <v>0</v>
      </c>
      <c r="K2814" s="2">
        <v>20.0</v>
      </c>
    </row>
    <row r="2815" spans="1:12">
      <c r="A2815" s="3" t="s">
        <v>2194</v>
      </c>
      <c r="B2815" s="3" t="s">
        <v>2526</v>
      </c>
      <c r="C2815" s="3" t="s">
        <v>796</v>
      </c>
      <c r="D2815" s="3"/>
      <c r="E2815" s="2" t="str">
        <f>HYPERLINK("https://old.ukr-mobil.com/displej_oppo_realme_6_s_tachskrinom_original_prc_black_10001543", "Перейти")</f>
        <v>Перейти</v>
      </c>
      <c r="F2815" s="2">
        <v>10001543</v>
      </c>
      <c r="G2815" s="4" t="s">
        <v>2951</v>
      </c>
      <c r="H2815" s="1">
        <v>1</v>
      </c>
      <c r="I2815" s="1">
        <v>5</v>
      </c>
      <c r="J2815" s="1">
        <v>0</v>
      </c>
      <c r="K2815" s="2">
        <v>13.0</v>
      </c>
    </row>
    <row r="2816" spans="1:12">
      <c r="A2816" s="3" t="s">
        <v>2194</v>
      </c>
      <c r="B2816" s="3" t="s">
        <v>2526</v>
      </c>
      <c r="C2816" s="3" t="s">
        <v>796</v>
      </c>
      <c r="D2816" s="3"/>
      <c r="E2816" s="2" t="str">
        <f>HYPERLINK("https://old.ukr-mobil.com/displej_oppo_realme_c2_s_tachskrinom_original_prc_black_10002533", "Перейти")</f>
        <v>Перейти</v>
      </c>
      <c r="F2816" s="2">
        <v>10002533</v>
      </c>
      <c r="G2816" s="4" t="s">
        <v>2952</v>
      </c>
      <c r="H2816" s="1">
        <v>7</v>
      </c>
      <c r="I2816" s="1">
        <v>2</v>
      </c>
      <c r="J2816" s="1">
        <v>4</v>
      </c>
      <c r="K2816" s="2">
        <v>11.0</v>
      </c>
    </row>
    <row r="2817" spans="1:12">
      <c r="A2817" s="3" t="s">
        <v>2194</v>
      </c>
      <c r="B2817" s="3" t="s">
        <v>2526</v>
      </c>
      <c r="C2817" s="3" t="s">
        <v>796</v>
      </c>
      <c r="D2817" s="3"/>
      <c r="E2817" s="2" t="str">
        <f>HYPERLINK("https://old.ukr-mobil.com/displej_oppo_realme_c30_realme_c31_s_tachskrinom_original_prc_black_10003145", "Перейти")</f>
        <v>Перейти</v>
      </c>
      <c r="F2817" s="2">
        <v>10003145</v>
      </c>
      <c r="G2817" s="4" t="s">
        <v>2953</v>
      </c>
      <c r="H2817" s="1">
        <v>0</v>
      </c>
      <c r="I2817" s="1">
        <v>11</v>
      </c>
      <c r="J2817" s="1">
        <v>1</v>
      </c>
      <c r="K2817" s="2">
        <v>12.0</v>
      </c>
    </row>
    <row r="2818" spans="1:12">
      <c r="A2818" s="3" t="s">
        <v>2194</v>
      </c>
      <c r="B2818" s="3" t="s">
        <v>2526</v>
      </c>
      <c r="C2818" s="3" t="s">
        <v>796</v>
      </c>
      <c r="D2818" s="3"/>
      <c r="E2818" s="2" t="str">
        <f>HYPERLINK("https://old.ukr-mobil.com/displej_oppo_realme_x2_realme_xt_s_tachskrinom_oled_black_10003606", "Перейти")</f>
        <v>Перейти</v>
      </c>
      <c r="F2818" s="2">
        <v>10003606</v>
      </c>
      <c r="G2818" s="4" t="s">
        <v>2954</v>
      </c>
      <c r="H2818" s="1">
        <v>0</v>
      </c>
      <c r="I2818" s="1">
        <v>0</v>
      </c>
      <c r="J2818" s="1">
        <v>0</v>
      </c>
      <c r="K2818" s="2">
        <v>30.0</v>
      </c>
    </row>
    <row r="2819" spans="1:12">
      <c r="A2819" s="3" t="s">
        <v>2194</v>
      </c>
      <c r="B2819" s="3" t="s">
        <v>2526</v>
      </c>
      <c r="C2819" s="3" t="s">
        <v>796</v>
      </c>
      <c r="D2819" s="3"/>
      <c r="E2819" s="2" t="str">
        <f>HYPERLINK("https://old.ukr-mobil.com/displej_realme_8_5g_s_tachskrinom_original_prc_black_10002342", "Перейти")</f>
        <v>Перейти</v>
      </c>
      <c r="F2819" s="2">
        <v>10002342</v>
      </c>
      <c r="G2819" s="4" t="s">
        <v>2955</v>
      </c>
      <c r="H2819" s="1">
        <v>0</v>
      </c>
      <c r="I2819" s="1">
        <v>0</v>
      </c>
      <c r="J2819" s="1">
        <v>0</v>
      </c>
      <c r="K2819" s="2">
        <v>14.0</v>
      </c>
    </row>
    <row r="2820" spans="1:12">
      <c r="A2820" s="3" t="s">
        <v>2194</v>
      </c>
      <c r="B2820" s="3" t="s">
        <v>2526</v>
      </c>
      <c r="C2820" s="3" t="s">
        <v>796</v>
      </c>
      <c r="D2820" s="3"/>
      <c r="E2820" s="2" t="str">
        <f>HYPERLINK("https://old.ukr-mobil.com/displej_realme_8i_s_tachskrinom_original_prc_black_10002385", "Перейти")</f>
        <v>Перейти</v>
      </c>
      <c r="F2820" s="2">
        <v>10002385</v>
      </c>
      <c r="G2820" s="4" t="s">
        <v>2956</v>
      </c>
      <c r="H2820" s="1">
        <v>11</v>
      </c>
      <c r="I2820" s="1">
        <v>5</v>
      </c>
      <c r="J2820" s="1">
        <v>4</v>
      </c>
      <c r="K2820" s="2">
        <v>13.9</v>
      </c>
    </row>
    <row r="2821" spans="1:12">
      <c r="A2821" s="3" t="s">
        <v>2194</v>
      </c>
      <c r="B2821" s="3" t="s">
        <v>2526</v>
      </c>
      <c r="C2821" s="3" t="s">
        <v>796</v>
      </c>
      <c r="D2821" s="3"/>
      <c r="E2821" s="2" t="str">
        <f>HYPERLINK("https://old.ukr-mobil.com/displej_realme_c11_2021_realme_c20_realme_c20a_realme_c21_s_tachskrinom_high_quality_black_10003286", "Перейти")</f>
        <v>Перейти</v>
      </c>
      <c r="F2821" s="2">
        <v>10003286</v>
      </c>
      <c r="G2821" s="4" t="s">
        <v>2957</v>
      </c>
      <c r="H2821" s="1">
        <v>28</v>
      </c>
      <c r="I2821" s="1">
        <v>6</v>
      </c>
      <c r="J2821" s="1">
        <v>1</v>
      </c>
      <c r="K2821" s="2">
        <v>10.0</v>
      </c>
    </row>
    <row r="2822" spans="1:12">
      <c r="A2822" s="3" t="s">
        <v>2194</v>
      </c>
      <c r="B2822" s="3" t="s">
        <v>2526</v>
      </c>
      <c r="C2822" s="3" t="s">
        <v>796</v>
      </c>
      <c r="D2822" s="3"/>
      <c r="E2822" s="2" t="str">
        <f>HYPERLINK("https://old.ukr-mobil.com/displej_realme_c11_2021_realme_c20_realme_c21_s_tachskrinom_original_prc_black_10002539", "Перейти")</f>
        <v>Перейти</v>
      </c>
      <c r="F2822" s="2">
        <v>10002539</v>
      </c>
      <c r="G2822" s="4" t="s">
        <v>2958</v>
      </c>
      <c r="H2822" s="1">
        <v>10</v>
      </c>
      <c r="I2822" s="1">
        <v>0</v>
      </c>
      <c r="J2822" s="1">
        <v>2</v>
      </c>
      <c r="K2822" s="2">
        <v>11.6</v>
      </c>
    </row>
    <row r="2823" spans="1:12">
      <c r="A2823" s="3" t="s">
        <v>2194</v>
      </c>
      <c r="B2823" s="3" t="s">
        <v>2526</v>
      </c>
      <c r="C2823" s="3" t="s">
        <v>796</v>
      </c>
      <c r="D2823" s="3"/>
      <c r="E2823" s="2" t="str">
        <f>HYPERLINK("https://old.ukr-mobil.com/displej_realme_c21y_realme_c25y_s_tachskrinom_high_quality_black_10003568", "Перейти")</f>
        <v>Перейти</v>
      </c>
      <c r="F2823" s="2">
        <v>10003568</v>
      </c>
      <c r="G2823" s="4" t="s">
        <v>2959</v>
      </c>
      <c r="H2823" s="1">
        <v>0</v>
      </c>
      <c r="I2823" s="1">
        <v>0</v>
      </c>
      <c r="J2823" s="1">
        <v>0</v>
      </c>
      <c r="K2823" s="2">
        <v>15.0</v>
      </c>
    </row>
    <row r="2824" spans="1:12">
      <c r="A2824" s="3" t="s">
        <v>2194</v>
      </c>
      <c r="B2824" s="3" t="s">
        <v>2526</v>
      </c>
      <c r="C2824" s="3" t="s">
        <v>796</v>
      </c>
      <c r="D2824" s="3"/>
      <c r="E2824" s="2" t="str">
        <f>HYPERLINK("https://old.ukr-mobil.com/displej_oppo_realme_c11_realme_c12_realme_c15_s_tachskrinom_original_prc_black_10001836", "Перейти")</f>
        <v>Перейти</v>
      </c>
      <c r="F2824" s="2">
        <v>10001836</v>
      </c>
      <c r="G2824" s="4" t="s">
        <v>2960</v>
      </c>
      <c r="H2824" s="1">
        <v>0</v>
      </c>
      <c r="I2824" s="1">
        <v>0</v>
      </c>
      <c r="J2824" s="1">
        <v>0</v>
      </c>
      <c r="K2824" s="2">
        <v>11.0</v>
      </c>
    </row>
    <row r="2825" spans="1:12">
      <c r="A2825" s="3" t="s">
        <v>2194</v>
      </c>
      <c r="B2825" s="3" t="s">
        <v>2526</v>
      </c>
      <c r="C2825" s="3" t="s">
        <v>796</v>
      </c>
      <c r="D2825" s="3"/>
      <c r="E2825" s="2" t="str">
        <f>HYPERLINK("https://old.ukr-mobil.com/displej_realme_c35_s_tachskrinom_high_quality_black_10003719", "Перейти")</f>
        <v>Перейти</v>
      </c>
      <c r="F2825" s="2">
        <v>10003719</v>
      </c>
      <c r="G2825" s="4" t="s">
        <v>2961</v>
      </c>
      <c r="H2825" s="1">
        <v>0</v>
      </c>
      <c r="I2825" s="1">
        <v>0</v>
      </c>
      <c r="J2825" s="1">
        <v>0</v>
      </c>
      <c r="K2825" s="2">
        <v>14.0</v>
      </c>
    </row>
    <row r="2826" spans="1:12">
      <c r="A2826" s="3" t="s">
        <v>2194</v>
      </c>
      <c r="B2826" s="3" t="s">
        <v>2526</v>
      </c>
      <c r="C2826" s="3" t="s">
        <v>796</v>
      </c>
      <c r="D2826" s="3"/>
      <c r="E2826" s="2" t="str">
        <f>HYPERLINK("https://old.ukr-mobil.com/displej_realme_c35_s_tachskrinom_original_black_10003720", "Перейти")</f>
        <v>Перейти</v>
      </c>
      <c r="F2826" s="2">
        <v>10003720</v>
      </c>
      <c r="G2826" s="4" t="s">
        <v>2962</v>
      </c>
      <c r="H2826" s="1">
        <v>5</v>
      </c>
      <c r="I2826" s="1">
        <v>3</v>
      </c>
      <c r="J2826" s="1">
        <v>4</v>
      </c>
      <c r="K2826" s="2">
        <v>11.0</v>
      </c>
    </row>
    <row r="2827" spans="1:12">
      <c r="A2827" s="3" t="s">
        <v>2194</v>
      </c>
      <c r="B2827" s="3" t="s">
        <v>2526</v>
      </c>
      <c r="C2827" s="3" t="s">
        <v>653</v>
      </c>
      <c r="D2827" s="3"/>
      <c r="E2827" s="2" t="str">
        <f>HYPERLINK("https://old.ukr-mobil.com/displej_samsung_a013_galaxy_a01_core_m013_galaxy_m01_core_s_tachskrinom_original_black_10001052", "Перейти")</f>
        <v>Перейти</v>
      </c>
      <c r="F2827" s="2">
        <v>10001052</v>
      </c>
      <c r="G2827" s="4" t="s">
        <v>2963</v>
      </c>
      <c r="H2827" s="1">
        <v>0</v>
      </c>
      <c r="I2827" s="1">
        <v>1</v>
      </c>
      <c r="J2827" s="1">
        <v>0</v>
      </c>
      <c r="K2827" s="2">
        <v>16.0</v>
      </c>
    </row>
    <row r="2828" spans="1:12">
      <c r="A2828" s="3" t="s">
        <v>2194</v>
      </c>
      <c r="B2828" s="3" t="s">
        <v>2526</v>
      </c>
      <c r="C2828" s="3" t="s">
        <v>653</v>
      </c>
      <c r="D2828" s="3"/>
      <c r="E2828" s="2" t="str">
        <f>HYPERLINK("https://old.ukr-mobil.com/displej_samsung_a015_galaxy_a01_s_tachskrinom_uzkij_konnektor_original_prc_black_10002171", "Перейти")</f>
        <v>Перейти</v>
      </c>
      <c r="F2828" s="2">
        <v>10002171</v>
      </c>
      <c r="G2828" s="4" t="s">
        <v>2964</v>
      </c>
      <c r="H2828" s="1">
        <v>0</v>
      </c>
      <c r="I2828" s="1">
        <v>0</v>
      </c>
      <c r="J2828" s="1">
        <v>2</v>
      </c>
      <c r="K2828" s="2">
        <v>12.0</v>
      </c>
    </row>
    <row r="2829" spans="1:12">
      <c r="A2829" s="3" t="s">
        <v>2194</v>
      </c>
      <c r="B2829" s="3" t="s">
        <v>2526</v>
      </c>
      <c r="C2829" s="3" t="s">
        <v>653</v>
      </c>
      <c r="D2829" s="3"/>
      <c r="E2829" s="2" t="str">
        <f>HYPERLINK("https://old.ukr-mobil.com/displej_samsung_a015_galaxy_a01_s_tachskrinom_original_prc_black_10000566", "Перейти")</f>
        <v>Перейти</v>
      </c>
      <c r="F2829" s="2">
        <v>10000566</v>
      </c>
      <c r="G2829" s="4" t="s">
        <v>2965</v>
      </c>
      <c r="H2829" s="1">
        <v>1</v>
      </c>
      <c r="I2829" s="1">
        <v>3</v>
      </c>
      <c r="J2829" s="1">
        <v>0</v>
      </c>
      <c r="K2829" s="2">
        <v>12.0</v>
      </c>
    </row>
    <row r="2830" spans="1:12">
      <c r="A2830" s="3" t="s">
        <v>2194</v>
      </c>
      <c r="B2830" s="3" t="s">
        <v>2526</v>
      </c>
      <c r="C2830" s="3" t="s">
        <v>653</v>
      </c>
      <c r="D2830" s="3"/>
      <c r="E2830" s="2" t="str">
        <f>HYPERLINK("https://old.ukr-mobil.com/displej_samsung_a022_galaxy_a02_rev_a022f_v01_s_tachskrinom_s_ramkoj_original_prc_10002479", "Перейти")</f>
        <v>Перейти</v>
      </c>
      <c r="F2830" s="2">
        <v>10002479</v>
      </c>
      <c r="G2830" s="4" t="s">
        <v>2966</v>
      </c>
      <c r="H2830" s="1">
        <v>41</v>
      </c>
      <c r="I2830" s="1">
        <v>7</v>
      </c>
      <c r="J2830" s="1">
        <v>23</v>
      </c>
      <c r="K2830" s="2">
        <v>20.0</v>
      </c>
    </row>
    <row r="2831" spans="1:12">
      <c r="A2831" s="3" t="s">
        <v>2194</v>
      </c>
      <c r="B2831" s="3" t="s">
        <v>2526</v>
      </c>
      <c r="C2831" s="3" t="s">
        <v>653</v>
      </c>
      <c r="D2831" s="3"/>
      <c r="E2831" s="2" t="str">
        <f>HYPERLINK("https://old.ukr-mobil.com/displej_samsung_a022_galaxy_a02_a125_galaxy_a12_a326_galaxy_a32_5g_m127_galaxy_m12_m022_galaxy_m02_rev_a022f_v01_s_tachskrinom_original_prc_10002389", "Перейти")</f>
        <v>Перейти</v>
      </c>
      <c r="F2831" s="2">
        <v>10002389</v>
      </c>
      <c r="G2831" s="4" t="s">
        <v>2967</v>
      </c>
      <c r="H2831" s="1">
        <v>13</v>
      </c>
      <c r="I2831" s="1">
        <v>4</v>
      </c>
      <c r="J2831" s="1">
        <v>8</v>
      </c>
      <c r="K2831" s="2">
        <v>14.0</v>
      </c>
    </row>
    <row r="2832" spans="1:12">
      <c r="A2832" s="3" t="s">
        <v>2194</v>
      </c>
      <c r="B2832" s="3" t="s">
        <v>2526</v>
      </c>
      <c r="C2832" s="3" t="s">
        <v>653</v>
      </c>
      <c r="D2832" s="3"/>
      <c r="E2832" s="2" t="str">
        <f>HYPERLINK("https://old.ukr-mobil.com/displej_samsung_a125_galaxy_a12_s_tachskrinom_original_prc_black_10001369", "Перейти")</f>
        <v>Перейти</v>
      </c>
      <c r="F2832" s="2">
        <v>10001369</v>
      </c>
      <c r="G2832" s="4" t="s">
        <v>2968</v>
      </c>
      <c r="H2832" s="1">
        <v>0</v>
      </c>
      <c r="I2832" s="1">
        <v>0</v>
      </c>
      <c r="J2832" s="1">
        <v>0</v>
      </c>
      <c r="K2832" s="2">
        <v>11.0</v>
      </c>
    </row>
    <row r="2833" spans="1:12">
      <c r="A2833" s="3" t="s">
        <v>2194</v>
      </c>
      <c r="B2833" s="3" t="s">
        <v>2526</v>
      </c>
      <c r="C2833" s="3" t="s">
        <v>653</v>
      </c>
      <c r="D2833" s="3"/>
      <c r="E2833" s="2" t="str">
        <f>HYPERLINK("https://old.ukr-mobil.com/displej_samsung_a022_galaxy_a02_a125_galaxy_a12_a326_galaxy_a32_5g_m127_galaxy_m12_m022_galaxy_m02_rev_m127f_v0_1_s_tachskrinom_original_prc_10002476", "Перейти")</f>
        <v>Перейти</v>
      </c>
      <c r="F2833" s="2">
        <v>10002476</v>
      </c>
      <c r="G2833" s="4" t="s">
        <v>2969</v>
      </c>
      <c r="H2833" s="1">
        <v>0</v>
      </c>
      <c r="I2833" s="1">
        <v>0</v>
      </c>
      <c r="J2833" s="1">
        <v>0</v>
      </c>
      <c r="K2833" s="2">
        <v>11.0</v>
      </c>
    </row>
    <row r="2834" spans="1:12">
      <c r="A2834" s="3" t="s">
        <v>2194</v>
      </c>
      <c r="B2834" s="3" t="s">
        <v>2526</v>
      </c>
      <c r="C2834" s="3" t="s">
        <v>653</v>
      </c>
      <c r="D2834" s="3"/>
      <c r="E2834" s="2" t="str">
        <f>HYPERLINK("https://old.ukr-mobil.com/displej_samsung_a022_galaxy_a02_a125_galaxy_a12_a326_galaxy_a32_5g_m127_galaxy_m12_m022_galaxy_m02_s_tachskrinom_high_copy_10002472", "Перейти")</f>
        <v>Перейти</v>
      </c>
      <c r="F2834" s="2">
        <v>10002472</v>
      </c>
      <c r="G2834" s="4" t="s">
        <v>2970</v>
      </c>
      <c r="H2834" s="1">
        <v>0</v>
      </c>
      <c r="I2834" s="1">
        <v>0</v>
      </c>
      <c r="J2834" s="1">
        <v>0</v>
      </c>
      <c r="K2834" s="2">
        <v>11.0</v>
      </c>
    </row>
    <row r="2835" spans="1:12">
      <c r="A2835" s="3" t="s">
        <v>2194</v>
      </c>
      <c r="B2835" s="3" t="s">
        <v>2526</v>
      </c>
      <c r="C2835" s="3" t="s">
        <v>653</v>
      </c>
      <c r="D2835" s="3"/>
      <c r="E2835" s="2" t="str">
        <f>HYPERLINK("https://old.ukr-mobil.com/displej_samsung_a022_galaxy_a02_2021_gh81-25250a_s_tachskrinom_service_pack_original_10001753", "Перейти")</f>
        <v>Перейти</v>
      </c>
      <c r="F2835" s="2">
        <v>10001753</v>
      </c>
      <c r="G2835" s="4" t="s">
        <v>2971</v>
      </c>
      <c r="H2835" s="1">
        <v>9</v>
      </c>
      <c r="I2835" s="1">
        <v>5</v>
      </c>
      <c r="J2835" s="1">
        <v>3</v>
      </c>
      <c r="K2835" s="2">
        <v>17.0</v>
      </c>
    </row>
    <row r="2836" spans="1:12">
      <c r="A2836" s="3" t="s">
        <v>2194</v>
      </c>
      <c r="B2836" s="3" t="s">
        <v>2526</v>
      </c>
      <c r="C2836" s="3" t="s">
        <v>653</v>
      </c>
      <c r="D2836" s="3"/>
      <c r="E2836" s="2" t="str">
        <f>HYPERLINK("https://old.ukr-mobil.com/displej_samsung_a022_galaxy_a02_gh81-20181a_s_tachskrinom_s_ramkoj_service_pack_original_10002243", "Перейти")</f>
        <v>Перейти</v>
      </c>
      <c r="F2836" s="2">
        <v>10002243</v>
      </c>
      <c r="G2836" s="4" t="s">
        <v>2972</v>
      </c>
      <c r="H2836" s="1">
        <v>0</v>
      </c>
      <c r="I2836" s="1">
        <v>1</v>
      </c>
      <c r="J2836" s="1">
        <v>1</v>
      </c>
      <c r="K2836" s="2">
        <v>63.0</v>
      </c>
    </row>
    <row r="2837" spans="1:12">
      <c r="A2837" s="3" t="s">
        <v>2194</v>
      </c>
      <c r="B2837" s="3" t="s">
        <v>2526</v>
      </c>
      <c r="C2837" s="3" t="s">
        <v>653</v>
      </c>
      <c r="D2837" s="3"/>
      <c r="E2837" s="2" t="str">
        <f>HYPERLINK("https://old.ukr-mobil.com/displej_samsung_a025_galaxy_a02s_s_tachskrinom_original_prc_black_10001546", "Перейти")</f>
        <v>Перейти</v>
      </c>
      <c r="F2837" s="2">
        <v>10001546</v>
      </c>
      <c r="G2837" s="4" t="s">
        <v>2973</v>
      </c>
      <c r="H2837" s="1">
        <v>0</v>
      </c>
      <c r="I2837" s="1">
        <v>0</v>
      </c>
      <c r="J2837" s="1">
        <v>0</v>
      </c>
      <c r="K2837" s="2">
        <v>10.0</v>
      </c>
    </row>
    <row r="2838" spans="1:12">
      <c r="A2838" s="3" t="s">
        <v>2194</v>
      </c>
      <c r="B2838" s="3" t="s">
        <v>2526</v>
      </c>
      <c r="C2838" s="3" t="s">
        <v>653</v>
      </c>
      <c r="D2838" s="3"/>
      <c r="E2838" s="2" t="str">
        <f>HYPERLINK("https://old.ukr-mobil.com/displej_samsung_a025_galaxy_a02s_s_tachskrinom_high_copy_black_10001556", "Перейти")</f>
        <v>Перейти</v>
      </c>
      <c r="F2838" s="2">
        <v>10001556</v>
      </c>
      <c r="G2838" s="4" t="s">
        <v>2974</v>
      </c>
      <c r="H2838" s="1">
        <v>0</v>
      </c>
      <c r="I2838" s="1">
        <v>0</v>
      </c>
      <c r="J2838" s="1">
        <v>0</v>
      </c>
      <c r="K2838" s="2">
        <v>11.5</v>
      </c>
    </row>
    <row r="2839" spans="1:12">
      <c r="A2839" s="3" t="s">
        <v>2194</v>
      </c>
      <c r="B2839" s="3" t="s">
        <v>2526</v>
      </c>
      <c r="C2839" s="3" t="s">
        <v>653</v>
      </c>
      <c r="D2839" s="3"/>
      <c r="E2839" s="2" t="str">
        <f>HYPERLINK("https://old.ukr-mobil.com/displej_samsung_a025_galaxy_a02s_gh81-18456a_vysota_160_5_mm_s_tachskrinom_s_ramkoj_service_pack_original_10002268", "Перейти")</f>
        <v>Перейти</v>
      </c>
      <c r="F2839" s="2">
        <v>10002268</v>
      </c>
      <c r="G2839" s="4" t="s">
        <v>2975</v>
      </c>
      <c r="H2839" s="1">
        <v>0</v>
      </c>
      <c r="I2839" s="1">
        <v>0</v>
      </c>
      <c r="J2839" s="1">
        <v>0</v>
      </c>
      <c r="K2839" s="2">
        <v>51.0</v>
      </c>
    </row>
    <row r="2840" spans="1:12">
      <c r="A2840" s="3" t="s">
        <v>2194</v>
      </c>
      <c r="B2840" s="3" t="s">
        <v>2526</v>
      </c>
      <c r="C2840" s="3" t="s">
        <v>653</v>
      </c>
      <c r="D2840" s="3"/>
      <c r="E2840" s="2" t="str">
        <f>HYPERLINK("https://old.ukr-mobil.com/displej_samsung_a025_galaxy_a02s_gh81-18456a_vysota_163_mm_s_tachskrinom_s_ramkoj_service_pack_original_10002814", "Перейти")</f>
        <v>Перейти</v>
      </c>
      <c r="F2840" s="2">
        <v>10002814</v>
      </c>
      <c r="G2840" s="4" t="s">
        <v>2976</v>
      </c>
      <c r="H2840" s="1">
        <v>0</v>
      </c>
      <c r="I2840" s="1">
        <v>2</v>
      </c>
      <c r="J2840" s="1">
        <v>0</v>
      </c>
      <c r="K2840" s="2">
        <v>50.0</v>
      </c>
    </row>
    <row r="2841" spans="1:12">
      <c r="A2841" s="3" t="s">
        <v>2194</v>
      </c>
      <c r="B2841" s="3" t="s">
        <v>2526</v>
      </c>
      <c r="C2841" s="3" t="s">
        <v>653</v>
      </c>
      <c r="D2841" s="3"/>
      <c r="E2841" s="2" t="str">
        <f>HYPERLINK("https://old.ukr-mobil.com/displej_samsung_a025_galaxy_a02s_2021_gh81-18456a_s_tachskrinom_service_pack_original_10001752", "Перейти")</f>
        <v>Перейти</v>
      </c>
      <c r="F2841" s="2">
        <v>10001752</v>
      </c>
      <c r="G2841" s="4" t="s">
        <v>2977</v>
      </c>
      <c r="H2841" s="1">
        <v>15</v>
      </c>
      <c r="I2841" s="1">
        <v>7</v>
      </c>
      <c r="J2841" s="1">
        <v>7</v>
      </c>
      <c r="K2841" s="2">
        <v>16.0</v>
      </c>
    </row>
    <row r="2842" spans="1:12">
      <c r="A2842" s="3" t="s">
        <v>2194</v>
      </c>
      <c r="B2842" s="3" t="s">
        <v>2526</v>
      </c>
      <c r="C2842" s="3" t="s">
        <v>653</v>
      </c>
      <c r="D2842" s="3"/>
      <c r="E2842" s="2" t="str">
        <f>HYPERLINK("https://old.ukr-mobil.com/displej_samsung_a025_galaxy_a02s_s_tachskrinom_s_ramkoj_original_prc_black_10002527", "Перейти")</f>
        <v>Перейти</v>
      </c>
      <c r="F2842" s="2">
        <v>10002527</v>
      </c>
      <c r="G2842" s="4" t="s">
        <v>2978</v>
      </c>
      <c r="H2842" s="1">
        <v>1</v>
      </c>
      <c r="I2842" s="1">
        <v>4</v>
      </c>
      <c r="J2842" s="1">
        <v>7</v>
      </c>
      <c r="K2842" s="2">
        <v>15.0</v>
      </c>
    </row>
    <row r="2843" spans="1:12">
      <c r="A2843" s="3" t="s">
        <v>2194</v>
      </c>
      <c r="B2843" s="3" t="s">
        <v>2526</v>
      </c>
      <c r="C2843" s="3" t="s">
        <v>653</v>
      </c>
      <c r="D2843" s="3"/>
      <c r="E2843" s="2" t="str">
        <f>HYPERLINK("https://old.ukr-mobil.com/displej_samsung_a032_galaxy_a03_core_gh81-21711a_s_tachskrinom_service_pack_original_10004282", "Перейти")</f>
        <v>Перейти</v>
      </c>
      <c r="F2843" s="2">
        <v>10004282</v>
      </c>
      <c r="G2843" s="4" t="s">
        <v>2979</v>
      </c>
      <c r="H2843" s="1">
        <v>20</v>
      </c>
      <c r="I2843" s="1">
        <v>3</v>
      </c>
      <c r="J2843" s="1">
        <v>0</v>
      </c>
      <c r="K2843" s="2">
        <v>16.0</v>
      </c>
    </row>
    <row r="2844" spans="1:12">
      <c r="A2844" s="3" t="s">
        <v>2194</v>
      </c>
      <c r="B2844" s="3" t="s">
        <v>2526</v>
      </c>
      <c r="C2844" s="3" t="s">
        <v>653</v>
      </c>
      <c r="D2844" s="3"/>
      <c r="E2844" s="2" t="str">
        <f>HYPERLINK("https://old.ukr-mobil.com/displej_samsung_a032_galaxy_a03_core_gh81-21711a_s_tachskrinom_s_ramkoj_service_pack_original_10002392", "Перейти")</f>
        <v>Перейти</v>
      </c>
      <c r="F2844" s="2">
        <v>10002392</v>
      </c>
      <c r="G2844" s="4" t="s">
        <v>2980</v>
      </c>
      <c r="H2844" s="1">
        <v>2</v>
      </c>
      <c r="I2844" s="1">
        <v>0</v>
      </c>
      <c r="J2844" s="1">
        <v>1</v>
      </c>
      <c r="K2844" s="2">
        <v>45.0</v>
      </c>
    </row>
    <row r="2845" spans="1:12">
      <c r="A2845" s="3" t="s">
        <v>2194</v>
      </c>
      <c r="B2845" s="3" t="s">
        <v>2526</v>
      </c>
      <c r="C2845" s="3" t="s">
        <v>653</v>
      </c>
      <c r="D2845" s="3"/>
      <c r="E2845" s="2" t="str">
        <f>HYPERLINK("https://old.ukr-mobil.com/displej_samsung_a032_galaxy_a03_core_s_tachskrinom_original_prc_10002480", "Перейти")</f>
        <v>Перейти</v>
      </c>
      <c r="F2845" s="2">
        <v>10002480</v>
      </c>
      <c r="G2845" s="4" t="s">
        <v>2981</v>
      </c>
      <c r="H2845" s="1">
        <v>14</v>
      </c>
      <c r="I2845" s="1">
        <v>7</v>
      </c>
      <c r="J2845" s="1">
        <v>7</v>
      </c>
      <c r="K2845" s="2">
        <v>11.5</v>
      </c>
    </row>
    <row r="2846" spans="1:12">
      <c r="A2846" s="3" t="s">
        <v>2194</v>
      </c>
      <c r="B2846" s="3" t="s">
        <v>2526</v>
      </c>
      <c r="C2846" s="3" t="s">
        <v>653</v>
      </c>
      <c r="D2846" s="3"/>
      <c r="E2846" s="2" t="str">
        <f>HYPERLINK("https://old.ukr-mobil.com/displej_samsung_a032_galaxy_a03_s_tachskrinom_original_prc_black_10002486", "Перейти")</f>
        <v>Перейти</v>
      </c>
      <c r="F2846" s="2">
        <v>10002486</v>
      </c>
      <c r="G2846" s="4" t="s">
        <v>2982</v>
      </c>
      <c r="H2846" s="1">
        <v>2</v>
      </c>
      <c r="I2846" s="1">
        <v>0</v>
      </c>
      <c r="J2846" s="1">
        <v>0</v>
      </c>
      <c r="K2846" s="2">
        <v>16.0</v>
      </c>
    </row>
    <row r="2847" spans="1:12">
      <c r="A2847" s="3" t="s">
        <v>2194</v>
      </c>
      <c r="B2847" s="3" t="s">
        <v>2526</v>
      </c>
      <c r="C2847" s="3" t="s">
        <v>653</v>
      </c>
      <c r="D2847" s="3"/>
      <c r="E2847" s="2" t="str">
        <f>HYPERLINK("https://old.ukr-mobil.com/displej_samsung_a035_galaxy_a03_gh81-21625a_s_tachskrinom_service_pack_original_10002978", "Перейти")</f>
        <v>Перейти</v>
      </c>
      <c r="F2847" s="2">
        <v>10002978</v>
      </c>
      <c r="G2847" s="4" t="s">
        <v>2983</v>
      </c>
      <c r="H2847" s="1">
        <v>0</v>
      </c>
      <c r="I2847" s="1">
        <v>0</v>
      </c>
      <c r="J2847" s="1">
        <v>0</v>
      </c>
      <c r="K2847" s="2">
        <v>18.0</v>
      </c>
    </row>
    <row r="2848" spans="1:12">
      <c r="A2848" s="3" t="s">
        <v>2194</v>
      </c>
      <c r="B2848" s="3" t="s">
        <v>2526</v>
      </c>
      <c r="C2848" s="3" t="s">
        <v>653</v>
      </c>
      <c r="D2848" s="3"/>
      <c r="E2848" s="2" t="str">
        <f>HYPERLINK("https://old.ukr-mobil.com/displej_samsung_a037_galaxy_a03s_gh81-21232a_s_tachskrinom_service_pack_original_10002006", "Перейти")</f>
        <v>Перейти</v>
      </c>
      <c r="F2848" s="2">
        <v>10002006</v>
      </c>
      <c r="G2848" s="4" t="s">
        <v>2984</v>
      </c>
      <c r="H2848" s="1">
        <v>0</v>
      </c>
      <c r="I2848" s="1">
        <v>0</v>
      </c>
      <c r="J2848" s="1">
        <v>0</v>
      </c>
      <c r="K2848" s="2">
        <v>15.0</v>
      </c>
    </row>
    <row r="2849" spans="1:12">
      <c r="A2849" s="3" t="s">
        <v>2194</v>
      </c>
      <c r="B2849" s="3" t="s">
        <v>2526</v>
      </c>
      <c r="C2849" s="3" t="s">
        <v>653</v>
      </c>
      <c r="D2849" s="3"/>
      <c r="E2849" s="2" t="str">
        <f>HYPERLINK("https://old.ukr-mobil.com/displej_samsung_a037_galaxy_a03s_s_tachskrinom_original_prc_10002160", "Перейти")</f>
        <v>Перейти</v>
      </c>
      <c r="F2849" s="2">
        <v>10002160</v>
      </c>
      <c r="G2849" s="4" t="s">
        <v>2985</v>
      </c>
      <c r="H2849" s="1">
        <v>2</v>
      </c>
      <c r="I2849" s="1">
        <v>1</v>
      </c>
      <c r="J2849" s="1">
        <v>4</v>
      </c>
      <c r="K2849" s="2">
        <v>14.0</v>
      </c>
    </row>
    <row r="2850" spans="1:12">
      <c r="A2850" s="3" t="s">
        <v>2194</v>
      </c>
      <c r="B2850" s="3" t="s">
        <v>2526</v>
      </c>
      <c r="C2850" s="3" t="s">
        <v>653</v>
      </c>
      <c r="D2850" s="3"/>
      <c r="E2850" s="2" t="str">
        <f>HYPERLINK("https://old.ukr-mobil.com/displej_samsung_a037_galaxy_a03s_gh81-21233a_s_tachskrinom_s_ramkoj_service_pack_original_10002007", "Перейти")</f>
        <v>Перейти</v>
      </c>
      <c r="F2850" s="2">
        <v>10002007</v>
      </c>
      <c r="G2850" s="4" t="s">
        <v>2986</v>
      </c>
      <c r="H2850" s="1">
        <v>0</v>
      </c>
      <c r="I2850" s="1">
        <v>0</v>
      </c>
      <c r="J2850" s="1">
        <v>0</v>
      </c>
      <c r="K2850" s="2">
        <v>63.0</v>
      </c>
    </row>
    <row r="2851" spans="1:12">
      <c r="A2851" s="3" t="s">
        <v>2194</v>
      </c>
      <c r="B2851" s="3" t="s">
        <v>2526</v>
      </c>
      <c r="C2851" s="3" t="s">
        <v>653</v>
      </c>
      <c r="D2851" s="3"/>
      <c r="E2851" s="2" t="str">
        <f>HYPERLINK("https://old.ukr-mobil.com/displej_samsung_a042_galaxy_a04e_gh81-23088a_s_tachskrinom_service_pack_original_black_10003285", "Перейти")</f>
        <v>Перейти</v>
      </c>
      <c r="F2851" s="2">
        <v>10003285</v>
      </c>
      <c r="G2851" s="4" t="s">
        <v>2987</v>
      </c>
      <c r="H2851" s="1">
        <v>6</v>
      </c>
      <c r="I2851" s="1">
        <v>6</v>
      </c>
      <c r="J2851" s="1">
        <v>7</v>
      </c>
      <c r="K2851" s="2">
        <v>18.0</v>
      </c>
    </row>
    <row r="2852" spans="1:12">
      <c r="A2852" s="3" t="s">
        <v>2194</v>
      </c>
      <c r="B2852" s="3" t="s">
        <v>2526</v>
      </c>
      <c r="C2852" s="3" t="s">
        <v>653</v>
      </c>
      <c r="D2852" s="3"/>
      <c r="E2852" s="2" t="str">
        <f>HYPERLINK("https://old.ukr-mobil.com/displej_samsung_a042_galaxy_a04e_s_tachskrinom_original_prc_black_10004304", "Перейти")</f>
        <v>Перейти</v>
      </c>
      <c r="F2852" s="2">
        <v>10004304</v>
      </c>
      <c r="G2852" s="4" t="s">
        <v>2988</v>
      </c>
      <c r="H2852" s="1">
        <v>0</v>
      </c>
      <c r="I2852" s="1">
        <v>1</v>
      </c>
      <c r="J2852" s="1">
        <v>0</v>
      </c>
      <c r="K2852" s="2">
        <v>11.5</v>
      </c>
    </row>
    <row r="2853" spans="1:12">
      <c r="A2853" s="3" t="s">
        <v>2194</v>
      </c>
      <c r="B2853" s="3" t="s">
        <v>2526</v>
      </c>
      <c r="C2853" s="3" t="s">
        <v>653</v>
      </c>
      <c r="D2853" s="3"/>
      <c r="E2853" s="2" t="str">
        <f>HYPERLINK("https://old.ukr-mobil.com/displej_samsung_a042_galaxy_a04e_s_tachskrinom_s_ramkoj_original_prc_black_10004309", "Перейти")</f>
        <v>Перейти</v>
      </c>
      <c r="F2853" s="2">
        <v>10004309</v>
      </c>
      <c r="G2853" s="4" t="s">
        <v>2989</v>
      </c>
      <c r="H2853" s="1">
        <v>0</v>
      </c>
      <c r="I2853" s="1">
        <v>3</v>
      </c>
      <c r="J2853" s="1">
        <v>0</v>
      </c>
      <c r="K2853" s="2">
        <v>15.0</v>
      </c>
    </row>
    <row r="2854" spans="1:12">
      <c r="A2854" s="3" t="s">
        <v>2194</v>
      </c>
      <c r="B2854" s="3" t="s">
        <v>2526</v>
      </c>
      <c r="C2854" s="3" t="s">
        <v>653</v>
      </c>
      <c r="D2854" s="3"/>
      <c r="E2854" s="2" t="str">
        <f>HYPERLINK("https://old.ukr-mobil.com/displej_samsung_a045_galaxy_a04_gh81-22731a_s_tachskrinom_service_pack_original_black_10003284", "Перейти")</f>
        <v>Перейти</v>
      </c>
      <c r="F2854" s="2">
        <v>10003284</v>
      </c>
      <c r="G2854" s="4" t="s">
        <v>2990</v>
      </c>
      <c r="H2854" s="1">
        <v>4</v>
      </c>
      <c r="I2854" s="1">
        <v>4</v>
      </c>
      <c r="J2854" s="1">
        <v>2</v>
      </c>
      <c r="K2854" s="2">
        <v>16.0</v>
      </c>
    </row>
    <row r="2855" spans="1:12">
      <c r="A2855" s="3" t="s">
        <v>2194</v>
      </c>
      <c r="B2855" s="3" t="s">
        <v>2526</v>
      </c>
      <c r="C2855" s="3" t="s">
        <v>653</v>
      </c>
      <c r="D2855" s="3"/>
      <c r="E2855" s="2" t="str">
        <f>HYPERLINK("https://old.ukr-mobil.com/displej_samsung_a045_galaxy_a04_s_tachskrinom_original_prc_black_10004305", "Перейти")</f>
        <v>Перейти</v>
      </c>
      <c r="F2855" s="2">
        <v>10004305</v>
      </c>
      <c r="G2855" s="4" t="s">
        <v>2991</v>
      </c>
      <c r="H2855" s="1">
        <v>7</v>
      </c>
      <c r="I2855" s="1">
        <v>2</v>
      </c>
      <c r="J2855" s="1">
        <v>5</v>
      </c>
      <c r="K2855" s="2">
        <v>12.5</v>
      </c>
    </row>
    <row r="2856" spans="1:12">
      <c r="A2856" s="3" t="s">
        <v>2194</v>
      </c>
      <c r="B2856" s="3" t="s">
        <v>2526</v>
      </c>
      <c r="C2856" s="3" t="s">
        <v>653</v>
      </c>
      <c r="D2856" s="3"/>
      <c r="E2856" s="2" t="str">
        <f>HYPERLINK("https://old.ukr-mobil.com/displej_samsung_a047_galaxy_a04s_gh82-29805a_s_tachskrinom_service_pack_original_black_10003690", "Перейти")</f>
        <v>Перейти</v>
      </c>
      <c r="F2856" s="2">
        <v>10003690</v>
      </c>
      <c r="G2856" s="4" t="s">
        <v>2992</v>
      </c>
      <c r="H2856" s="1">
        <v>13</v>
      </c>
      <c r="I2856" s="1">
        <v>4</v>
      </c>
      <c r="J2856" s="1">
        <v>8</v>
      </c>
      <c r="K2856" s="2">
        <v>15.0</v>
      </c>
    </row>
    <row r="2857" spans="1:12">
      <c r="A2857" s="3" t="s">
        <v>2194</v>
      </c>
      <c r="B2857" s="3" t="s">
        <v>2526</v>
      </c>
      <c r="C2857" s="3" t="s">
        <v>653</v>
      </c>
      <c r="D2857" s="3"/>
      <c r="E2857" s="2" t="str">
        <f>HYPERLINK("https://old.ukr-mobil.com/displej_samsung_a047_galaxy_a04s_s_tachskrinom_original_prc_10002947", "Перейти")</f>
        <v>Перейти</v>
      </c>
      <c r="F2857" s="2">
        <v>10002947</v>
      </c>
      <c r="G2857" s="4" t="s">
        <v>2993</v>
      </c>
      <c r="H2857" s="1">
        <v>9</v>
      </c>
      <c r="I2857" s="1">
        <v>0</v>
      </c>
      <c r="J2857" s="1">
        <v>6</v>
      </c>
      <c r="K2857" s="2">
        <v>12.5</v>
      </c>
    </row>
    <row r="2858" spans="1:12">
      <c r="A2858" s="3" t="s">
        <v>2194</v>
      </c>
      <c r="B2858" s="3" t="s">
        <v>2526</v>
      </c>
      <c r="C2858" s="3" t="s">
        <v>653</v>
      </c>
      <c r="D2858" s="3"/>
      <c r="E2858" s="2" t="str">
        <f>HYPERLINK("https://old.ukr-mobil.com/index.php?route=product&amp;product_id=10006027", "Перейти")</f>
        <v>Перейти</v>
      </c>
      <c r="F2858" s="2">
        <v>10006027</v>
      </c>
      <c r="G2858" s="4" t="s">
        <v>2994</v>
      </c>
      <c r="H2858" s="1">
        <v>0</v>
      </c>
      <c r="I2858" s="1">
        <v>0</v>
      </c>
      <c r="J2858" s="1">
        <v>0</v>
      </c>
      <c r="K2858" s="2">
        <v>14.35</v>
      </c>
    </row>
    <row r="2859" spans="1:12">
      <c r="A2859" s="3" t="s">
        <v>2194</v>
      </c>
      <c r="B2859" s="3" t="s">
        <v>2526</v>
      </c>
      <c r="C2859" s="3" t="s">
        <v>653</v>
      </c>
      <c r="D2859" s="3"/>
      <c r="E2859" s="2" t="str">
        <f>HYPERLINK("https://old.ukr-mobil.com/displej_samsung_a105_galaxy_a10_gh82-18685a_s_tachskrinom_s_ramkoj_service_pack_original_10002269", "Перейти")</f>
        <v>Перейти</v>
      </c>
      <c r="F2859" s="2">
        <v>10002269</v>
      </c>
      <c r="G2859" s="4" t="s">
        <v>2995</v>
      </c>
      <c r="H2859" s="1">
        <v>0</v>
      </c>
      <c r="I2859" s="1">
        <v>0</v>
      </c>
      <c r="J2859" s="1">
        <v>0</v>
      </c>
      <c r="K2859" s="2">
        <v>27.0</v>
      </c>
    </row>
    <row r="2860" spans="1:12">
      <c r="A2860" s="3" t="s">
        <v>2194</v>
      </c>
      <c r="B2860" s="3" t="s">
        <v>2526</v>
      </c>
      <c r="C2860" s="3" t="s">
        <v>653</v>
      </c>
      <c r="D2860" s="3"/>
      <c r="E2860" s="2" t="str">
        <f>HYPERLINK("https://old.ukr-mobil.com/displej_samsung_a105_galaxy_a10_gh82-19367a_s_tachskrinom_service_pack_original_black_10003302", "Перейти")</f>
        <v>Перейти</v>
      </c>
      <c r="F2860" s="2">
        <v>10003302</v>
      </c>
      <c r="G2860" s="4" t="s">
        <v>2996</v>
      </c>
      <c r="H2860" s="1">
        <v>0</v>
      </c>
      <c r="I2860" s="1">
        <v>0</v>
      </c>
      <c r="J2860" s="1">
        <v>0</v>
      </c>
      <c r="K2860" s="2">
        <v>16.0</v>
      </c>
    </row>
    <row r="2861" spans="1:12">
      <c r="A2861" s="3" t="s">
        <v>2194</v>
      </c>
      <c r="B2861" s="3" t="s">
        <v>2526</v>
      </c>
      <c r="C2861" s="3" t="s">
        <v>653</v>
      </c>
      <c r="D2861" s="3"/>
      <c r="E2861" s="2" t="str">
        <f>HYPERLINK("https://old.ukr-mobil.com/displej_samsung_a105_galaxy_a10_s_tachskrinom_high_copy_black_11751", "Перейти")</f>
        <v>Перейти</v>
      </c>
      <c r="F2861" s="2">
        <v>11751</v>
      </c>
      <c r="G2861" s="4" t="s">
        <v>2997</v>
      </c>
      <c r="H2861" s="1">
        <v>0</v>
      </c>
      <c r="I2861" s="1">
        <v>0</v>
      </c>
      <c r="J2861" s="1">
        <v>0</v>
      </c>
      <c r="K2861" s="2">
        <v>23.2</v>
      </c>
    </row>
    <row r="2862" spans="1:12">
      <c r="A2862" s="3" t="s">
        <v>2194</v>
      </c>
      <c r="B2862" s="3" t="s">
        <v>2526</v>
      </c>
      <c r="C2862" s="3" t="s">
        <v>653</v>
      </c>
      <c r="D2862" s="3"/>
      <c r="E2862" s="2" t="str">
        <f>HYPERLINK("https://old.ukr-mobil.com/displej_samsung_a105_galaxy_a10_s_tachskrinom_original_prc_black_10000657", "Перейти")</f>
        <v>Перейти</v>
      </c>
      <c r="F2862" s="2">
        <v>10000657</v>
      </c>
      <c r="G2862" s="4" t="s">
        <v>2998</v>
      </c>
      <c r="H2862" s="1">
        <v>0</v>
      </c>
      <c r="I2862" s="1">
        <v>0</v>
      </c>
      <c r="J2862" s="1">
        <v>0</v>
      </c>
      <c r="K2862" s="2">
        <v>10.0</v>
      </c>
    </row>
    <row r="2863" spans="1:12">
      <c r="A2863" s="3" t="s">
        <v>2194</v>
      </c>
      <c r="B2863" s="3" t="s">
        <v>2526</v>
      </c>
      <c r="C2863" s="3" t="s">
        <v>653</v>
      </c>
      <c r="D2863" s="3"/>
      <c r="E2863" s="2" t="str">
        <f>HYPERLINK("https://old.ukr-mobil.com/displej_samsung_a105_galaxy_a10_s_tachskrinom_ramkoj_original_prc_black_10002116", "Перейти")</f>
        <v>Перейти</v>
      </c>
      <c r="F2863" s="2">
        <v>10002116</v>
      </c>
      <c r="G2863" s="4" t="s">
        <v>2999</v>
      </c>
      <c r="H2863" s="1">
        <v>0</v>
      </c>
      <c r="I2863" s="1">
        <v>0</v>
      </c>
      <c r="J2863" s="1">
        <v>0</v>
      </c>
      <c r="K2863" s="2">
        <v>14.0</v>
      </c>
    </row>
    <row r="2864" spans="1:12">
      <c r="A2864" s="3" t="s">
        <v>2194</v>
      </c>
      <c r="B2864" s="3" t="s">
        <v>2526</v>
      </c>
      <c r="C2864" s="3" t="s">
        <v>653</v>
      </c>
      <c r="D2864" s="3"/>
      <c r="E2864" s="2" t="str">
        <f>HYPERLINK("https://old.ukr-mobil.com/displej_samsung_a107_galaxy_a10s_gh81-17482a_s_tachskrinom_service_pack_original_10001848", "Перейти")</f>
        <v>Перейти</v>
      </c>
      <c r="F2864" s="2">
        <v>10001848</v>
      </c>
      <c r="G2864" s="4" t="s">
        <v>3000</v>
      </c>
      <c r="H2864" s="1">
        <v>0</v>
      </c>
      <c r="I2864" s="1">
        <v>0</v>
      </c>
      <c r="J2864" s="1">
        <v>0</v>
      </c>
      <c r="K2864" s="2">
        <v>16.0</v>
      </c>
    </row>
    <row r="2865" spans="1:12">
      <c r="A2865" s="3" t="s">
        <v>2194</v>
      </c>
      <c r="B2865" s="3" t="s">
        <v>2526</v>
      </c>
      <c r="C2865" s="3" t="s">
        <v>653</v>
      </c>
      <c r="D2865" s="3"/>
      <c r="E2865" s="2" t="str">
        <f>HYPERLINK("https://old.ukr-mobil.com/displej_samsung_a107_galaxy_a10s_s_tachskrinom_original_prc_black_12326", "Перейти")</f>
        <v>Перейти</v>
      </c>
      <c r="F2865" s="2">
        <v>12326</v>
      </c>
      <c r="G2865" s="4" t="s">
        <v>3001</v>
      </c>
      <c r="H2865" s="1">
        <v>0</v>
      </c>
      <c r="I2865" s="1">
        <v>3</v>
      </c>
      <c r="J2865" s="1">
        <v>1</v>
      </c>
      <c r="K2865" s="2">
        <v>12.0</v>
      </c>
    </row>
    <row r="2866" spans="1:12">
      <c r="A2866" s="3" t="s">
        <v>2194</v>
      </c>
      <c r="B2866" s="3" t="s">
        <v>2526</v>
      </c>
      <c r="C2866" s="3" t="s">
        <v>653</v>
      </c>
      <c r="D2866" s="3"/>
      <c r="E2866" s="2" t="str">
        <f>HYPERLINK("https://old.ukr-mobil.com/displej_samsung_a107_galaxy_a10s_s_tachskrinom_ramkoj_original_prc_black_10002115", "Перейти")</f>
        <v>Перейти</v>
      </c>
      <c r="F2866" s="2">
        <v>10002115</v>
      </c>
      <c r="G2866" s="4" t="s">
        <v>3002</v>
      </c>
      <c r="H2866" s="1">
        <v>0</v>
      </c>
      <c r="I2866" s="1">
        <v>0</v>
      </c>
      <c r="J2866" s="1">
        <v>0</v>
      </c>
      <c r="K2866" s="2">
        <v>14.0</v>
      </c>
    </row>
    <row r="2867" spans="1:12">
      <c r="A2867" s="3" t="s">
        <v>2194</v>
      </c>
      <c r="B2867" s="3" t="s">
        <v>2526</v>
      </c>
      <c r="C2867" s="3" t="s">
        <v>653</v>
      </c>
      <c r="D2867" s="3"/>
      <c r="E2867" s="2" t="str">
        <f>HYPERLINK("https://old.ukr-mobil.com/displej_samsung_a115_galaxy_a11_2019_gh81-18760a_s_tachskrinom_original_black_10001578", "Перейти")</f>
        <v>Перейти</v>
      </c>
      <c r="F2867" s="2">
        <v>10001578</v>
      </c>
      <c r="G2867" s="4" t="s">
        <v>3003</v>
      </c>
      <c r="H2867" s="1">
        <v>0</v>
      </c>
      <c r="I2867" s="1">
        <v>0</v>
      </c>
      <c r="J2867" s="1">
        <v>0</v>
      </c>
      <c r="K2867" s="2">
        <v>42.0</v>
      </c>
    </row>
    <row r="2868" spans="1:12">
      <c r="A2868" s="3" t="s">
        <v>2194</v>
      </c>
      <c r="B2868" s="3" t="s">
        <v>2526</v>
      </c>
      <c r="C2868" s="3" t="s">
        <v>653</v>
      </c>
      <c r="D2868" s="3"/>
      <c r="E2868" s="2" t="str">
        <f>HYPERLINK("https://old.ukr-mobil.com/displej_samsung_a115_galaxy_a11_2019_m115_galaxy_m11_gh81-18760a_s_tachskrinom_s_ramkoj_service_pack_original_black_10002372", "Перейти")</f>
        <v>Перейти</v>
      </c>
      <c r="F2868" s="2">
        <v>10002372</v>
      </c>
      <c r="G2868" s="4" t="s">
        <v>3004</v>
      </c>
      <c r="H2868" s="1">
        <v>0</v>
      </c>
      <c r="I2868" s="1">
        <v>1</v>
      </c>
      <c r="J2868" s="1">
        <v>0</v>
      </c>
      <c r="K2868" s="2">
        <v>51.0</v>
      </c>
    </row>
    <row r="2869" spans="1:12">
      <c r="A2869" s="3" t="s">
        <v>2194</v>
      </c>
      <c r="B2869" s="3" t="s">
        <v>2526</v>
      </c>
      <c r="C2869" s="3" t="s">
        <v>653</v>
      </c>
      <c r="D2869" s="3"/>
      <c r="E2869" s="2" t="str">
        <f>HYPERLINK("https://old.ukr-mobil.com/displej_samsung_a115_galaxy_a11_m115_galaxy_m11_s_tachskrinom_original_prc_black_10000758", "Перейти")</f>
        <v>Перейти</v>
      </c>
      <c r="F2869" s="2">
        <v>10000758</v>
      </c>
      <c r="G2869" s="4" t="s">
        <v>3005</v>
      </c>
      <c r="H2869" s="1">
        <v>0</v>
      </c>
      <c r="I2869" s="1">
        <v>0</v>
      </c>
      <c r="J2869" s="1">
        <v>0</v>
      </c>
      <c r="K2869" s="2">
        <v>15.45</v>
      </c>
    </row>
    <row r="2870" spans="1:12">
      <c r="A2870" s="3" t="s">
        <v>2194</v>
      </c>
      <c r="B2870" s="3" t="s">
        <v>2526</v>
      </c>
      <c r="C2870" s="3" t="s">
        <v>653</v>
      </c>
      <c r="D2870" s="3"/>
      <c r="E2870" s="2" t="str">
        <f>HYPERLINK("https://old.ukr-mobil.com/displej_samsung_a125_galaxy_a12_rev_a125f_v0_1_gh82-24491a_s_tachskrinom_s_ramkoj_service_pack_original_black_10002390", "Перейти")</f>
        <v>Перейти</v>
      </c>
      <c r="F2870" s="2">
        <v>10002390</v>
      </c>
      <c r="G2870" s="4" t="s">
        <v>3006</v>
      </c>
      <c r="H2870" s="1">
        <v>0</v>
      </c>
      <c r="I2870" s="1">
        <v>0</v>
      </c>
      <c r="J2870" s="1">
        <v>1</v>
      </c>
      <c r="K2870" s="2">
        <v>23.0</v>
      </c>
    </row>
    <row r="2871" spans="1:12">
      <c r="A2871" s="3" t="s">
        <v>2194</v>
      </c>
      <c r="B2871" s="3" t="s">
        <v>2526</v>
      </c>
      <c r="C2871" s="3" t="s">
        <v>653</v>
      </c>
      <c r="D2871" s="3"/>
      <c r="E2871" s="2" t="str">
        <f>HYPERLINK("https://old.ukr-mobil.com/displej_samsung_a125_galaxy_a12_rev_a125f_v0_1_s_tachskrinom_s_ramkoj_original_prc_10002477", "Перейти")</f>
        <v>Перейти</v>
      </c>
      <c r="F2871" s="2">
        <v>10002477</v>
      </c>
      <c r="G2871" s="4" t="s">
        <v>3007</v>
      </c>
      <c r="H2871" s="1">
        <v>11</v>
      </c>
      <c r="I2871" s="1">
        <v>9</v>
      </c>
      <c r="J2871" s="1">
        <v>14</v>
      </c>
      <c r="K2871" s="2">
        <v>16.0</v>
      </c>
    </row>
    <row r="2872" spans="1:12">
      <c r="A2872" s="3" t="s">
        <v>2194</v>
      </c>
      <c r="B2872" s="3" t="s">
        <v>2526</v>
      </c>
      <c r="C2872" s="3" t="s">
        <v>653</v>
      </c>
      <c r="D2872" s="3"/>
      <c r="E2872" s="2" t="str">
        <f>HYPERLINK("https://old.ukr-mobil.com/displej_samsung_a127_galaxy_a12_gh82-26485a_s_tachskrinom_service_pack_original_black_10002264", "Перейти")</f>
        <v>Перейти</v>
      </c>
      <c r="F2872" s="2">
        <v>10002264</v>
      </c>
      <c r="G2872" s="4" t="s">
        <v>3008</v>
      </c>
      <c r="H2872" s="1">
        <v>9</v>
      </c>
      <c r="I2872" s="1">
        <v>7</v>
      </c>
      <c r="J2872" s="1">
        <v>9</v>
      </c>
      <c r="K2872" s="2">
        <v>15.0</v>
      </c>
    </row>
    <row r="2873" spans="1:12">
      <c r="A2873" s="3" t="s">
        <v>2194</v>
      </c>
      <c r="B2873" s="3" t="s">
        <v>2526</v>
      </c>
      <c r="C2873" s="3" t="s">
        <v>653</v>
      </c>
      <c r="D2873" s="3"/>
      <c r="E2873" s="2" t="str">
        <f>HYPERLINK("https://old.ukr-mobil.com/displej_samsung_a137_galaxy_a13_a235_galaxy_a23_m236_galaxy_m23_m336_galaxy_m33_s_tachskrinom_original_prc_10003570", "Перейти")</f>
        <v>Перейти</v>
      </c>
      <c r="F2873" s="2">
        <v>10003570</v>
      </c>
      <c r="G2873" s="4" t="s">
        <v>3009</v>
      </c>
      <c r="H2873" s="1">
        <v>7</v>
      </c>
      <c r="I2873" s="1">
        <v>9</v>
      </c>
      <c r="J2873" s="1">
        <v>8</v>
      </c>
      <c r="K2873" s="2">
        <v>16.0</v>
      </c>
    </row>
    <row r="2874" spans="1:12">
      <c r="A2874" s="3" t="s">
        <v>2194</v>
      </c>
      <c r="B2874" s="3" t="s">
        <v>2526</v>
      </c>
      <c r="C2874" s="3" t="s">
        <v>653</v>
      </c>
      <c r="D2874" s="3"/>
      <c r="E2874" s="2" t="str">
        <f>HYPERLINK("https://old.ukr-mobil.com/displej_samsung_a137_galaxy_a13_a235_galaxy_a23_m236_galaxy_m23_m336_galaxy_m33_s_tachskrinom_service_pack_original_10003571", "Перейти")</f>
        <v>Перейти</v>
      </c>
      <c r="F2874" s="2">
        <v>10003571</v>
      </c>
      <c r="G2874" s="4" t="s">
        <v>3010</v>
      </c>
      <c r="H2874" s="1">
        <v>6</v>
      </c>
      <c r="I2874" s="1">
        <v>0</v>
      </c>
      <c r="J2874" s="1">
        <v>3</v>
      </c>
      <c r="K2874" s="2">
        <v>17.5</v>
      </c>
    </row>
    <row r="2875" spans="1:12">
      <c r="A2875" s="3" t="s">
        <v>2194</v>
      </c>
      <c r="B2875" s="3" t="s">
        <v>2526</v>
      </c>
      <c r="C2875" s="3" t="s">
        <v>653</v>
      </c>
      <c r="D2875" s="3"/>
      <c r="E2875" s="2" t="str">
        <f>HYPERLINK("https://old.ukr-mobil.com/displej_samsung_a135_galaxy_a13_gh82-28653a_s_tachskrinom_service_pack_original_10002711", "Перейти")</f>
        <v>Перейти</v>
      </c>
      <c r="F2875" s="2">
        <v>10002711</v>
      </c>
      <c r="G2875" s="4" t="s">
        <v>3011</v>
      </c>
      <c r="H2875" s="1">
        <v>0</v>
      </c>
      <c r="I2875" s="1">
        <v>0</v>
      </c>
      <c r="J2875" s="1">
        <v>3</v>
      </c>
      <c r="K2875" s="2">
        <v>18.0</v>
      </c>
    </row>
    <row r="2876" spans="1:12">
      <c r="A2876" s="3" t="s">
        <v>2194</v>
      </c>
      <c r="B2876" s="3" t="s">
        <v>2526</v>
      </c>
      <c r="C2876" s="3" t="s">
        <v>653</v>
      </c>
      <c r="D2876" s="3"/>
      <c r="E2876" s="2" t="str">
        <f>HYPERLINK("https://old.ukr-mobil.com/displej_samsung_a135_galaxy_a13_s_tachskrinom_original_prc_10002812", "Перейти")</f>
        <v>Перейти</v>
      </c>
      <c r="F2876" s="2">
        <v>10002812</v>
      </c>
      <c r="G2876" s="4" t="s">
        <v>3012</v>
      </c>
      <c r="H2876" s="1">
        <v>20</v>
      </c>
      <c r="I2876" s="1">
        <v>6</v>
      </c>
      <c r="J2876" s="1">
        <v>5</v>
      </c>
      <c r="K2876" s="2">
        <v>14.0</v>
      </c>
    </row>
    <row r="2877" spans="1:12">
      <c r="A2877" s="3" t="s">
        <v>2194</v>
      </c>
      <c r="B2877" s="3" t="s">
        <v>2526</v>
      </c>
      <c r="C2877" s="3" t="s">
        <v>653</v>
      </c>
      <c r="D2877" s="3"/>
      <c r="E2877" s="2" t="str">
        <f>HYPERLINK("https://old.ukr-mobil.com/displej_samsung_a145_galaxy_a14_gh97-29124a_s_tachskrinom_service_pack_original_10003569", "Перейти")</f>
        <v>Перейти</v>
      </c>
      <c r="F2877" s="2">
        <v>10003569</v>
      </c>
      <c r="G2877" s="4" t="s">
        <v>3013</v>
      </c>
      <c r="H2877" s="1">
        <v>2</v>
      </c>
      <c r="I2877" s="1">
        <v>5</v>
      </c>
      <c r="J2877" s="1">
        <v>5</v>
      </c>
      <c r="K2877" s="2">
        <v>17.0</v>
      </c>
    </row>
    <row r="2878" spans="1:12">
      <c r="A2878" s="3" t="s">
        <v>2194</v>
      </c>
      <c r="B2878" s="3" t="s">
        <v>2526</v>
      </c>
      <c r="C2878" s="3" t="s">
        <v>653</v>
      </c>
      <c r="D2878" s="3"/>
      <c r="E2878" s="2" t="str">
        <f>HYPERLINK("https://old.ukr-mobil.com/displej_samsung_a146b_galaxy_a14_ver_sm-a146b_v04_gh97-29123a_s_tachskrinom_service_pack_original_10003563", "Перейти")</f>
        <v>Перейти</v>
      </c>
      <c r="F2878" s="2">
        <v>10003563</v>
      </c>
      <c r="G2878" s="4" t="s">
        <v>3014</v>
      </c>
      <c r="H2878" s="1">
        <v>0</v>
      </c>
      <c r="I2878" s="1">
        <v>0</v>
      </c>
      <c r="J2878" s="1">
        <v>4</v>
      </c>
      <c r="K2878" s="2">
        <v>16.0</v>
      </c>
    </row>
    <row r="2879" spans="1:12">
      <c r="A2879" s="3" t="s">
        <v>2194</v>
      </c>
      <c r="B2879" s="3" t="s">
        <v>2526</v>
      </c>
      <c r="C2879" s="3" t="s">
        <v>653</v>
      </c>
      <c r="D2879" s="3"/>
      <c r="E2879" s="2" t="str">
        <f>HYPERLINK("https://old.ukr-mobil.com/displej_samsung_a146p_galaxy_a14_5g_gh82-23640a_s_tachskrinom_service_pack_original_10004558", "Перейти")</f>
        <v>Перейти</v>
      </c>
      <c r="F2879" s="2">
        <v>10004558</v>
      </c>
      <c r="G2879" s="4" t="s">
        <v>3015</v>
      </c>
      <c r="H2879" s="1">
        <v>13</v>
      </c>
      <c r="I2879" s="1">
        <v>7</v>
      </c>
      <c r="J2879" s="1">
        <v>4</v>
      </c>
      <c r="K2879" s="2">
        <v>20.0</v>
      </c>
    </row>
    <row r="2880" spans="1:12">
      <c r="A2880" s="3" t="s">
        <v>2194</v>
      </c>
      <c r="B2880" s="3" t="s">
        <v>2526</v>
      </c>
      <c r="C2880" s="3" t="s">
        <v>653</v>
      </c>
      <c r="D2880" s="3"/>
      <c r="E2880" s="2" t="str">
        <f>HYPERLINK("https://old.ukr-mobil.com/index.php?route=product&amp;product_id=10006030", "Перейти")</f>
        <v>Перейти</v>
      </c>
      <c r="F2880" s="2">
        <v>10006030</v>
      </c>
      <c r="G2880" s="4" t="s">
        <v>3016</v>
      </c>
      <c r="H2880" s="1">
        <v>1</v>
      </c>
      <c r="I2880" s="1">
        <v>1</v>
      </c>
      <c r="J2880" s="1">
        <v>1</v>
      </c>
      <c r="K2880" s="2">
        <v>60.0</v>
      </c>
    </row>
    <row r="2881" spans="1:12">
      <c r="A2881" s="3" t="s">
        <v>2194</v>
      </c>
      <c r="B2881" s="3" t="s">
        <v>2526</v>
      </c>
      <c r="C2881" s="3" t="s">
        <v>653</v>
      </c>
      <c r="D2881" s="3"/>
      <c r="E2881" s="2" t="str">
        <f>HYPERLINK("https://old.ukr-mobil.com/displej_samsung_a205_galaxy_a20_2019_s_tachskrinom_incell_black_10000569", "Перейти")</f>
        <v>Перейти</v>
      </c>
      <c r="F2881" s="2">
        <v>10000569</v>
      </c>
      <c r="G2881" s="4" t="s">
        <v>3017</v>
      </c>
      <c r="H2881" s="1">
        <v>17</v>
      </c>
      <c r="I2881" s="1">
        <v>2</v>
      </c>
      <c r="J2881" s="1">
        <v>3</v>
      </c>
      <c r="K2881" s="2">
        <v>14.0</v>
      </c>
    </row>
    <row r="2882" spans="1:12">
      <c r="A2882" s="3" t="s">
        <v>2194</v>
      </c>
      <c r="B2882" s="3" t="s">
        <v>2526</v>
      </c>
      <c r="C2882" s="3" t="s">
        <v>653</v>
      </c>
      <c r="D2882" s="3"/>
      <c r="E2882" s="2" t="str">
        <f>HYPERLINK("https://old.ukr-mobil.com/displej_samsung_a205_galaxy_a20_2019_s_tachskrinom_oled_black_12339", "Перейти")</f>
        <v>Перейти</v>
      </c>
      <c r="F2882" s="2">
        <v>12339</v>
      </c>
      <c r="G2882" s="4" t="s">
        <v>3018</v>
      </c>
      <c r="H2882" s="1">
        <v>0</v>
      </c>
      <c r="I2882" s="1">
        <v>0</v>
      </c>
      <c r="J2882" s="1">
        <v>0</v>
      </c>
      <c r="K2882" s="2">
        <v>24.0</v>
      </c>
    </row>
    <row r="2883" spans="1:12">
      <c r="A2883" s="3" t="s">
        <v>2194</v>
      </c>
      <c r="B2883" s="3" t="s">
        <v>2526</v>
      </c>
      <c r="C2883" s="3" t="s">
        <v>653</v>
      </c>
      <c r="D2883" s="3"/>
      <c r="E2883" s="2" t="str">
        <f>HYPERLINK("https://old.ukr-mobil.com/displej_samsung_a205_galaxy_a20_2019_s_tachskrinom_ramkoj_oled_black_10000725", "Перейти")</f>
        <v>Перейти</v>
      </c>
      <c r="F2883" s="2">
        <v>10000725</v>
      </c>
      <c r="G2883" s="4" t="s">
        <v>3019</v>
      </c>
      <c r="H2883" s="1">
        <v>9</v>
      </c>
      <c r="I2883" s="1">
        <v>6</v>
      </c>
      <c r="J2883" s="1">
        <v>1</v>
      </c>
      <c r="K2883" s="2">
        <v>26.0</v>
      </c>
    </row>
    <row r="2884" spans="1:12">
      <c r="A2884" s="3" t="s">
        <v>2194</v>
      </c>
      <c r="B2884" s="3" t="s">
        <v>2526</v>
      </c>
      <c r="C2884" s="3" t="s">
        <v>653</v>
      </c>
      <c r="D2884" s="3"/>
      <c r="E2884" s="2" t="str">
        <f>HYPERLINK("https://old.ukr-mobil.com/displej_samsung_a207_galaxy_a20s_2019_gh81-17774a_s_tachskrinom_service_pack_original_10001746", "Перейти")</f>
        <v>Перейти</v>
      </c>
      <c r="F2884" s="2">
        <v>10001746</v>
      </c>
      <c r="G2884" s="4" t="s">
        <v>3020</v>
      </c>
      <c r="H2884" s="1">
        <v>0</v>
      </c>
      <c r="I2884" s="1">
        <v>0</v>
      </c>
      <c r="J2884" s="1">
        <v>1</v>
      </c>
      <c r="K2884" s="2">
        <v>20.0</v>
      </c>
    </row>
    <row r="2885" spans="1:12">
      <c r="A2885" s="3" t="s">
        <v>2194</v>
      </c>
      <c r="B2885" s="3" t="s">
        <v>2526</v>
      </c>
      <c r="C2885" s="3" t="s">
        <v>653</v>
      </c>
      <c r="D2885" s="3"/>
      <c r="E2885" s="2" t="str">
        <f>HYPERLINK("https://old.ukr-mobil.com/displej_samsung_a207_galaxy_a20s_2019_gh81-17774a_s_tachskrinom_s_ramkoj_service_pack_original_10002013", "Перейти")</f>
        <v>Перейти</v>
      </c>
      <c r="F2885" s="2">
        <v>10002013</v>
      </c>
      <c r="G2885" s="4" t="s">
        <v>3021</v>
      </c>
      <c r="H2885" s="1">
        <v>1</v>
      </c>
      <c r="I2885" s="1">
        <v>0</v>
      </c>
      <c r="J2885" s="1">
        <v>0</v>
      </c>
      <c r="K2885" s="2">
        <v>45.0</v>
      </c>
    </row>
    <row r="2886" spans="1:12">
      <c r="A2886" s="3" t="s">
        <v>2194</v>
      </c>
      <c r="B2886" s="3" t="s">
        <v>2526</v>
      </c>
      <c r="C2886" s="3" t="s">
        <v>653</v>
      </c>
      <c r="D2886" s="3"/>
      <c r="E2886" s="2" t="str">
        <f>HYPERLINK("https://old.ukr-mobil.com/displej_samsung_a207_galaxy_a20s_2019_s_tachskrinom_original_prc_black_12354", "Перейти")</f>
        <v>Перейти</v>
      </c>
      <c r="F2886" s="2">
        <v>12354</v>
      </c>
      <c r="G2886" s="4" t="s">
        <v>3022</v>
      </c>
      <c r="H2886" s="1">
        <v>5</v>
      </c>
      <c r="I2886" s="1">
        <v>3</v>
      </c>
      <c r="J2886" s="1">
        <v>5</v>
      </c>
      <c r="K2886" s="2">
        <v>12.0</v>
      </c>
    </row>
    <row r="2887" spans="1:12">
      <c r="A2887" s="3" t="s">
        <v>2194</v>
      </c>
      <c r="B2887" s="3" t="s">
        <v>2526</v>
      </c>
      <c r="C2887" s="3" t="s">
        <v>653</v>
      </c>
      <c r="D2887" s="3"/>
      <c r="E2887" s="2" t="str">
        <f>HYPERLINK("https://old.ukr-mobil.com/displej_samsung_a215_galaxy_a21_2020_gh82-22836a_s_tachskrinom_ramkoj_service_pack_original_black_10001579", "Перейти")</f>
        <v>Перейти</v>
      </c>
      <c r="F2887" s="2">
        <v>10001579</v>
      </c>
      <c r="G2887" s="4" t="s">
        <v>3023</v>
      </c>
      <c r="H2887" s="1">
        <v>0</v>
      </c>
      <c r="I2887" s="1">
        <v>1</v>
      </c>
      <c r="J2887" s="1">
        <v>0</v>
      </c>
      <c r="K2887" s="2">
        <v>55.0</v>
      </c>
    </row>
    <row r="2888" spans="1:12">
      <c r="A2888" s="3" t="s">
        <v>2194</v>
      </c>
      <c r="B2888" s="3" t="s">
        <v>2526</v>
      </c>
      <c r="C2888" s="3" t="s">
        <v>653</v>
      </c>
      <c r="D2888" s="3"/>
      <c r="E2888" s="2" t="str">
        <f>HYPERLINK("https://old.ukr-mobil.com/displej_samsung_a215_galaxy_a21_gh82-22988b_s_tachskrinom_service_pack_original_10002244", "Перейти")</f>
        <v>Перейти</v>
      </c>
      <c r="F2888" s="2">
        <v>10002244</v>
      </c>
      <c r="G2888" s="4" t="s">
        <v>3024</v>
      </c>
      <c r="H2888" s="1">
        <v>3</v>
      </c>
      <c r="I2888" s="1">
        <v>1</v>
      </c>
      <c r="J2888" s="1">
        <v>2</v>
      </c>
      <c r="K2888" s="2">
        <v>35.0</v>
      </c>
    </row>
    <row r="2889" spans="1:12">
      <c r="A2889" s="3" t="s">
        <v>2194</v>
      </c>
      <c r="B2889" s="3" t="s">
        <v>2526</v>
      </c>
      <c r="C2889" s="3" t="s">
        <v>653</v>
      </c>
      <c r="D2889" s="3"/>
      <c r="E2889" s="2" t="str">
        <f>HYPERLINK("https://old.ukr-mobil.com/displej_samsung_a215_galaxy_a21_s_tachskrinom_original_prc_10002027", "Перейти")</f>
        <v>Перейти</v>
      </c>
      <c r="F2889" s="2">
        <v>10002027</v>
      </c>
      <c r="G2889" s="4" t="s">
        <v>3025</v>
      </c>
      <c r="H2889" s="1">
        <v>15</v>
      </c>
      <c r="I2889" s="1">
        <v>5</v>
      </c>
      <c r="J2889" s="1">
        <v>3</v>
      </c>
      <c r="K2889" s="2">
        <v>20.0</v>
      </c>
    </row>
    <row r="2890" spans="1:12">
      <c r="A2890" s="3" t="s">
        <v>2194</v>
      </c>
      <c r="B2890" s="3" t="s">
        <v>2526</v>
      </c>
      <c r="C2890" s="3" t="s">
        <v>653</v>
      </c>
      <c r="D2890" s="3"/>
      <c r="E2890" s="2" t="str">
        <f>HYPERLINK("https://old.ukr-mobil.com/displej_samsung_a217_galaxy_a21s_gh82-22905a_s_tachskrinom_s_ramkoj_service_pack_original_10001754", "Перейти")</f>
        <v>Перейти</v>
      </c>
      <c r="F2890" s="2">
        <v>10001754</v>
      </c>
      <c r="G2890" s="4" t="s">
        <v>3026</v>
      </c>
      <c r="H2890" s="1">
        <v>0</v>
      </c>
      <c r="I2890" s="1">
        <v>0</v>
      </c>
      <c r="J2890" s="1">
        <v>0</v>
      </c>
      <c r="K2890" s="2">
        <v>32.0</v>
      </c>
    </row>
    <row r="2891" spans="1:12">
      <c r="A2891" s="3" t="s">
        <v>2194</v>
      </c>
      <c r="B2891" s="3" t="s">
        <v>2526</v>
      </c>
      <c r="C2891" s="3" t="s">
        <v>653</v>
      </c>
      <c r="D2891" s="3"/>
      <c r="E2891" s="2" t="str">
        <f>HYPERLINK("https://old.ukr-mobil.com/displej_samsung_a217_galaxy_a21s_2020_gh82-22988a_s_tachskrinom_ramkoj_service_pack_original_10001191", "Перейти")</f>
        <v>Перейти</v>
      </c>
      <c r="F2891" s="2">
        <v>10001191</v>
      </c>
      <c r="G2891" s="4" t="s">
        <v>3027</v>
      </c>
      <c r="H2891" s="1">
        <v>0</v>
      </c>
      <c r="I2891" s="1">
        <v>0</v>
      </c>
      <c r="J2891" s="1">
        <v>0</v>
      </c>
      <c r="K2891" s="2">
        <v>20.0</v>
      </c>
    </row>
    <row r="2892" spans="1:12">
      <c r="A2892" s="3" t="s">
        <v>2194</v>
      </c>
      <c r="B2892" s="3" t="s">
        <v>2526</v>
      </c>
      <c r="C2892" s="3" t="s">
        <v>653</v>
      </c>
      <c r="D2892" s="3"/>
      <c r="E2892" s="2" t="str">
        <f>HYPERLINK("https://old.ukr-mobil.com/displej_samsung_a217_galaxy_a21s_s_tachskrinom_high_copy_black_10002950", "Перейти")</f>
        <v>Перейти</v>
      </c>
      <c r="F2892" s="2">
        <v>10002950</v>
      </c>
      <c r="G2892" s="4" t="s">
        <v>3028</v>
      </c>
      <c r="H2892" s="1">
        <v>0</v>
      </c>
      <c r="I2892" s="1">
        <v>0</v>
      </c>
      <c r="J2892" s="1">
        <v>0</v>
      </c>
      <c r="K2892" s="2">
        <v>13.0</v>
      </c>
    </row>
    <row r="2893" spans="1:12">
      <c r="A2893" s="3" t="s">
        <v>2194</v>
      </c>
      <c r="B2893" s="3" t="s">
        <v>2526</v>
      </c>
      <c r="C2893" s="3" t="s">
        <v>653</v>
      </c>
      <c r="D2893" s="3"/>
      <c r="E2893" s="2" t="str">
        <f>HYPERLINK("https://old.ukr-mobil.com/displej_samsung_a217_galaxy_a21s_s_tachskrinom_original_black_10000731", "Перейти")</f>
        <v>Перейти</v>
      </c>
      <c r="F2893" s="2">
        <v>10000731</v>
      </c>
      <c r="G2893" s="4" t="s">
        <v>3029</v>
      </c>
      <c r="H2893" s="1">
        <v>0</v>
      </c>
      <c r="I2893" s="1">
        <v>0</v>
      </c>
      <c r="J2893" s="1">
        <v>0</v>
      </c>
      <c r="K2893" s="2">
        <v>11.0</v>
      </c>
    </row>
    <row r="2894" spans="1:12">
      <c r="A2894" s="3" t="s">
        <v>2194</v>
      </c>
      <c r="B2894" s="3" t="s">
        <v>2526</v>
      </c>
      <c r="C2894" s="3" t="s">
        <v>653</v>
      </c>
      <c r="D2894" s="3"/>
      <c r="E2894" s="2" t="str">
        <f>HYPERLINK("https://old.ukr-mobil.com/displej_samsung_a225_galaxy_a22_gh82-25944a_s_tachskrinom_s_ramkoj_service_pack_original_black_10001925", "Перейти")</f>
        <v>Перейти</v>
      </c>
      <c r="F2894" s="2">
        <v>10001925</v>
      </c>
      <c r="G2894" s="4" t="s">
        <v>3030</v>
      </c>
      <c r="H2894" s="1">
        <v>0</v>
      </c>
      <c r="I2894" s="1">
        <v>0</v>
      </c>
      <c r="J2894" s="1">
        <v>0</v>
      </c>
      <c r="K2894" s="2">
        <v>60.0</v>
      </c>
    </row>
    <row r="2895" spans="1:12">
      <c r="A2895" s="3" t="s">
        <v>2194</v>
      </c>
      <c r="B2895" s="3" t="s">
        <v>2526</v>
      </c>
      <c r="C2895" s="3" t="s">
        <v>653</v>
      </c>
      <c r="D2895" s="3"/>
      <c r="E2895" s="2" t="str">
        <f>HYPERLINK("https://old.ukr-mobil.com/displej_samsung_a225_galaxy_a22_s_tachskrinom_incell_10002029", "Перейти")</f>
        <v>Перейти</v>
      </c>
      <c r="F2895" s="2">
        <v>10002029</v>
      </c>
      <c r="G2895" s="4" t="s">
        <v>3031</v>
      </c>
      <c r="H2895" s="1">
        <v>9</v>
      </c>
      <c r="I2895" s="1">
        <v>1</v>
      </c>
      <c r="J2895" s="1">
        <v>6</v>
      </c>
      <c r="K2895" s="2">
        <v>16.0</v>
      </c>
    </row>
    <row r="2896" spans="1:12">
      <c r="A2896" s="3" t="s">
        <v>2194</v>
      </c>
      <c r="B2896" s="3" t="s">
        <v>2526</v>
      </c>
      <c r="C2896" s="3" t="s">
        <v>653</v>
      </c>
      <c r="D2896" s="3"/>
      <c r="E2896" s="2" t="str">
        <f>HYPERLINK("https://old.ukr-mobil.com/displej_samsung_a225_galaxy_a22_s_tachskrinom_s_ramkoj_oled_10002331", "Перейти")</f>
        <v>Перейти</v>
      </c>
      <c r="F2896" s="2">
        <v>10002331</v>
      </c>
      <c r="G2896" s="4" t="s">
        <v>3032</v>
      </c>
      <c r="H2896" s="1">
        <v>14</v>
      </c>
      <c r="I2896" s="1">
        <v>7</v>
      </c>
      <c r="J2896" s="1">
        <v>7</v>
      </c>
      <c r="K2896" s="2">
        <v>28.0</v>
      </c>
    </row>
    <row r="2897" spans="1:12">
      <c r="A2897" s="3" t="s">
        <v>2194</v>
      </c>
      <c r="B2897" s="3" t="s">
        <v>2526</v>
      </c>
      <c r="C2897" s="3" t="s">
        <v>653</v>
      </c>
      <c r="D2897" s="3"/>
      <c r="E2897" s="2" t="str">
        <f>HYPERLINK("https://old.ukr-mobil.com/displej_samsung_a226_galaxy_a22_5g_gh81-21711a_s_tachskrinom_service_pack_original_10004516", "Перейти")</f>
        <v>Перейти</v>
      </c>
      <c r="F2897" s="2">
        <v>10004516</v>
      </c>
      <c r="G2897" s="4" t="s">
        <v>3033</v>
      </c>
      <c r="H2897" s="1">
        <v>0</v>
      </c>
      <c r="I2897" s="1">
        <v>0</v>
      </c>
      <c r="J2897" s="1">
        <v>0</v>
      </c>
      <c r="K2897" s="2">
        <v>22.0</v>
      </c>
    </row>
    <row r="2898" spans="1:12">
      <c r="A2898" s="3" t="s">
        <v>2194</v>
      </c>
      <c r="B2898" s="3" t="s">
        <v>2526</v>
      </c>
      <c r="C2898" s="3" t="s">
        <v>653</v>
      </c>
      <c r="D2898" s="3"/>
      <c r="E2898" s="2" t="str">
        <f>HYPERLINK("https://old.ukr-mobil.com/displej_samsung_a226_galaxy_a22_5g_s_tachskrinom_original_prc_10002069", "Перейти")</f>
        <v>Перейти</v>
      </c>
      <c r="F2898" s="2">
        <v>10002069</v>
      </c>
      <c r="G2898" s="4" t="s">
        <v>3034</v>
      </c>
      <c r="H2898" s="1">
        <v>14</v>
      </c>
      <c r="I2898" s="1">
        <v>5</v>
      </c>
      <c r="J2898" s="1">
        <v>8</v>
      </c>
      <c r="K2898" s="2">
        <v>17.0</v>
      </c>
    </row>
    <row r="2899" spans="1:12">
      <c r="A2899" s="3" t="s">
        <v>2194</v>
      </c>
      <c r="B2899" s="3" t="s">
        <v>2526</v>
      </c>
      <c r="C2899" s="3" t="s">
        <v>653</v>
      </c>
      <c r="D2899" s="3"/>
      <c r="E2899" s="2" t="str">
        <f>HYPERLINK("https://old.ukr-mobil.com/displej_samsung_a235_galaxy_a23_4g_gh82-28563a_s_tachskrinom_service_pack_original_10002783", "Перейти")</f>
        <v>Перейти</v>
      </c>
      <c r="F2899" s="2">
        <v>10002783</v>
      </c>
      <c r="G2899" s="4" t="s">
        <v>3035</v>
      </c>
      <c r="H2899" s="1">
        <v>0</v>
      </c>
      <c r="I2899" s="1">
        <v>0</v>
      </c>
      <c r="J2899" s="1">
        <v>0</v>
      </c>
      <c r="K2899" s="2">
        <v>20.0</v>
      </c>
    </row>
    <row r="2900" spans="1:12">
      <c r="A2900" s="3" t="s">
        <v>2194</v>
      </c>
      <c r="B2900" s="3" t="s">
        <v>2526</v>
      </c>
      <c r="C2900" s="3" t="s">
        <v>653</v>
      </c>
      <c r="D2900" s="3"/>
      <c r="E2900" s="2" t="str">
        <f>HYPERLINK("https://old.ukr-mobil.com/displej_samsung_a235_galaxy_a23_s_tachskrinom_original_prc_black_10002341", "Перейти")</f>
        <v>Перейти</v>
      </c>
      <c r="F2900" s="2">
        <v>10002341</v>
      </c>
      <c r="G2900" s="4" t="s">
        <v>3036</v>
      </c>
      <c r="H2900" s="1">
        <v>0</v>
      </c>
      <c r="I2900" s="1">
        <v>0</v>
      </c>
      <c r="J2900" s="1">
        <v>0</v>
      </c>
      <c r="K2900" s="2">
        <v>16.0</v>
      </c>
    </row>
    <row r="2901" spans="1:12">
      <c r="A2901" s="3" t="s">
        <v>2194</v>
      </c>
      <c r="B2901" s="3" t="s">
        <v>2526</v>
      </c>
      <c r="C2901" s="3" t="s">
        <v>653</v>
      </c>
      <c r="D2901" s="3"/>
      <c r="E2901" s="2" t="str">
        <f>HYPERLINK("https://old.ukr-mobil.com/index.php?route=product&amp;product_id=10004671", "Перейти")</f>
        <v>Перейти</v>
      </c>
      <c r="F2901" s="2">
        <v>10004671</v>
      </c>
      <c r="G2901" s="4" t="s">
        <v>3037</v>
      </c>
      <c r="H2901" s="1">
        <v>7</v>
      </c>
      <c r="I2901" s="1">
        <v>3</v>
      </c>
      <c r="J2901" s="1">
        <v>0</v>
      </c>
      <c r="K2901" s="2">
        <v>85.0</v>
      </c>
    </row>
    <row r="2902" spans="1:12">
      <c r="A2902" s="3" t="s">
        <v>2194</v>
      </c>
      <c r="B2902" s="3" t="s">
        <v>2526</v>
      </c>
      <c r="C2902" s="3" t="s">
        <v>653</v>
      </c>
      <c r="D2902" s="3"/>
      <c r="E2902" s="2" t="str">
        <f>HYPERLINK("https://old.ukr-mobil.com/index.php?route=product&amp;product_id=10006031", "Перейти")</f>
        <v>Перейти</v>
      </c>
      <c r="F2902" s="2">
        <v>10006031</v>
      </c>
      <c r="G2902" s="4" t="s">
        <v>3038</v>
      </c>
      <c r="H2902" s="1">
        <v>0</v>
      </c>
      <c r="I2902" s="1">
        <v>0</v>
      </c>
      <c r="J2902" s="1">
        <v>0</v>
      </c>
      <c r="K2902" s="2">
        <v>72.0</v>
      </c>
    </row>
    <row r="2903" spans="1:12">
      <c r="A2903" s="3" t="s">
        <v>2194</v>
      </c>
      <c r="B2903" s="3" t="s">
        <v>2526</v>
      </c>
      <c r="C2903" s="3" t="s">
        <v>653</v>
      </c>
      <c r="D2903" s="3"/>
      <c r="E2903" s="2" t="str">
        <f>HYPERLINK("https://old.ukr-mobil.com/displej_samsung_a305_galaxy_a30_2019_gh82-19202a_s_tachskrinom_ramkoj_service_pack_original_black_10001135", "Перейти")</f>
        <v>Перейти</v>
      </c>
      <c r="F2903" s="2">
        <v>10001135</v>
      </c>
      <c r="G2903" s="4" t="s">
        <v>3039</v>
      </c>
      <c r="H2903" s="1">
        <v>0</v>
      </c>
      <c r="I2903" s="1">
        <v>0</v>
      </c>
      <c r="J2903" s="1">
        <v>0</v>
      </c>
      <c r="K2903" s="2">
        <v>66.0</v>
      </c>
    </row>
    <row r="2904" spans="1:12">
      <c r="A2904" s="3" t="s">
        <v>2194</v>
      </c>
      <c r="B2904" s="3" t="s">
        <v>2526</v>
      </c>
      <c r="C2904" s="3" t="s">
        <v>653</v>
      </c>
      <c r="D2904" s="3"/>
      <c r="E2904" s="2" t="str">
        <f>HYPERLINK("https://old.ukr-mobil.com/displej_samsung_a305_galaxy_a30_2019_s_tachskrinom_oled_black_12324", "Перейти")</f>
        <v>Перейти</v>
      </c>
      <c r="F2904" s="2">
        <v>12324</v>
      </c>
      <c r="G2904" s="4" t="s">
        <v>3040</v>
      </c>
      <c r="H2904" s="1">
        <v>0</v>
      </c>
      <c r="I2904" s="1">
        <v>0</v>
      </c>
      <c r="J2904" s="1">
        <v>0</v>
      </c>
      <c r="K2904" s="2">
        <v>28.0</v>
      </c>
    </row>
    <row r="2905" spans="1:12">
      <c r="A2905" s="3" t="s">
        <v>2194</v>
      </c>
      <c r="B2905" s="3" t="s">
        <v>2526</v>
      </c>
      <c r="C2905" s="3" t="s">
        <v>653</v>
      </c>
      <c r="D2905" s="3"/>
      <c r="E2905" s="2" t="str">
        <f>HYPERLINK("https://old.ukr-mobil.com/displej_samsung_a305_galaxy_a30_2019_s_tachskrinom_original_prc_black_11752", "Перейти")</f>
        <v>Перейти</v>
      </c>
      <c r="F2905" s="2">
        <v>11752</v>
      </c>
      <c r="G2905" s="4" t="s">
        <v>3041</v>
      </c>
      <c r="H2905" s="1">
        <v>0</v>
      </c>
      <c r="I2905" s="1">
        <v>0</v>
      </c>
      <c r="J2905" s="1">
        <v>0</v>
      </c>
      <c r="K2905" s="2">
        <v>54.0</v>
      </c>
    </row>
    <row r="2906" spans="1:12">
      <c r="A2906" s="3" t="s">
        <v>2194</v>
      </c>
      <c r="B2906" s="3" t="s">
        <v>2526</v>
      </c>
      <c r="C2906" s="3" t="s">
        <v>653</v>
      </c>
      <c r="D2906" s="3"/>
      <c r="E2906" s="2" t="str">
        <f>HYPERLINK("https://old.ukr-mobil.com/displej_samsung_a305_galaxy_a30_2019_s_tachskrinom_ramkoj_oled_black_10000724", "Перейти")</f>
        <v>Перейти</v>
      </c>
      <c r="F2906" s="2">
        <v>10000724</v>
      </c>
      <c r="G2906" s="4" t="s">
        <v>3042</v>
      </c>
      <c r="H2906" s="1">
        <v>6</v>
      </c>
      <c r="I2906" s="1">
        <v>9</v>
      </c>
      <c r="J2906" s="1">
        <v>5</v>
      </c>
      <c r="K2906" s="2">
        <v>27.0</v>
      </c>
    </row>
    <row r="2907" spans="1:12">
      <c r="A2907" s="3" t="s">
        <v>2194</v>
      </c>
      <c r="B2907" s="3" t="s">
        <v>2526</v>
      </c>
      <c r="C2907" s="3" t="s">
        <v>653</v>
      </c>
      <c r="D2907" s="3"/>
      <c r="E2907" s="2" t="str">
        <f>HYPERLINK("https://old.ukr-mobil.com/displej_samsung_a305_galaxy_a30_a505_galaxy_a50_s_tachskrinom_incell_black_10000567", "Перейти")</f>
        <v>Перейти</v>
      </c>
      <c r="F2907" s="2">
        <v>10000567</v>
      </c>
      <c r="G2907" s="4" t="s">
        <v>3043</v>
      </c>
      <c r="H2907" s="1">
        <v>0</v>
      </c>
      <c r="I2907" s="1">
        <v>0</v>
      </c>
      <c r="J2907" s="1">
        <v>0</v>
      </c>
      <c r="K2907" s="2">
        <v>17.0</v>
      </c>
    </row>
    <row r="2908" spans="1:12">
      <c r="A2908" s="3" t="s">
        <v>2194</v>
      </c>
      <c r="B2908" s="3" t="s">
        <v>2526</v>
      </c>
      <c r="C2908" s="3" t="s">
        <v>653</v>
      </c>
      <c r="D2908" s="3"/>
      <c r="E2908" s="2" t="str">
        <f>HYPERLINK("https://old.ukr-mobil.com/displej_samsung_a307_galaxy_a30s_2019_gh82-21190a_s_tachskrinom_ramkoj_service_pack_original_black_10000520", "Перейти")</f>
        <v>Перейти</v>
      </c>
      <c r="F2908" s="2">
        <v>10000520</v>
      </c>
      <c r="G2908" s="4" t="s">
        <v>3044</v>
      </c>
      <c r="H2908" s="1">
        <v>0</v>
      </c>
      <c r="I2908" s="1">
        <v>2</v>
      </c>
      <c r="J2908" s="1">
        <v>1</v>
      </c>
      <c r="K2908" s="2">
        <v>80.0</v>
      </c>
    </row>
    <row r="2909" spans="1:12">
      <c r="A2909" s="3" t="s">
        <v>2194</v>
      </c>
      <c r="B2909" s="3" t="s">
        <v>2526</v>
      </c>
      <c r="C2909" s="3" t="s">
        <v>653</v>
      </c>
      <c r="D2909" s="3"/>
      <c r="E2909" s="2" t="str">
        <f>HYPERLINK("https://old.ukr-mobil.com/displej_samsung_a307_galaxy_a30s_s_tachskrinom_incell_black_10001149", "Перейти")</f>
        <v>Перейти</v>
      </c>
      <c r="F2909" s="2">
        <v>10001149</v>
      </c>
      <c r="G2909" s="4" t="s">
        <v>3045</v>
      </c>
      <c r="H2909" s="1">
        <v>2</v>
      </c>
      <c r="I2909" s="1">
        <v>0</v>
      </c>
      <c r="J2909" s="1">
        <v>0</v>
      </c>
      <c r="K2909" s="2">
        <v>13.0</v>
      </c>
    </row>
    <row r="2910" spans="1:12">
      <c r="A2910" s="3" t="s">
        <v>2194</v>
      </c>
      <c r="B2910" s="3" t="s">
        <v>2526</v>
      </c>
      <c r="C2910" s="3" t="s">
        <v>653</v>
      </c>
      <c r="D2910" s="3"/>
      <c r="E2910" s="2" t="str">
        <f>HYPERLINK("https://old.ukr-mobil.com/displej_samsung_a307_galaxy_a30s_s_tachskrinom_oled_black_10000707", "Перейти")</f>
        <v>Перейти</v>
      </c>
      <c r="F2910" s="2">
        <v>10000707</v>
      </c>
      <c r="G2910" s="4" t="s">
        <v>3046</v>
      </c>
      <c r="H2910" s="1">
        <v>0</v>
      </c>
      <c r="I2910" s="1">
        <v>0</v>
      </c>
      <c r="J2910" s="1">
        <v>0</v>
      </c>
      <c r="K2910" s="2">
        <v>25.0</v>
      </c>
    </row>
    <row r="2911" spans="1:12">
      <c r="A2911" s="3" t="s">
        <v>2194</v>
      </c>
      <c r="B2911" s="3" t="s">
        <v>2526</v>
      </c>
      <c r="C2911" s="3" t="s">
        <v>653</v>
      </c>
      <c r="D2911" s="3"/>
      <c r="E2911" s="2" t="str">
        <f>HYPERLINK("https://old.ukr-mobil.com/displej_samsung_a307_galaxy_a30s_s_tachskrinom_ramkoj_oled_black_10000972", "Перейти")</f>
        <v>Перейти</v>
      </c>
      <c r="F2911" s="2">
        <v>10000972</v>
      </c>
      <c r="G2911" s="4" t="s">
        <v>3047</v>
      </c>
      <c r="H2911" s="1">
        <v>9</v>
      </c>
      <c r="I2911" s="1">
        <v>5</v>
      </c>
      <c r="J2911" s="1">
        <v>3</v>
      </c>
      <c r="K2911" s="2">
        <v>27.0</v>
      </c>
    </row>
    <row r="2912" spans="1:12">
      <c r="A2912" s="3" t="s">
        <v>2194</v>
      </c>
      <c r="B2912" s="3" t="s">
        <v>2526</v>
      </c>
      <c r="C2912" s="3" t="s">
        <v>653</v>
      </c>
      <c r="D2912" s="3"/>
      <c r="E2912" s="2" t="str">
        <f>HYPERLINK("https://old.ukr-mobil.com/displej_samsung_a315_galaxy_a31_s_tachskrinom_s_ramkoj_oled_black_10001082", "Перейти")</f>
        <v>Перейти</v>
      </c>
      <c r="F2912" s="2">
        <v>10001082</v>
      </c>
      <c r="G2912" s="4" t="s">
        <v>3048</v>
      </c>
      <c r="H2912" s="1">
        <v>0</v>
      </c>
      <c r="I2912" s="1">
        <v>0</v>
      </c>
      <c r="J2912" s="1">
        <v>0</v>
      </c>
      <c r="K2912" s="2">
        <v>27.0</v>
      </c>
    </row>
    <row r="2913" spans="1:12">
      <c r="A2913" s="3" t="s">
        <v>2194</v>
      </c>
      <c r="B2913" s="3" t="s">
        <v>2526</v>
      </c>
      <c r="C2913" s="3" t="s">
        <v>653</v>
      </c>
      <c r="D2913" s="3"/>
      <c r="E2913" s="2" t="str">
        <f>HYPERLINK("https://old.ukr-mobil.com/displej_samsung_a315_galaxy_a31_s_tachskrinom_s_ramkoj_oled_black_10002272", "Перейти")</f>
        <v>Перейти</v>
      </c>
      <c r="F2913" s="2">
        <v>10002272</v>
      </c>
      <c r="G2913" s="4" t="s">
        <v>3049</v>
      </c>
      <c r="H2913" s="1">
        <v>1</v>
      </c>
      <c r="I2913" s="1">
        <v>0</v>
      </c>
      <c r="J2913" s="1">
        <v>0</v>
      </c>
      <c r="K2913" s="2">
        <v>27.0</v>
      </c>
    </row>
    <row r="2914" spans="1:12">
      <c r="A2914" s="3" t="s">
        <v>2194</v>
      </c>
      <c r="B2914" s="3" t="s">
        <v>2526</v>
      </c>
      <c r="C2914" s="3" t="s">
        <v>653</v>
      </c>
      <c r="D2914" s="3"/>
      <c r="E2914" s="2" t="str">
        <f>HYPERLINK("https://old.ukr-mobil.com/displej_samsung_a320_galaxy_a3_2017_super_amoled_s_tachskrinom_pink_7966", "Перейти")</f>
        <v>Перейти</v>
      </c>
      <c r="F2914" s="2">
        <v>7966</v>
      </c>
      <c r="G2914" s="4" t="s">
        <v>3050</v>
      </c>
      <c r="H2914" s="1">
        <v>1</v>
      </c>
      <c r="I2914" s="1">
        <v>0</v>
      </c>
      <c r="J2914" s="1">
        <v>0</v>
      </c>
      <c r="K2914" s="2">
        <v>32.0</v>
      </c>
    </row>
    <row r="2915" spans="1:12">
      <c r="A2915" s="3" t="s">
        <v>2194</v>
      </c>
      <c r="B2915" s="3" t="s">
        <v>2526</v>
      </c>
      <c r="C2915" s="3" t="s">
        <v>653</v>
      </c>
      <c r="D2915" s="3"/>
      <c r="E2915" s="2" t="str">
        <f>HYPERLINK("https://old.ukr-mobil.com/displej_samsung_a325_galaxy_a32_2021_gh82-25566a_s_tachskrinom_ramkoj_service_pack_original_black_10001581", "Перейти")</f>
        <v>Перейти</v>
      </c>
      <c r="F2915" s="2">
        <v>10001581</v>
      </c>
      <c r="G2915" s="4" t="s">
        <v>3051</v>
      </c>
      <c r="H2915" s="1">
        <v>0</v>
      </c>
      <c r="I2915" s="1">
        <v>0</v>
      </c>
      <c r="J2915" s="1">
        <v>0</v>
      </c>
      <c r="K2915" s="2">
        <v>82.0</v>
      </c>
    </row>
    <row r="2916" spans="1:12">
      <c r="A2916" s="3" t="s">
        <v>2194</v>
      </c>
      <c r="B2916" s="3" t="s">
        <v>2526</v>
      </c>
      <c r="C2916" s="3" t="s">
        <v>653</v>
      </c>
      <c r="D2916" s="3"/>
      <c r="E2916" s="2" t="str">
        <f>HYPERLINK("https://old.ukr-mobil.com/displej_samsung_a325_galaxy_a32_s_tachskrinom_incell_black_10002254", "Перейти")</f>
        <v>Перейти</v>
      </c>
      <c r="F2916" s="2">
        <v>10002254</v>
      </c>
      <c r="G2916" s="4" t="s">
        <v>3052</v>
      </c>
      <c r="H2916" s="1">
        <v>8</v>
      </c>
      <c r="I2916" s="1">
        <v>4</v>
      </c>
      <c r="J2916" s="1">
        <v>4</v>
      </c>
      <c r="K2916" s="2">
        <v>17.0</v>
      </c>
    </row>
    <row r="2917" spans="1:12">
      <c r="A2917" s="3" t="s">
        <v>2194</v>
      </c>
      <c r="B2917" s="3" t="s">
        <v>2526</v>
      </c>
      <c r="C2917" s="3" t="s">
        <v>653</v>
      </c>
      <c r="D2917" s="3"/>
      <c r="E2917" s="2" t="str">
        <f>HYPERLINK("https://old.ukr-mobil.com/displej_samsung_a325_galaxy_a32_s_tachskrinom_original_prc_black_10001900", "Перейти")</f>
        <v>Перейти</v>
      </c>
      <c r="F2917" s="2">
        <v>10001900</v>
      </c>
      <c r="G2917" s="4" t="s">
        <v>3053</v>
      </c>
      <c r="H2917" s="1">
        <v>0</v>
      </c>
      <c r="I2917" s="1">
        <v>0</v>
      </c>
      <c r="J2917" s="1">
        <v>0</v>
      </c>
      <c r="K2917" s="2">
        <v>79.0</v>
      </c>
    </row>
    <row r="2918" spans="1:12">
      <c r="A2918" s="3" t="s">
        <v>2194</v>
      </c>
      <c r="B2918" s="3" t="s">
        <v>2526</v>
      </c>
      <c r="C2918" s="3" t="s">
        <v>653</v>
      </c>
      <c r="D2918" s="3"/>
      <c r="E2918" s="2" t="str">
        <f>HYPERLINK("https://old.ukr-mobil.com/displej_samsung_a325_galaxy_a32_s_tachskrinom_ramkoj_oled_black_10002267", "Перейти")</f>
        <v>Перейти</v>
      </c>
      <c r="F2918" s="2">
        <v>10002267</v>
      </c>
      <c r="G2918" s="4" t="s">
        <v>3054</v>
      </c>
      <c r="H2918" s="1">
        <v>0</v>
      </c>
      <c r="I2918" s="1">
        <v>0</v>
      </c>
      <c r="J2918" s="1">
        <v>0</v>
      </c>
      <c r="K2918" s="2">
        <v>29.0</v>
      </c>
    </row>
    <row r="2919" spans="1:12">
      <c r="A2919" s="3" t="s">
        <v>2194</v>
      </c>
      <c r="B2919" s="3" t="s">
        <v>2526</v>
      </c>
      <c r="C2919" s="3" t="s">
        <v>653</v>
      </c>
      <c r="D2919" s="3"/>
      <c r="E2919" s="2" t="str">
        <f>HYPERLINK("https://old.ukr-mobil.com/displej_samsung_a325_galaxy_a32_s_tachskrinom_ramkoj_original_prc_black_10002051", "Перейти")</f>
        <v>Перейти</v>
      </c>
      <c r="F2919" s="2">
        <v>10002051</v>
      </c>
      <c r="G2919" s="4" t="s">
        <v>3055</v>
      </c>
      <c r="H2919" s="1">
        <v>0</v>
      </c>
      <c r="I2919" s="1">
        <v>0</v>
      </c>
      <c r="J2919" s="1">
        <v>0</v>
      </c>
      <c r="K2919" s="2">
        <v>102.0</v>
      </c>
    </row>
    <row r="2920" spans="1:12">
      <c r="A2920" s="3" t="s">
        <v>2194</v>
      </c>
      <c r="B2920" s="3" t="s">
        <v>2526</v>
      </c>
      <c r="C2920" s="3" t="s">
        <v>653</v>
      </c>
      <c r="D2920" s="3"/>
      <c r="E2920" s="2" t="str">
        <f>HYPERLINK("https://old.ukr-mobil.com/displej_samsung_a326_galaxy_a32_5g_sm-a326b_s_tachskrinom_original_prc_black_10003609", "Перейти")</f>
        <v>Перейти</v>
      </c>
      <c r="F2920" s="2">
        <v>10003609</v>
      </c>
      <c r="G2920" s="4" t="s">
        <v>3056</v>
      </c>
      <c r="H2920" s="1">
        <v>1</v>
      </c>
      <c r="I2920" s="1">
        <v>2</v>
      </c>
      <c r="J2920" s="1">
        <v>1</v>
      </c>
      <c r="K2920" s="2">
        <v>12.5</v>
      </c>
    </row>
    <row r="2921" spans="1:12">
      <c r="A2921" s="3" t="s">
        <v>2194</v>
      </c>
      <c r="B2921" s="3" t="s">
        <v>2526</v>
      </c>
      <c r="C2921" s="3" t="s">
        <v>653</v>
      </c>
      <c r="D2921" s="3"/>
      <c r="E2921" s="2" t="str">
        <f>HYPERLINK("https://old.ukr-mobil.com/displej_samsung_a326_galaxy_a32_5g_gh82-25453a_s_tachskrinom_service_pack_original_black_10001922", "Перейти")</f>
        <v>Перейти</v>
      </c>
      <c r="F2921" s="2">
        <v>10001922</v>
      </c>
      <c r="G2921" s="4" t="s">
        <v>3057</v>
      </c>
      <c r="H2921" s="1">
        <v>0</v>
      </c>
      <c r="I2921" s="1">
        <v>2</v>
      </c>
      <c r="J2921" s="1">
        <v>5</v>
      </c>
      <c r="K2921" s="2">
        <v>18.0</v>
      </c>
    </row>
    <row r="2922" spans="1:12">
      <c r="A2922" s="3" t="s">
        <v>2194</v>
      </c>
      <c r="B2922" s="3" t="s">
        <v>2526</v>
      </c>
      <c r="C2922" s="3" t="s">
        <v>653</v>
      </c>
      <c r="D2922" s="3"/>
      <c r="E2922" s="2" t="str">
        <f>HYPERLINK("https://old.ukr-mobil.com/displej_samsung_a336_galaxy_a33_s_tachskrinom_s_ramkoj_oled_black_10003283", "Перейти")</f>
        <v>Перейти</v>
      </c>
      <c r="F2922" s="2">
        <v>10003283</v>
      </c>
      <c r="G2922" s="4" t="s">
        <v>3058</v>
      </c>
      <c r="H2922" s="1">
        <v>9</v>
      </c>
      <c r="I2922" s="1">
        <v>0</v>
      </c>
      <c r="J2922" s="1">
        <v>1</v>
      </c>
      <c r="K2922" s="2">
        <v>36.0</v>
      </c>
    </row>
    <row r="2923" spans="1:12">
      <c r="A2923" s="3" t="s">
        <v>2194</v>
      </c>
      <c r="B2923" s="3" t="s">
        <v>2526</v>
      </c>
      <c r="C2923" s="3" t="s">
        <v>653</v>
      </c>
      <c r="D2923" s="3"/>
      <c r="E2923" s="2" t="str">
        <f>HYPERLINK("https://old.ukr-mobil.com/index.php?route=product&amp;product_id=10004672", "Перейти")</f>
        <v>Перейти</v>
      </c>
      <c r="F2923" s="2">
        <v>10004672</v>
      </c>
      <c r="G2923" s="4" t="s">
        <v>3059</v>
      </c>
      <c r="H2923" s="1">
        <v>0</v>
      </c>
      <c r="I2923" s="1">
        <v>1</v>
      </c>
      <c r="J2923" s="1">
        <v>0</v>
      </c>
      <c r="K2923" s="2">
        <v>80.0</v>
      </c>
    </row>
    <row r="2924" spans="1:12">
      <c r="A2924" s="3" t="s">
        <v>2194</v>
      </c>
      <c r="B2924" s="3" t="s">
        <v>2526</v>
      </c>
      <c r="C2924" s="3" t="s">
        <v>653</v>
      </c>
      <c r="D2924" s="3"/>
      <c r="E2924" s="2" t="str">
        <f>HYPERLINK("https://old.ukr-mobil.com/index.php?route=product&amp;product_id=10006032", "Перейти")</f>
        <v>Перейти</v>
      </c>
      <c r="F2924" s="2">
        <v>10006032</v>
      </c>
      <c r="G2924" s="4" t="s">
        <v>3060</v>
      </c>
      <c r="H2924" s="1">
        <v>7</v>
      </c>
      <c r="I2924" s="1">
        <v>3</v>
      </c>
      <c r="J2924" s="1">
        <v>1</v>
      </c>
      <c r="K2924" s="2">
        <v>82.0</v>
      </c>
    </row>
    <row r="2925" spans="1:12">
      <c r="A2925" s="3" t="s">
        <v>2194</v>
      </c>
      <c r="B2925" s="3" t="s">
        <v>2526</v>
      </c>
      <c r="C2925" s="3" t="s">
        <v>653</v>
      </c>
      <c r="D2925" s="3"/>
      <c r="E2925" s="2" t="str">
        <f>HYPERLINK("https://old.ukr-mobil.com/displej_samsung_a405_galaxy_a40_2019_gh82-19672a_s_tachskrinom_ramkoj_service_pack_original_black_12278", "Перейти")</f>
        <v>Перейти</v>
      </c>
      <c r="F2925" s="2">
        <v>12278</v>
      </c>
      <c r="G2925" s="4" t="s">
        <v>3061</v>
      </c>
      <c r="H2925" s="1">
        <v>0</v>
      </c>
      <c r="I2925" s="1">
        <v>0</v>
      </c>
      <c r="J2925" s="1">
        <v>0</v>
      </c>
      <c r="K2925" s="2">
        <v>88.0</v>
      </c>
    </row>
    <row r="2926" spans="1:12">
      <c r="A2926" s="3" t="s">
        <v>2194</v>
      </c>
      <c r="B2926" s="3" t="s">
        <v>2526</v>
      </c>
      <c r="C2926" s="3" t="s">
        <v>653</v>
      </c>
      <c r="D2926" s="3"/>
      <c r="E2926" s="2" t="str">
        <f>HYPERLINK("https://old.ukr-mobil.com/displej_samsung_a405_galaxy_a40_2019_s_tachskrinom_incell_black_10002076", "Перейти")</f>
        <v>Перейти</v>
      </c>
      <c r="F2926" s="2">
        <v>10002076</v>
      </c>
      <c r="G2926" s="4" t="s">
        <v>3062</v>
      </c>
      <c r="H2926" s="1">
        <v>8</v>
      </c>
      <c r="I2926" s="1">
        <v>8</v>
      </c>
      <c r="J2926" s="1">
        <v>4</v>
      </c>
      <c r="K2926" s="2">
        <v>20.0</v>
      </c>
    </row>
    <row r="2927" spans="1:12">
      <c r="A2927" s="3" t="s">
        <v>2194</v>
      </c>
      <c r="B2927" s="3" t="s">
        <v>2526</v>
      </c>
      <c r="C2927" s="3" t="s">
        <v>653</v>
      </c>
      <c r="D2927" s="3"/>
      <c r="E2927" s="2" t="str">
        <f>HYPERLINK("https://old.ukr-mobil.com/displej_samsung_a405_galaxy_a40_2019_s_tachskrinom_original_prc_black_11801", "Перейти")</f>
        <v>Перейти</v>
      </c>
      <c r="F2927" s="2">
        <v>11801</v>
      </c>
      <c r="G2927" s="4" t="s">
        <v>3063</v>
      </c>
      <c r="H2927" s="1">
        <v>0</v>
      </c>
      <c r="I2927" s="1">
        <v>0</v>
      </c>
      <c r="J2927" s="1">
        <v>0</v>
      </c>
      <c r="K2927" s="2">
        <v>58.0</v>
      </c>
    </row>
    <row r="2928" spans="1:12">
      <c r="A2928" s="3" t="s">
        <v>2194</v>
      </c>
      <c r="B2928" s="3" t="s">
        <v>2526</v>
      </c>
      <c r="C2928" s="3" t="s">
        <v>653</v>
      </c>
      <c r="D2928" s="3"/>
      <c r="E2928" s="2" t="str">
        <f>HYPERLINK("https://old.ukr-mobil.com/displej_samsung_a415_galaxy_a41_gh82-22860a_s_tachskrinom_ramkoj_service_pack_original_black_10001043", "Перейти")</f>
        <v>Перейти</v>
      </c>
      <c r="F2928" s="2">
        <v>10001043</v>
      </c>
      <c r="G2928" s="4" t="s">
        <v>3064</v>
      </c>
      <c r="H2928" s="1">
        <v>0</v>
      </c>
      <c r="I2928" s="1">
        <v>0</v>
      </c>
      <c r="J2928" s="1">
        <v>0</v>
      </c>
      <c r="K2928" s="2">
        <v>75.0</v>
      </c>
    </row>
    <row r="2929" spans="1:12">
      <c r="A2929" s="3" t="s">
        <v>2194</v>
      </c>
      <c r="B2929" s="3" t="s">
        <v>2526</v>
      </c>
      <c r="C2929" s="3" t="s">
        <v>653</v>
      </c>
      <c r="D2929" s="3"/>
      <c r="E2929" s="2" t="str">
        <f>HYPERLINK("https://old.ukr-mobil.com/displej_samsung_a426_galaxy_a42_5g_s_tachskrinom_oled_black_10004310", "Перейти")</f>
        <v>Перейти</v>
      </c>
      <c r="F2929" s="2">
        <v>10004310</v>
      </c>
      <c r="G2929" s="4" t="s">
        <v>3065</v>
      </c>
      <c r="H2929" s="1">
        <v>5</v>
      </c>
      <c r="I2929" s="1">
        <v>2</v>
      </c>
      <c r="J2929" s="1">
        <v>2</v>
      </c>
      <c r="K2929" s="2">
        <v>44.0</v>
      </c>
    </row>
    <row r="2930" spans="1:12">
      <c r="A2930" s="3" t="s">
        <v>2194</v>
      </c>
      <c r="B2930" s="3" t="s">
        <v>2526</v>
      </c>
      <c r="C2930" s="3" t="s">
        <v>653</v>
      </c>
      <c r="D2930" s="3"/>
      <c r="E2930" s="2" t="str">
        <f>HYPERLINK("https://old.ukr-mobil.com/displej_samsung_a426_galaxy_a42_5g_s_tachskrinom_s_ramkoj_oled_black_10004311", "Перейти")</f>
        <v>Перейти</v>
      </c>
      <c r="F2930" s="2">
        <v>10004311</v>
      </c>
      <c r="G2930" s="4" t="s">
        <v>3066</v>
      </c>
      <c r="H2930" s="1">
        <v>3</v>
      </c>
      <c r="I2930" s="1">
        <v>2</v>
      </c>
      <c r="J2930" s="1">
        <v>2</v>
      </c>
      <c r="K2930" s="2">
        <v>43.0</v>
      </c>
    </row>
    <row r="2931" spans="1:12">
      <c r="A2931" s="3" t="s">
        <v>2194</v>
      </c>
      <c r="B2931" s="3" t="s">
        <v>2526</v>
      </c>
      <c r="C2931" s="3" t="s">
        <v>653</v>
      </c>
      <c r="D2931" s="3"/>
      <c r="E2931" s="2" t="str">
        <f>HYPERLINK("https://old.ukr-mobil.com/displej_samsung_a500_galaxy_a5_s_tachskrinom_tft_s_reguliruemoj_podsvetkoj_black_11307", "Перейти")</f>
        <v>Перейти</v>
      </c>
      <c r="F2931" s="2">
        <v>11307</v>
      </c>
      <c r="G2931" s="4" t="s">
        <v>3067</v>
      </c>
      <c r="H2931" s="1">
        <v>0</v>
      </c>
      <c r="I2931" s="1">
        <v>0</v>
      </c>
      <c r="J2931" s="1">
        <v>0</v>
      </c>
      <c r="K2931" s="2">
        <v>9.0</v>
      </c>
    </row>
    <row r="2932" spans="1:12">
      <c r="A2932" s="3" t="s">
        <v>2194</v>
      </c>
      <c r="B2932" s="3" t="s">
        <v>2526</v>
      </c>
      <c r="C2932" s="3" t="s">
        <v>653</v>
      </c>
      <c r="D2932" s="3"/>
      <c r="E2932" s="2" t="str">
        <f>HYPERLINK("https://old.ukr-mobil.com/displej_samsung_a505_galaxy_a50_2019_gh82-19204a_s_tachskrinom_ramkoj_service_pack_original_black_11799", "Перейти")</f>
        <v>Перейти</v>
      </c>
      <c r="F2932" s="2">
        <v>11799</v>
      </c>
      <c r="G2932" s="4" t="s">
        <v>3068</v>
      </c>
      <c r="H2932" s="1">
        <v>0</v>
      </c>
      <c r="I2932" s="1">
        <v>0</v>
      </c>
      <c r="J2932" s="1">
        <v>1</v>
      </c>
      <c r="K2932" s="2">
        <v>80.0</v>
      </c>
    </row>
    <row r="2933" spans="1:12">
      <c r="A2933" s="3" t="s">
        <v>2194</v>
      </c>
      <c r="B2933" s="3" t="s">
        <v>2526</v>
      </c>
      <c r="C2933" s="3" t="s">
        <v>653</v>
      </c>
      <c r="D2933" s="3"/>
      <c r="E2933" s="2" t="str">
        <f>HYPERLINK("https://old.ukr-mobil.com/displej_samsung_a505_galaxy_a50_2019_s_tachskrinom_oled_black_12325", "Перейти")</f>
        <v>Перейти</v>
      </c>
      <c r="F2933" s="2">
        <v>12325</v>
      </c>
      <c r="G2933" s="4" t="s">
        <v>3069</v>
      </c>
      <c r="H2933" s="1">
        <v>0</v>
      </c>
      <c r="I2933" s="1">
        <v>0</v>
      </c>
      <c r="J2933" s="1">
        <v>0</v>
      </c>
      <c r="K2933" s="2">
        <v>28.5</v>
      </c>
    </row>
    <row r="2934" spans="1:12">
      <c r="A2934" s="3" t="s">
        <v>2194</v>
      </c>
      <c r="B2934" s="3" t="s">
        <v>2526</v>
      </c>
      <c r="C2934" s="3" t="s">
        <v>653</v>
      </c>
      <c r="D2934" s="3"/>
      <c r="E2934" s="2" t="str">
        <f>HYPERLINK("https://old.ukr-mobil.com/displej_samsung_a505_galaxy_a50_2019_s_tachskrinom_ramkoj_oled_black_10000723", "Перейти")</f>
        <v>Перейти</v>
      </c>
      <c r="F2934" s="2">
        <v>10000723</v>
      </c>
      <c r="G2934" s="4" t="s">
        <v>3070</v>
      </c>
      <c r="H2934" s="1">
        <v>11</v>
      </c>
      <c r="I2934" s="1">
        <v>0</v>
      </c>
      <c r="J2934" s="1">
        <v>7</v>
      </c>
      <c r="K2934" s="2">
        <v>28.0</v>
      </c>
    </row>
    <row r="2935" spans="1:12">
      <c r="A2935" s="3" t="s">
        <v>2194</v>
      </c>
      <c r="B2935" s="3" t="s">
        <v>2526</v>
      </c>
      <c r="C2935" s="3" t="s">
        <v>653</v>
      </c>
      <c r="D2935" s="3"/>
      <c r="E2935" s="2" t="str">
        <f>HYPERLINK("https://old.ukr-mobil.com/displej_samsung_a510_galaxy_a5_2016_gh97-18250b_s_tachskrinom_service_pack_original_black_9479", "Перейти")</f>
        <v>Перейти</v>
      </c>
      <c r="F2935" s="2">
        <v>9479</v>
      </c>
      <c r="G2935" s="4" t="s">
        <v>3071</v>
      </c>
      <c r="H2935" s="1">
        <v>0</v>
      </c>
      <c r="I2935" s="1">
        <v>0</v>
      </c>
      <c r="J2935" s="1">
        <v>0</v>
      </c>
      <c r="K2935" s="2">
        <v>68.0</v>
      </c>
    </row>
    <row r="2936" spans="1:12">
      <c r="A2936" s="3" t="s">
        <v>2194</v>
      </c>
      <c r="B2936" s="3" t="s">
        <v>2526</v>
      </c>
      <c r="C2936" s="3" t="s">
        <v>653</v>
      </c>
      <c r="D2936" s="3"/>
      <c r="E2936" s="2" t="str">
        <f>HYPERLINK("https://old.ukr-mobil.com/displej_samsung_a510_galaxy_a5_2016_gh97-18250b_s_tachskrinom_service_pack_original_white_10000399", "Перейти")</f>
        <v>Перейти</v>
      </c>
      <c r="F2936" s="2">
        <v>10000399</v>
      </c>
      <c r="G2936" s="4" t="s">
        <v>3072</v>
      </c>
      <c r="H2936" s="1">
        <v>0</v>
      </c>
      <c r="I2936" s="1">
        <v>0</v>
      </c>
      <c r="J2936" s="1">
        <v>0</v>
      </c>
      <c r="K2936" s="2">
        <v>65.0</v>
      </c>
    </row>
    <row r="2937" spans="1:12">
      <c r="A2937" s="3" t="s">
        <v>2194</v>
      </c>
      <c r="B2937" s="3" t="s">
        <v>2526</v>
      </c>
      <c r="C2937" s="3" t="s">
        <v>653</v>
      </c>
      <c r="D2937" s="3"/>
      <c r="E2937" s="2" t="str">
        <f>HYPERLINK("https://old.ukr-mobil.com/displej_samsung_a510_galaxy_a5_2016_s_tachskrinom_oled_black_7826", "Перейти")</f>
        <v>Перейти</v>
      </c>
      <c r="F2937" s="2">
        <v>7826</v>
      </c>
      <c r="G2937" s="4" t="s">
        <v>3073</v>
      </c>
      <c r="H2937" s="1">
        <v>0</v>
      </c>
      <c r="I2937" s="1">
        <v>0</v>
      </c>
      <c r="J2937" s="1">
        <v>0</v>
      </c>
      <c r="K2937" s="2">
        <v>21.0</v>
      </c>
    </row>
    <row r="2938" spans="1:12">
      <c r="A2938" s="3" t="s">
        <v>2194</v>
      </c>
      <c r="B2938" s="3" t="s">
        <v>2526</v>
      </c>
      <c r="C2938" s="3" t="s">
        <v>653</v>
      </c>
      <c r="D2938" s="3"/>
      <c r="E2938" s="2" t="str">
        <f>HYPERLINK("https://old.ukr-mobil.com/displej_samsung_a515_galaxy_a51_gh82-21669a_s_tachskrinom_s_ramkoj_service_pack_original_black_10001045", "Перейти")</f>
        <v>Перейти</v>
      </c>
      <c r="F2938" s="2">
        <v>10001045</v>
      </c>
      <c r="G2938" s="4" t="s">
        <v>3074</v>
      </c>
      <c r="H2938" s="1">
        <v>0</v>
      </c>
      <c r="I2938" s="1">
        <v>0</v>
      </c>
      <c r="J2938" s="1">
        <v>0</v>
      </c>
      <c r="K2938" s="2">
        <v>73.5</v>
      </c>
    </row>
    <row r="2939" spans="1:12">
      <c r="A2939" s="3" t="s">
        <v>2194</v>
      </c>
      <c r="B2939" s="3" t="s">
        <v>2526</v>
      </c>
      <c r="C2939" s="3" t="s">
        <v>653</v>
      </c>
      <c r="D2939" s="3"/>
      <c r="E2939" s="2" t="str">
        <f>HYPERLINK("https://old.ukr-mobil.com/displej_samsung_a515_galaxy_a51_s_tachskrinom_oled_black_10000715", "Перейти")</f>
        <v>Перейти</v>
      </c>
      <c r="F2939" s="2">
        <v>10000715</v>
      </c>
      <c r="G2939" s="4" t="s">
        <v>3075</v>
      </c>
      <c r="H2939" s="1">
        <v>0</v>
      </c>
      <c r="I2939" s="1">
        <v>0</v>
      </c>
      <c r="J2939" s="1">
        <v>0</v>
      </c>
      <c r="K2939" s="2">
        <v>27.0</v>
      </c>
    </row>
    <row r="2940" spans="1:12">
      <c r="A2940" s="3" t="s">
        <v>2194</v>
      </c>
      <c r="B2940" s="3" t="s">
        <v>2526</v>
      </c>
      <c r="C2940" s="3" t="s">
        <v>653</v>
      </c>
      <c r="D2940" s="3"/>
      <c r="E2940" s="2" t="str">
        <f>HYPERLINK("https://old.ukr-mobil.com/displej_samsung_a515_galaxy_a51_m317_galaxy_m31s_s_tachskrinom_oled_black_10002161", "Перейти")</f>
        <v>Перейти</v>
      </c>
      <c r="F2940" s="2">
        <v>10002161</v>
      </c>
      <c r="G2940" s="4" t="s">
        <v>3076</v>
      </c>
      <c r="H2940" s="1">
        <v>0</v>
      </c>
      <c r="I2940" s="1">
        <v>0</v>
      </c>
      <c r="J2940" s="1">
        <v>0</v>
      </c>
      <c r="K2940" s="2">
        <v>39.5</v>
      </c>
    </row>
    <row r="2941" spans="1:12">
      <c r="A2941" s="3" t="s">
        <v>2194</v>
      </c>
      <c r="B2941" s="3" t="s">
        <v>2526</v>
      </c>
      <c r="C2941" s="3" t="s">
        <v>653</v>
      </c>
      <c r="D2941" s="3"/>
      <c r="E2941" s="2" t="str">
        <f>HYPERLINK("https://old.ukr-mobil.com/displej_samsung_a515_galaxy_a51_s_tachskrinom_s_ramkoj_oled_black_10001306", "Перейти")</f>
        <v>Перейти</v>
      </c>
      <c r="F2941" s="2">
        <v>10001306</v>
      </c>
      <c r="G2941" s="4" t="s">
        <v>3077</v>
      </c>
      <c r="H2941" s="1">
        <v>0</v>
      </c>
      <c r="I2941" s="1">
        <v>0</v>
      </c>
      <c r="J2941" s="1">
        <v>0</v>
      </c>
      <c r="K2941" s="2">
        <v>27.0</v>
      </c>
    </row>
    <row r="2942" spans="1:12">
      <c r="A2942" s="3" t="s">
        <v>2194</v>
      </c>
      <c r="B2942" s="3" t="s">
        <v>2526</v>
      </c>
      <c r="C2942" s="3" t="s">
        <v>653</v>
      </c>
      <c r="D2942" s="3"/>
      <c r="E2942" s="2" t="str">
        <f>HYPERLINK("https://old.ukr-mobil.com/displej_samsung_a515_galaxy_a51_m317_galaxy_m31s_s_tachskrinom_s_ramkoj_oled_black_10002162", "Перейти")</f>
        <v>Перейти</v>
      </c>
      <c r="F2942" s="2">
        <v>10002162</v>
      </c>
      <c r="G2942" s="4" t="s">
        <v>3078</v>
      </c>
      <c r="H2942" s="1">
        <v>0</v>
      </c>
      <c r="I2942" s="1">
        <v>0</v>
      </c>
      <c r="J2942" s="1">
        <v>2</v>
      </c>
      <c r="K2942" s="2">
        <v>29.0</v>
      </c>
    </row>
    <row r="2943" spans="1:12">
      <c r="A2943" s="3" t="s">
        <v>2194</v>
      </c>
      <c r="B2943" s="3" t="s">
        <v>2526</v>
      </c>
      <c r="C2943" s="3" t="s">
        <v>653</v>
      </c>
      <c r="D2943" s="3"/>
      <c r="E2943" s="2" t="str">
        <f>HYPERLINK("https://old.ukr-mobil.com/displej_samsung_a520_galaxy_a5_2017_gh97-19733a_s_tachskrinom_original_black_10001", "Перейти")</f>
        <v>Перейти</v>
      </c>
      <c r="F2943" s="2">
        <v>10001</v>
      </c>
      <c r="G2943" s="4" t="s">
        <v>3079</v>
      </c>
      <c r="H2943" s="1">
        <v>0</v>
      </c>
      <c r="I2943" s="1">
        <v>0</v>
      </c>
      <c r="J2943" s="1">
        <v>0</v>
      </c>
      <c r="K2943" s="2">
        <v>97.15</v>
      </c>
    </row>
    <row r="2944" spans="1:12">
      <c r="A2944" s="3" t="s">
        <v>2194</v>
      </c>
      <c r="B2944" s="3" t="s">
        <v>2526</v>
      </c>
      <c r="C2944" s="3" t="s">
        <v>653</v>
      </c>
      <c r="D2944" s="3"/>
      <c r="E2944" s="2" t="str">
        <f>HYPERLINK("https://old.ukr-mobil.com/displej_samsung_a525_galaxy_a52_2021_a526_galaxy_a52_5g_gh82-25230b_s_tachskrinom_service_pack_original_blue_10001941", "Перейти")</f>
        <v>Перейти</v>
      </c>
      <c r="F2944" s="2">
        <v>10001941</v>
      </c>
      <c r="G2944" s="4" t="s">
        <v>3080</v>
      </c>
      <c r="H2944" s="1">
        <v>0</v>
      </c>
      <c r="I2944" s="1">
        <v>0</v>
      </c>
      <c r="J2944" s="1">
        <v>0</v>
      </c>
      <c r="K2944" s="2">
        <v>0.0</v>
      </c>
    </row>
    <row r="2945" spans="1:12">
      <c r="A2945" s="3" t="s">
        <v>2194</v>
      </c>
      <c r="B2945" s="3" t="s">
        <v>2526</v>
      </c>
      <c r="C2945" s="3" t="s">
        <v>653</v>
      </c>
      <c r="D2945" s="3"/>
      <c r="E2945" s="2" t="str">
        <f>HYPERLINK("https://old.ukr-mobil.com/displej_samsung_a525_galaxy_a52_a526_galaxy_a52_5g_s_tachskrinom_incell_black_10002065", "Перейти")</f>
        <v>Перейти</v>
      </c>
      <c r="F2945" s="2">
        <v>10002065</v>
      </c>
      <c r="G2945" s="4" t="s">
        <v>3081</v>
      </c>
      <c r="H2945" s="1">
        <v>1</v>
      </c>
      <c r="I2945" s="1">
        <v>0</v>
      </c>
      <c r="J2945" s="1">
        <v>1</v>
      </c>
      <c r="K2945" s="2">
        <v>23.0</v>
      </c>
    </row>
    <row r="2946" spans="1:12">
      <c r="A2946" s="3" t="s">
        <v>2194</v>
      </c>
      <c r="B2946" s="3" t="s">
        <v>2526</v>
      </c>
      <c r="C2946" s="3" t="s">
        <v>653</v>
      </c>
      <c r="D2946" s="3"/>
      <c r="E2946" s="2" t="str">
        <f>HYPERLINK("https://old.ukr-mobil.com/displej_samsung_a525_galaxy_a52_a526_galaxy_a52_5g_s_tachskrinom_s_ramkoj_oled_black_10002485", "Перейти")</f>
        <v>Перейти</v>
      </c>
      <c r="F2946" s="2">
        <v>10002485</v>
      </c>
      <c r="G2946" s="4" t="s">
        <v>3082</v>
      </c>
      <c r="H2946" s="1">
        <v>8</v>
      </c>
      <c r="I2946" s="1">
        <v>0</v>
      </c>
      <c r="J2946" s="1">
        <v>3</v>
      </c>
      <c r="K2946" s="2">
        <v>35.0</v>
      </c>
    </row>
    <row r="2947" spans="1:12">
      <c r="A2947" s="3" t="s">
        <v>2194</v>
      </c>
      <c r="B2947" s="3" t="s">
        <v>2526</v>
      </c>
      <c r="C2947" s="3" t="s">
        <v>653</v>
      </c>
      <c r="D2947" s="3"/>
      <c r="E2947" s="2" t="str">
        <f>HYPERLINK("https://old.ukr-mobil.com/displej_samsung_a525_galaxy_a52_2021_gh82-25524a_s_tachskrinom_ramkoj_service_pack_original_black_10001580", "Перейти")</f>
        <v>Перейти</v>
      </c>
      <c r="F2947" s="2">
        <v>10001580</v>
      </c>
      <c r="G2947" s="4" t="s">
        <v>3083</v>
      </c>
      <c r="H2947" s="1">
        <v>0</v>
      </c>
      <c r="I2947" s="1">
        <v>0</v>
      </c>
      <c r="J2947" s="1">
        <v>0</v>
      </c>
      <c r="K2947" s="2">
        <v>98.0</v>
      </c>
    </row>
    <row r="2948" spans="1:12">
      <c r="A2948" s="3" t="s">
        <v>2194</v>
      </c>
      <c r="B2948" s="3" t="s">
        <v>2526</v>
      </c>
      <c r="C2948" s="3" t="s">
        <v>653</v>
      </c>
      <c r="D2948" s="3"/>
      <c r="E2948" s="2" t="str">
        <f>HYPERLINK("https://old.ukr-mobil.com/displej_samsung_a525_galaxy_a52_2021_gh82-25524b_s_tachskrinom_ramkoj_service_pack_original_blue_10001903", "Перейти")</f>
        <v>Перейти</v>
      </c>
      <c r="F2948" s="2">
        <v>10001903</v>
      </c>
      <c r="G2948" s="4" t="s">
        <v>3084</v>
      </c>
      <c r="H2948" s="1">
        <v>0</v>
      </c>
      <c r="I2948" s="1">
        <v>0</v>
      </c>
      <c r="J2948" s="1">
        <v>0</v>
      </c>
      <c r="K2948" s="2">
        <v>95.0</v>
      </c>
    </row>
    <row r="2949" spans="1:12">
      <c r="A2949" s="3" t="s">
        <v>2194</v>
      </c>
      <c r="B2949" s="3" t="s">
        <v>2526</v>
      </c>
      <c r="C2949" s="3" t="s">
        <v>653</v>
      </c>
      <c r="D2949" s="3"/>
      <c r="E2949" s="2" t="str">
        <f>HYPERLINK("https://old.ukr-mobil.com/displej_samsung_a525_galaxy_a52_2021_gh82-25524c_s_tachskrinom_ramkoj_service_pack_original_violet_10001942", "Перейти")</f>
        <v>Перейти</v>
      </c>
      <c r="F2949" s="2">
        <v>10001942</v>
      </c>
      <c r="G2949" s="4" t="s">
        <v>3085</v>
      </c>
      <c r="H2949" s="1">
        <v>0</v>
      </c>
      <c r="I2949" s="1">
        <v>0</v>
      </c>
      <c r="J2949" s="1">
        <v>0</v>
      </c>
      <c r="K2949" s="2">
        <v>100.0</v>
      </c>
    </row>
    <row r="2950" spans="1:12">
      <c r="A2950" s="3" t="s">
        <v>2194</v>
      </c>
      <c r="B2950" s="3" t="s">
        <v>2526</v>
      </c>
      <c r="C2950" s="3" t="s">
        <v>653</v>
      </c>
      <c r="D2950" s="3"/>
      <c r="E2950" s="2" t="str">
        <f>HYPERLINK("https://old.ukr-mobil.com/displej_samsung_a525_galaxy_a52_2021_gh82-25524d_s_tachskrinom_ramkoj_service_pack_original_white_10001943", "Перейти")</f>
        <v>Перейти</v>
      </c>
      <c r="F2950" s="2">
        <v>10001943</v>
      </c>
      <c r="G2950" s="4" t="s">
        <v>3086</v>
      </c>
      <c r="H2950" s="1">
        <v>2</v>
      </c>
      <c r="I2950" s="1">
        <v>0</v>
      </c>
      <c r="J2950" s="1">
        <v>0</v>
      </c>
      <c r="K2950" s="2">
        <v>100.0</v>
      </c>
    </row>
    <row r="2951" spans="1:12">
      <c r="A2951" s="3" t="s">
        <v>2194</v>
      </c>
      <c r="B2951" s="3" t="s">
        <v>2526</v>
      </c>
      <c r="C2951" s="3" t="s">
        <v>653</v>
      </c>
      <c r="D2951" s="3"/>
      <c r="E2951" s="2" t="str">
        <f>HYPERLINK("https://old.ukr-mobil.com/displej_samsung_a530_galaxy_a8_2018_gh97-21529a_service_pack_original_s_tachskrinom_black_11188", "Перейти")</f>
        <v>Перейти</v>
      </c>
      <c r="F2951" s="2">
        <v>11188</v>
      </c>
      <c r="G2951" s="4" t="s">
        <v>3087</v>
      </c>
      <c r="H2951" s="1">
        <v>0</v>
      </c>
      <c r="I2951" s="1">
        <v>0</v>
      </c>
      <c r="J2951" s="1">
        <v>0</v>
      </c>
      <c r="K2951" s="2">
        <v>95.0</v>
      </c>
    </row>
    <row r="2952" spans="1:12">
      <c r="A2952" s="3" t="s">
        <v>2194</v>
      </c>
      <c r="B2952" s="3" t="s">
        <v>2526</v>
      </c>
      <c r="C2952" s="3" t="s">
        <v>653</v>
      </c>
      <c r="D2952" s="3"/>
      <c r="E2952" s="2" t="str">
        <f>HYPERLINK("https://old.ukr-mobil.com/displej_samsung_a530_galaxy_a8_2018_s_tachskrinom_oled_black_10001188", "Перейти")</f>
        <v>Перейти</v>
      </c>
      <c r="F2952" s="2">
        <v>10001188</v>
      </c>
      <c r="G2952" s="4" t="s">
        <v>3088</v>
      </c>
      <c r="H2952" s="1">
        <v>7</v>
      </c>
      <c r="I2952" s="1">
        <v>6</v>
      </c>
      <c r="J2952" s="1">
        <v>4</v>
      </c>
      <c r="K2952" s="2">
        <v>37.0</v>
      </c>
    </row>
    <row r="2953" spans="1:12">
      <c r="A2953" s="3" t="s">
        <v>2194</v>
      </c>
      <c r="B2953" s="3" t="s">
        <v>2526</v>
      </c>
      <c r="C2953" s="3" t="s">
        <v>653</v>
      </c>
      <c r="D2953" s="3"/>
      <c r="E2953" s="2" t="str">
        <f>HYPERLINK("https://old.ukr-mobil.com/displej_samsung_a536_galaxy_a53_5g_gh82-28024c_s_tachskrinom_s_ramkoj_service_pack_original_blue_10003099", "Перейти")</f>
        <v>Перейти</v>
      </c>
      <c r="F2953" s="2">
        <v>10003099</v>
      </c>
      <c r="G2953" s="4" t="s">
        <v>3089</v>
      </c>
      <c r="H2953" s="1">
        <v>0</v>
      </c>
      <c r="I2953" s="1">
        <v>0</v>
      </c>
      <c r="J2953" s="1">
        <v>0</v>
      </c>
      <c r="K2953" s="2">
        <v>100.0</v>
      </c>
    </row>
    <row r="2954" spans="1:12">
      <c r="A2954" s="3" t="s">
        <v>2194</v>
      </c>
      <c r="B2954" s="3" t="s">
        <v>2526</v>
      </c>
      <c r="C2954" s="3" t="s">
        <v>653</v>
      </c>
      <c r="D2954" s="3"/>
      <c r="E2954" s="2" t="str">
        <f>HYPERLINK("https://old.ukr-mobil.com/displej_samsung_a536_galaxy_a53_5g_s_tachskrinom_oled_black_10003277", "Перейти")</f>
        <v>Перейти</v>
      </c>
      <c r="F2954" s="2">
        <v>10003277</v>
      </c>
      <c r="G2954" s="4" t="s">
        <v>3090</v>
      </c>
      <c r="H2954" s="1">
        <v>0</v>
      </c>
      <c r="I2954" s="1">
        <v>0</v>
      </c>
      <c r="J2954" s="1">
        <v>0</v>
      </c>
      <c r="K2954" s="2">
        <v>41.0</v>
      </c>
    </row>
    <row r="2955" spans="1:12">
      <c r="A2955" s="3" t="s">
        <v>2194</v>
      </c>
      <c r="B2955" s="3" t="s">
        <v>2526</v>
      </c>
      <c r="C2955" s="3" t="s">
        <v>653</v>
      </c>
      <c r="D2955" s="3"/>
      <c r="E2955" s="2" t="str">
        <f>HYPERLINK("https://old.ukr-mobil.com/displej_samsung_a536_galaxy_a53_5g_s_tachskrinom_s_ramkoj_oled_black_10003278", "Перейти")</f>
        <v>Перейти</v>
      </c>
      <c r="F2955" s="2">
        <v>10003278</v>
      </c>
      <c r="G2955" s="4" t="s">
        <v>3091</v>
      </c>
      <c r="H2955" s="1">
        <v>2</v>
      </c>
      <c r="I2955" s="1">
        <v>0</v>
      </c>
      <c r="J2955" s="1">
        <v>0</v>
      </c>
      <c r="K2955" s="2">
        <v>48.0</v>
      </c>
    </row>
    <row r="2956" spans="1:12">
      <c r="A2956" s="3" t="s">
        <v>2194</v>
      </c>
      <c r="B2956" s="3" t="s">
        <v>2526</v>
      </c>
      <c r="C2956" s="3" t="s">
        <v>653</v>
      </c>
      <c r="D2956" s="3"/>
      <c r="E2956" s="2" t="str">
        <f>HYPERLINK("https://old.ukr-mobil.com/displej_samsung_a536_galaxy_a53_5g_s_tachskrinom_s_ramkoj_oled_blue_10003279", "Перейти")</f>
        <v>Перейти</v>
      </c>
      <c r="F2956" s="2">
        <v>10003279</v>
      </c>
      <c r="G2956" s="4" t="s">
        <v>3092</v>
      </c>
      <c r="H2956" s="1">
        <v>1</v>
      </c>
      <c r="I2956" s="1">
        <v>2</v>
      </c>
      <c r="J2956" s="1">
        <v>1</v>
      </c>
      <c r="K2956" s="2">
        <v>46.0</v>
      </c>
    </row>
    <row r="2957" spans="1:12">
      <c r="A2957" s="3" t="s">
        <v>2194</v>
      </c>
      <c r="B2957" s="3" t="s">
        <v>2526</v>
      </c>
      <c r="C2957" s="3" t="s">
        <v>653</v>
      </c>
      <c r="D2957" s="3"/>
      <c r="E2957" s="2" t="str">
        <f>HYPERLINK("https://old.ukr-mobil.com/displej_samsung_a536_galaxy_a53_5g_s_tachskrinom_s_ramkoj_oled_coral_10003280", "Перейти")</f>
        <v>Перейти</v>
      </c>
      <c r="F2957" s="2">
        <v>10003280</v>
      </c>
      <c r="G2957" s="4" t="s">
        <v>3093</v>
      </c>
      <c r="H2957" s="1">
        <v>2</v>
      </c>
      <c r="I2957" s="1">
        <v>1</v>
      </c>
      <c r="J2957" s="1">
        <v>1</v>
      </c>
      <c r="K2957" s="2">
        <v>50.0</v>
      </c>
    </row>
    <row r="2958" spans="1:12">
      <c r="A2958" s="3" t="s">
        <v>2194</v>
      </c>
      <c r="B2958" s="3" t="s">
        <v>2526</v>
      </c>
      <c r="C2958" s="3" t="s">
        <v>653</v>
      </c>
      <c r="D2958" s="3"/>
      <c r="E2958" s="2" t="str">
        <f>HYPERLINK("https://old.ukr-mobil.com/displej_samsung_a536_galaxy_a53_5g_s_tachskrinom_s_ramkoj_oled_white_10003281", "Перейти")</f>
        <v>Перейти</v>
      </c>
      <c r="F2958" s="2">
        <v>10003281</v>
      </c>
      <c r="G2958" s="4" t="s">
        <v>3094</v>
      </c>
      <c r="H2958" s="1">
        <v>0</v>
      </c>
      <c r="I2958" s="1">
        <v>0</v>
      </c>
      <c r="J2958" s="1">
        <v>0</v>
      </c>
      <c r="K2958" s="2">
        <v>46.65</v>
      </c>
    </row>
    <row r="2959" spans="1:12">
      <c r="A2959" s="3" t="s">
        <v>2194</v>
      </c>
      <c r="B2959" s="3" t="s">
        <v>2526</v>
      </c>
      <c r="C2959" s="3" t="s">
        <v>653</v>
      </c>
      <c r="D2959" s="3"/>
      <c r="E2959" s="2" t="str">
        <f>HYPERLINK("https://old.ukr-mobil.com/index.php?route=product&amp;product_id=10004673", "Перейти")</f>
        <v>Перейти</v>
      </c>
      <c r="F2959" s="2">
        <v>10004673</v>
      </c>
      <c r="G2959" s="4" t="s">
        <v>3095</v>
      </c>
      <c r="H2959" s="1">
        <v>3</v>
      </c>
      <c r="I2959" s="1">
        <v>0</v>
      </c>
      <c r="J2959" s="1">
        <v>1</v>
      </c>
      <c r="K2959" s="2">
        <v>70.0</v>
      </c>
    </row>
    <row r="2960" spans="1:12">
      <c r="A2960" s="3" t="s">
        <v>2194</v>
      </c>
      <c r="B2960" s="3" t="s">
        <v>2526</v>
      </c>
      <c r="C2960" s="3" t="s">
        <v>653</v>
      </c>
      <c r="D2960" s="3"/>
      <c r="E2960" s="2" t="str">
        <f>HYPERLINK("https://old.ukr-mobil.com/displej_samsung_a600_galaxy_a6_2018_gh97-21897a_service_pack_original_s_tachskrinom_black_11271", "Перейти")</f>
        <v>Перейти</v>
      </c>
      <c r="F2960" s="2">
        <v>11271</v>
      </c>
      <c r="G2960" s="4" t="s">
        <v>3096</v>
      </c>
      <c r="H2960" s="1">
        <v>0</v>
      </c>
      <c r="I2960" s="1">
        <v>0</v>
      </c>
      <c r="J2960" s="1">
        <v>0</v>
      </c>
      <c r="K2960" s="2">
        <v>69.0</v>
      </c>
    </row>
    <row r="2961" spans="1:12">
      <c r="A2961" s="3" t="s">
        <v>2194</v>
      </c>
      <c r="B2961" s="3" t="s">
        <v>2526</v>
      </c>
      <c r="C2961" s="3" t="s">
        <v>653</v>
      </c>
      <c r="D2961" s="3"/>
      <c r="E2961" s="2" t="str">
        <f>HYPERLINK("https://old.ukr-mobil.com/displej_samsung_a600_galaxy_a6_super_amoled_s_tachskrinom_black_11199", "Перейти")</f>
        <v>Перейти</v>
      </c>
      <c r="F2961" s="2">
        <v>11199</v>
      </c>
      <c r="G2961" s="4" t="s">
        <v>3097</v>
      </c>
      <c r="H2961" s="1">
        <v>0</v>
      </c>
      <c r="I2961" s="1">
        <v>0</v>
      </c>
      <c r="J2961" s="1">
        <v>0</v>
      </c>
      <c r="K2961" s="2">
        <v>52.42</v>
      </c>
    </row>
    <row r="2962" spans="1:12">
      <c r="A2962" s="3" t="s">
        <v>2194</v>
      </c>
      <c r="B2962" s="3" t="s">
        <v>2526</v>
      </c>
      <c r="C2962" s="3" t="s">
        <v>653</v>
      </c>
      <c r="D2962" s="3"/>
      <c r="E2962" s="2" t="str">
        <f>HYPERLINK("https://old.ukr-mobil.com/displej_samsung_a605_galaxy_a6_plus_2018_s_tachskrinom_incell_black_10000675", "Перейти")</f>
        <v>Перейти</v>
      </c>
      <c r="F2962" s="2">
        <v>10000675</v>
      </c>
      <c r="G2962" s="4" t="s">
        <v>3098</v>
      </c>
      <c r="H2962" s="1">
        <v>0</v>
      </c>
      <c r="I2962" s="1">
        <v>0</v>
      </c>
      <c r="J2962" s="1">
        <v>0</v>
      </c>
      <c r="K2962" s="2">
        <v>15.0</v>
      </c>
    </row>
    <row r="2963" spans="1:12">
      <c r="A2963" s="3" t="s">
        <v>2194</v>
      </c>
      <c r="B2963" s="3" t="s">
        <v>2526</v>
      </c>
      <c r="C2963" s="3" t="s">
        <v>653</v>
      </c>
      <c r="D2963" s="3"/>
      <c r="E2963" s="2" t="str">
        <f>HYPERLINK("https://old.ukr-mobil.com/displej_samsung_a605_galaxy_a6_plus_2018_s_tachskrinom_oled_black_11200", "Перейти")</f>
        <v>Перейти</v>
      </c>
      <c r="F2963" s="2">
        <v>11200</v>
      </c>
      <c r="G2963" s="4" t="s">
        <v>3099</v>
      </c>
      <c r="H2963" s="1">
        <v>0</v>
      </c>
      <c r="I2963" s="1">
        <v>0</v>
      </c>
      <c r="J2963" s="1">
        <v>0</v>
      </c>
      <c r="K2963" s="2">
        <v>35.0</v>
      </c>
    </row>
    <row r="2964" spans="1:12">
      <c r="A2964" s="3" t="s">
        <v>2194</v>
      </c>
      <c r="B2964" s="3" t="s">
        <v>2526</v>
      </c>
      <c r="C2964" s="3" t="s">
        <v>653</v>
      </c>
      <c r="D2964" s="3"/>
      <c r="E2964" s="2" t="str">
        <f>HYPERLINK("https://old.ukr-mobil.com/displej_samsung_a605_galaxy_a6_plus_gh97-21878a_service_pack_original_s_tachskrinom_black_10000333", "Перейти")</f>
        <v>Перейти</v>
      </c>
      <c r="F2964" s="2">
        <v>10000333</v>
      </c>
      <c r="G2964" s="4" t="s">
        <v>3100</v>
      </c>
      <c r="H2964" s="1">
        <v>0</v>
      </c>
      <c r="I2964" s="1">
        <v>0</v>
      </c>
      <c r="J2964" s="1">
        <v>0</v>
      </c>
      <c r="K2964" s="2">
        <v>88.0</v>
      </c>
    </row>
    <row r="2965" spans="1:12">
      <c r="A2965" s="3" t="s">
        <v>2194</v>
      </c>
      <c r="B2965" s="3" t="s">
        <v>2526</v>
      </c>
      <c r="C2965" s="3" t="s">
        <v>653</v>
      </c>
      <c r="D2965" s="3"/>
      <c r="E2965" s="2" t="str">
        <f>HYPERLINK("https://old.ukr-mobil.com/displej_samsung_a606_galaxy_a60_2019_m405_galaxy_m40_2019_gh82-20072a_s_tachskrinom_service_pack_original_black_10001193", "Перейти")</f>
        <v>Перейти</v>
      </c>
      <c r="F2965" s="2">
        <v>10001193</v>
      </c>
      <c r="G2965" s="4" t="s">
        <v>3101</v>
      </c>
      <c r="H2965" s="1">
        <v>0</v>
      </c>
      <c r="I2965" s="1">
        <v>0</v>
      </c>
      <c r="J2965" s="1">
        <v>0</v>
      </c>
      <c r="K2965" s="2">
        <v>56.0</v>
      </c>
    </row>
    <row r="2966" spans="1:12">
      <c r="A2966" s="3" t="s">
        <v>2194</v>
      </c>
      <c r="B2966" s="3" t="s">
        <v>2526</v>
      </c>
      <c r="C2966" s="3" t="s">
        <v>653</v>
      </c>
      <c r="D2966" s="3"/>
      <c r="E2966" s="2" t="str">
        <f>HYPERLINK("https://old.ukr-mobil.com/displej_samsung_a606_galaxy_a60_2019_m405_galaxy_m40_2019_s_tachskrinom_original_prc_black_10001270", "Перейти")</f>
        <v>Перейти</v>
      </c>
      <c r="F2966" s="2">
        <v>10001270</v>
      </c>
      <c r="G2966" s="4" t="s">
        <v>3102</v>
      </c>
      <c r="H2966" s="1">
        <v>0</v>
      </c>
      <c r="I2966" s="1">
        <v>0</v>
      </c>
      <c r="J2966" s="1">
        <v>0</v>
      </c>
      <c r="K2966" s="2">
        <v>28.0</v>
      </c>
    </row>
    <row r="2967" spans="1:12">
      <c r="A2967" s="3" t="s">
        <v>2194</v>
      </c>
      <c r="B2967" s="3" t="s">
        <v>2526</v>
      </c>
      <c r="C2967" s="3" t="s">
        <v>653</v>
      </c>
      <c r="D2967" s="3"/>
      <c r="E2967" s="2" t="str">
        <f>HYPERLINK("https://old.ukr-mobil.com/displej_samsung_a705_galaxy_a70_2019_gh82-19787a_s_tachskrinom_s_ramkoj_service_pack_original_black_10000519", "Перейти")</f>
        <v>Перейти</v>
      </c>
      <c r="F2967" s="2">
        <v>10000519</v>
      </c>
      <c r="G2967" s="4" t="s">
        <v>3103</v>
      </c>
      <c r="H2967" s="1">
        <v>0</v>
      </c>
      <c r="I2967" s="1">
        <v>0</v>
      </c>
      <c r="J2967" s="1">
        <v>0</v>
      </c>
      <c r="K2967" s="2">
        <v>100.0</v>
      </c>
    </row>
    <row r="2968" spans="1:12">
      <c r="A2968" s="3" t="s">
        <v>2194</v>
      </c>
      <c r="B2968" s="3" t="s">
        <v>2526</v>
      </c>
      <c r="C2968" s="3" t="s">
        <v>653</v>
      </c>
      <c r="D2968" s="3"/>
      <c r="E2968" s="2" t="str">
        <f>HYPERLINK("https://old.ukr-mobil.com/displej_samsung_a705_galaxy_a70_2019_s_tachskrinom_incell_black_10001021", "Перейти")</f>
        <v>Перейти</v>
      </c>
      <c r="F2968" s="2">
        <v>10001021</v>
      </c>
      <c r="G2968" s="4" t="s">
        <v>3104</v>
      </c>
      <c r="H2968" s="1">
        <v>2</v>
      </c>
      <c r="I2968" s="1">
        <v>1</v>
      </c>
      <c r="J2968" s="1">
        <v>4</v>
      </c>
      <c r="K2968" s="2">
        <v>16.0</v>
      </c>
    </row>
    <row r="2969" spans="1:12">
      <c r="A2969" s="3" t="s">
        <v>2194</v>
      </c>
      <c r="B2969" s="3" t="s">
        <v>2526</v>
      </c>
      <c r="C2969" s="3" t="s">
        <v>653</v>
      </c>
      <c r="D2969" s="3"/>
      <c r="E2969" s="2" t="str">
        <f>HYPERLINK("https://old.ukr-mobil.com/displej_samsung_a705_galaxy_a70_2019_s_tachskrinom_oled_black_10002032", "Перейти")</f>
        <v>Перейти</v>
      </c>
      <c r="F2969" s="2">
        <v>10002032</v>
      </c>
      <c r="G2969" s="4" t="s">
        <v>3105</v>
      </c>
      <c r="H2969" s="1">
        <v>0</v>
      </c>
      <c r="I2969" s="1">
        <v>0</v>
      </c>
      <c r="J2969" s="1">
        <v>0</v>
      </c>
      <c r="K2969" s="2">
        <v>28.0</v>
      </c>
    </row>
    <row r="2970" spans="1:12">
      <c r="A2970" s="3" t="s">
        <v>2194</v>
      </c>
      <c r="B2970" s="3" t="s">
        <v>2526</v>
      </c>
      <c r="C2970" s="3" t="s">
        <v>653</v>
      </c>
      <c r="D2970" s="3"/>
      <c r="E2970" s="2" t="str">
        <f>HYPERLINK("https://old.ukr-mobil.com/displej_samsung_a715_galaxy_a71_gh82-22152a_s_tachskrinom_ramkoj_service_pack_original_black_10001042", "Перейти")</f>
        <v>Перейти</v>
      </c>
      <c r="F2970" s="2">
        <v>10001042</v>
      </c>
      <c r="G2970" s="4" t="s">
        <v>3106</v>
      </c>
      <c r="H2970" s="1">
        <v>0</v>
      </c>
      <c r="I2970" s="1">
        <v>0</v>
      </c>
      <c r="J2970" s="1">
        <v>0</v>
      </c>
      <c r="K2970" s="2">
        <v>95.0</v>
      </c>
    </row>
    <row r="2971" spans="1:12">
      <c r="A2971" s="3" t="s">
        <v>2194</v>
      </c>
      <c r="B2971" s="3" t="s">
        <v>2526</v>
      </c>
      <c r="C2971" s="3" t="s">
        <v>653</v>
      </c>
      <c r="D2971" s="3"/>
      <c r="E2971" s="2" t="str">
        <f>HYPERLINK("https://old.ukr-mobil.com/displej_samsung_a715_galaxy_a71_s_tachskrinom_oled_black_10000716", "Перейти")</f>
        <v>Перейти</v>
      </c>
      <c r="F2971" s="2">
        <v>10000716</v>
      </c>
      <c r="G2971" s="4" t="s">
        <v>3107</v>
      </c>
      <c r="H2971" s="1">
        <v>1</v>
      </c>
      <c r="I2971" s="1">
        <v>1</v>
      </c>
      <c r="J2971" s="1">
        <v>0</v>
      </c>
      <c r="K2971" s="2">
        <v>28.0</v>
      </c>
    </row>
    <row r="2972" spans="1:12">
      <c r="A2972" s="3" t="s">
        <v>2194</v>
      </c>
      <c r="B2972" s="3" t="s">
        <v>2526</v>
      </c>
      <c r="C2972" s="3" t="s">
        <v>653</v>
      </c>
      <c r="D2972" s="3"/>
      <c r="E2972" s="2" t="str">
        <f>HYPERLINK("https://old.ukr-mobil.com/displej_samsung_a715_galaxy_a71_s_tachskrinom_ramkoj_oled_black_10003572", "Перейти")</f>
        <v>Перейти</v>
      </c>
      <c r="F2972" s="2">
        <v>10003572</v>
      </c>
      <c r="G2972" s="4" t="s">
        <v>3108</v>
      </c>
      <c r="H2972" s="1">
        <v>3</v>
      </c>
      <c r="I2972" s="1">
        <v>3</v>
      </c>
      <c r="J2972" s="1">
        <v>2</v>
      </c>
      <c r="K2972" s="2">
        <v>35.0</v>
      </c>
    </row>
    <row r="2973" spans="1:12">
      <c r="A2973" s="3" t="s">
        <v>2194</v>
      </c>
      <c r="B2973" s="3" t="s">
        <v>2526</v>
      </c>
      <c r="C2973" s="3" t="s">
        <v>653</v>
      </c>
      <c r="D2973" s="3"/>
      <c r="E2973" s="2" t="str">
        <f>HYPERLINK("https://old.ukr-mobil.com/displej_samsung_a720_galaxy_a7_2017_gh97-19723a_s_tachskrinom_original_black_11171", "Перейти")</f>
        <v>Перейти</v>
      </c>
      <c r="F2973" s="2">
        <v>11171</v>
      </c>
      <c r="G2973" s="4" t="s">
        <v>3109</v>
      </c>
      <c r="H2973" s="1">
        <v>0</v>
      </c>
      <c r="I2973" s="1">
        <v>0</v>
      </c>
      <c r="J2973" s="1">
        <v>0</v>
      </c>
      <c r="K2973" s="2">
        <v>101.2</v>
      </c>
    </row>
    <row r="2974" spans="1:12">
      <c r="A2974" s="3" t="s">
        <v>2194</v>
      </c>
      <c r="B2974" s="3" t="s">
        <v>2526</v>
      </c>
      <c r="C2974" s="3" t="s">
        <v>653</v>
      </c>
      <c r="D2974" s="3"/>
      <c r="E2974" s="2" t="str">
        <f>HYPERLINK("https://old.ukr-mobil.com/displej_samsung_a720_galaxy_a7_2017_gh97-19723b_s_tachskrinom_original_gold_11939", "Перейти")</f>
        <v>Перейти</v>
      </c>
      <c r="F2974" s="2">
        <v>11939</v>
      </c>
      <c r="G2974" s="4" t="s">
        <v>3110</v>
      </c>
      <c r="H2974" s="1">
        <v>0</v>
      </c>
      <c r="I2974" s="1">
        <v>0</v>
      </c>
      <c r="J2974" s="1">
        <v>0</v>
      </c>
      <c r="K2974" s="2">
        <v>88.0</v>
      </c>
    </row>
    <row r="2975" spans="1:12">
      <c r="A2975" s="3" t="s">
        <v>2194</v>
      </c>
      <c r="B2975" s="3" t="s">
        <v>2526</v>
      </c>
      <c r="C2975" s="3" t="s">
        <v>653</v>
      </c>
      <c r="D2975" s="3"/>
      <c r="E2975" s="2" t="str">
        <f>HYPERLINK("https://old.ukr-mobil.com/displej_samsung_a720_galaxy_a7_2017_s_tachskrinom_oled_blue_10001307", "Перейти")</f>
        <v>Перейти</v>
      </c>
      <c r="F2975" s="2">
        <v>10001307</v>
      </c>
      <c r="G2975" s="4" t="s">
        <v>3111</v>
      </c>
      <c r="H2975" s="1">
        <v>0</v>
      </c>
      <c r="I2975" s="1">
        <v>0</v>
      </c>
      <c r="J2975" s="1">
        <v>1</v>
      </c>
      <c r="K2975" s="2">
        <v>22.0</v>
      </c>
    </row>
    <row r="2976" spans="1:12">
      <c r="A2976" s="3" t="s">
        <v>2194</v>
      </c>
      <c r="B2976" s="3" t="s">
        <v>2526</v>
      </c>
      <c r="C2976" s="3" t="s">
        <v>653</v>
      </c>
      <c r="D2976" s="3"/>
      <c r="E2976" s="2" t="str">
        <f>HYPERLINK("https://old.ukr-mobil.com/displej_samsung_a720_galaxy_a7_2017_s_tachskrinom_oled_gold_7967", "Перейти")</f>
        <v>Перейти</v>
      </c>
      <c r="F2976" s="2">
        <v>7967</v>
      </c>
      <c r="G2976" s="4" t="s">
        <v>3112</v>
      </c>
      <c r="H2976" s="1">
        <v>0</v>
      </c>
      <c r="I2976" s="1">
        <v>0</v>
      </c>
      <c r="J2976" s="1">
        <v>0</v>
      </c>
      <c r="K2976" s="2">
        <v>20.0</v>
      </c>
    </row>
    <row r="2977" spans="1:12">
      <c r="A2977" s="3" t="s">
        <v>2194</v>
      </c>
      <c r="B2977" s="3" t="s">
        <v>2526</v>
      </c>
      <c r="C2977" s="3" t="s">
        <v>653</v>
      </c>
      <c r="D2977" s="3"/>
      <c r="E2977" s="2" t="str">
        <f>HYPERLINK("https://old.ukr-mobil.com/displej_samsung_a725_galaxy_a72_2021_gh82-25460a_s_tachskrinom_ramkoj_service_pack_original_black_10001750", "Перейти")</f>
        <v>Перейти</v>
      </c>
      <c r="F2977" s="2">
        <v>10001750</v>
      </c>
      <c r="G2977" s="4" t="s">
        <v>3113</v>
      </c>
      <c r="H2977" s="1">
        <v>1</v>
      </c>
      <c r="I2977" s="1">
        <v>1</v>
      </c>
      <c r="J2977" s="1">
        <v>0</v>
      </c>
      <c r="K2977" s="2">
        <v>92.6</v>
      </c>
    </row>
    <row r="2978" spans="1:12">
      <c r="A2978" s="3" t="s">
        <v>2194</v>
      </c>
      <c r="B2978" s="3" t="s">
        <v>2526</v>
      </c>
      <c r="C2978" s="3" t="s">
        <v>653</v>
      </c>
      <c r="D2978" s="3"/>
      <c r="E2978" s="2" t="str">
        <f>HYPERLINK("https://old.ukr-mobil.com/displej_samsung_a725_galaxy_a72_2021_gh82-25460d_s_tachskrinom_ramkoj_service_pack_original_white_10001944", "Перейти")</f>
        <v>Перейти</v>
      </c>
      <c r="F2978" s="2">
        <v>10001944</v>
      </c>
      <c r="G2978" s="4" t="s">
        <v>3114</v>
      </c>
      <c r="H2978" s="1">
        <v>0</v>
      </c>
      <c r="I2978" s="1">
        <v>0</v>
      </c>
      <c r="J2978" s="1">
        <v>0</v>
      </c>
      <c r="K2978" s="2">
        <v>109.0</v>
      </c>
    </row>
    <row r="2979" spans="1:12">
      <c r="A2979" s="3" t="s">
        <v>2194</v>
      </c>
      <c r="B2979" s="3" t="s">
        <v>2526</v>
      </c>
      <c r="C2979" s="3" t="s">
        <v>653</v>
      </c>
      <c r="D2979" s="3"/>
      <c r="E2979" s="2" t="str">
        <f>HYPERLINK("https://old.ukr-mobil.com/displej_samsung_a725_galaxy_a72_s_tachskrinom_ramkoj_oled_black_10003605", "Перейти")</f>
        <v>Перейти</v>
      </c>
      <c r="F2979" s="2">
        <v>10003605</v>
      </c>
      <c r="G2979" s="4" t="s">
        <v>3115</v>
      </c>
      <c r="H2979" s="1">
        <v>0</v>
      </c>
      <c r="I2979" s="1">
        <v>0</v>
      </c>
      <c r="J2979" s="1">
        <v>0</v>
      </c>
      <c r="K2979" s="2">
        <v>45.0</v>
      </c>
    </row>
    <row r="2980" spans="1:12">
      <c r="A2980" s="3" t="s">
        <v>2194</v>
      </c>
      <c r="B2980" s="3" t="s">
        <v>2526</v>
      </c>
      <c r="C2980" s="3" t="s">
        <v>653</v>
      </c>
      <c r="D2980" s="3"/>
      <c r="E2980" s="2" t="str">
        <f>HYPERLINK("https://old.ukr-mobil.com/displej_samsung_a730_galaxy_a8_plus_2018_s_tachskrinom_incell_black_10000676", "Перейти")</f>
        <v>Перейти</v>
      </c>
      <c r="F2980" s="2">
        <v>10000676</v>
      </c>
      <c r="G2980" s="4" t="s">
        <v>3116</v>
      </c>
      <c r="H2980" s="1">
        <v>3</v>
      </c>
      <c r="I2980" s="1">
        <v>0</v>
      </c>
      <c r="J2980" s="1">
        <v>2</v>
      </c>
      <c r="K2980" s="2">
        <v>15.0</v>
      </c>
    </row>
    <row r="2981" spans="1:12">
      <c r="A2981" s="3" t="s">
        <v>2194</v>
      </c>
      <c r="B2981" s="3" t="s">
        <v>2526</v>
      </c>
      <c r="C2981" s="3" t="s">
        <v>653</v>
      </c>
      <c r="D2981" s="3"/>
      <c r="E2981" s="2" t="str">
        <f>HYPERLINK("https://old.ukr-mobil.com/displej_samsung_a736_galaxy_a73_5g_gh82-28686a_s_tachskrinom_ramkoj_service_pack_original_gray_10002592", "Перейти")</f>
        <v>Перейти</v>
      </c>
      <c r="F2981" s="2">
        <v>10002592</v>
      </c>
      <c r="G2981" s="4" t="s">
        <v>3117</v>
      </c>
      <c r="H2981" s="1">
        <v>1</v>
      </c>
      <c r="I2981" s="1">
        <v>1</v>
      </c>
      <c r="J2981" s="1">
        <v>0</v>
      </c>
      <c r="K2981" s="2">
        <v>128.0</v>
      </c>
    </row>
    <row r="2982" spans="1:12">
      <c r="A2982" s="3" t="s">
        <v>2194</v>
      </c>
      <c r="B2982" s="3" t="s">
        <v>2526</v>
      </c>
      <c r="C2982" s="3" t="s">
        <v>653</v>
      </c>
      <c r="D2982" s="3"/>
      <c r="E2982" s="2" t="str">
        <f>HYPERLINK("https://old.ukr-mobil.com/displej_samsung_a736_galaxy_a73_5g_gh82-28884a_service_pack_original_10003625", "Перейти")</f>
        <v>Перейти</v>
      </c>
      <c r="F2982" s="2">
        <v>10003625</v>
      </c>
      <c r="G2982" s="4" t="s">
        <v>3118</v>
      </c>
      <c r="H2982" s="1">
        <v>10</v>
      </c>
      <c r="I2982" s="1">
        <v>3</v>
      </c>
      <c r="J2982" s="1">
        <v>1</v>
      </c>
      <c r="K2982" s="2">
        <v>73.0</v>
      </c>
    </row>
    <row r="2983" spans="1:12">
      <c r="A2983" s="3" t="s">
        <v>2194</v>
      </c>
      <c r="B2983" s="3" t="s">
        <v>2526</v>
      </c>
      <c r="C2983" s="3" t="s">
        <v>653</v>
      </c>
      <c r="D2983" s="3"/>
      <c r="E2983" s="2" t="str">
        <f>HYPERLINK("https://old.ukr-mobil.com/displej_samsung_a736_galaxy_a73_5g_s_tachskrinom_ramkoj_oled_black_10003575", "Перейти")</f>
        <v>Перейти</v>
      </c>
      <c r="F2983" s="2">
        <v>10003575</v>
      </c>
      <c r="G2983" s="4" t="s">
        <v>3119</v>
      </c>
      <c r="H2983" s="1">
        <v>1</v>
      </c>
      <c r="I2983" s="1">
        <v>1</v>
      </c>
      <c r="J2983" s="1">
        <v>2</v>
      </c>
      <c r="K2983" s="2">
        <v>49.0</v>
      </c>
    </row>
    <row r="2984" spans="1:12">
      <c r="A2984" s="3" t="s">
        <v>2194</v>
      </c>
      <c r="B2984" s="3" t="s">
        <v>2526</v>
      </c>
      <c r="C2984" s="3" t="s">
        <v>653</v>
      </c>
      <c r="D2984" s="3"/>
      <c r="E2984" s="2" t="str">
        <f>HYPERLINK("https://old.ukr-mobil.com/displej_samsung_a750_galaxy_a7_2018_s_tachskrinom_oled_black_10000714", "Перейти")</f>
        <v>Перейти</v>
      </c>
      <c r="F2984" s="2">
        <v>10000714</v>
      </c>
      <c r="G2984" s="4" t="s">
        <v>3120</v>
      </c>
      <c r="H2984" s="1">
        <v>4</v>
      </c>
      <c r="I2984" s="1">
        <v>3</v>
      </c>
      <c r="J2984" s="1">
        <v>0</v>
      </c>
      <c r="K2984" s="2">
        <v>32.0</v>
      </c>
    </row>
    <row r="2985" spans="1:12">
      <c r="A2985" s="3" t="s">
        <v>2194</v>
      </c>
      <c r="B2985" s="3" t="s">
        <v>2526</v>
      </c>
      <c r="C2985" s="3" t="s">
        <v>653</v>
      </c>
      <c r="D2985" s="3"/>
      <c r="E2985" s="2" t="str">
        <f>HYPERLINK("https://old.ukr-mobil.com/displej_samsung_a800f_galaxy_a8_oled_s_tachskrinom_black_10122", "Перейти")</f>
        <v>Перейти</v>
      </c>
      <c r="F2985" s="2">
        <v>10122</v>
      </c>
      <c r="G2985" s="4" t="s">
        <v>3121</v>
      </c>
      <c r="H2985" s="1">
        <v>1</v>
      </c>
      <c r="I2985" s="1">
        <v>0</v>
      </c>
      <c r="J2985" s="1">
        <v>0</v>
      </c>
      <c r="K2985" s="2">
        <v>24.0</v>
      </c>
    </row>
    <row r="2986" spans="1:12">
      <c r="A2986" s="3" t="s">
        <v>2194</v>
      </c>
      <c r="B2986" s="3" t="s">
        <v>2526</v>
      </c>
      <c r="C2986" s="3" t="s">
        <v>653</v>
      </c>
      <c r="D2986" s="3"/>
      <c r="E2986" s="2" t="str">
        <f>HYPERLINK("https://old.ukr-mobil.com/displej_samsung_a805_galaxy_a80_gh97-20348a_s_tachskrinom_ramkoj_original_black_10000336", "Перейти")</f>
        <v>Перейти</v>
      </c>
      <c r="F2986" s="2">
        <v>10000336</v>
      </c>
      <c r="G2986" s="4" t="s">
        <v>3122</v>
      </c>
      <c r="H2986" s="1">
        <v>0</v>
      </c>
      <c r="I2986" s="1">
        <v>0</v>
      </c>
      <c r="J2986" s="1">
        <v>0</v>
      </c>
      <c r="K2986" s="2">
        <v>91.0</v>
      </c>
    </row>
    <row r="2987" spans="1:12">
      <c r="A2987" s="3" t="s">
        <v>2194</v>
      </c>
      <c r="B2987" s="3" t="s">
        <v>2526</v>
      </c>
      <c r="C2987" s="3" t="s">
        <v>653</v>
      </c>
      <c r="D2987" s="3"/>
      <c r="E2987" s="2" t="str">
        <f>HYPERLINK("https://old.ukr-mobil.com/displej_samsung_a920_galaxy_a9_2018_gh97-18322a_s_tachskrinom_ramkoj_original_black_12234", "Перейти")</f>
        <v>Перейти</v>
      </c>
      <c r="F2987" s="2">
        <v>12234</v>
      </c>
      <c r="G2987" s="4" t="s">
        <v>3123</v>
      </c>
      <c r="H2987" s="1">
        <v>0</v>
      </c>
      <c r="I2987" s="1">
        <v>0</v>
      </c>
      <c r="J2987" s="1">
        <v>0</v>
      </c>
      <c r="K2987" s="2">
        <v>89.0</v>
      </c>
    </row>
    <row r="2988" spans="1:12">
      <c r="A2988" s="3" t="s">
        <v>2194</v>
      </c>
      <c r="B2988" s="3" t="s">
        <v>2526</v>
      </c>
      <c r="C2988" s="3" t="s">
        <v>653</v>
      </c>
      <c r="D2988" s="3"/>
      <c r="E2988" s="2" t="str">
        <f>HYPERLINK("https://old.ukr-mobil.com/displej_samsung_g570_galaxy_j5_prime_service_pack_s_tachskrinom_white_10000429", "Перейти")</f>
        <v>Перейти</v>
      </c>
      <c r="F2988" s="2">
        <v>10000429</v>
      </c>
      <c r="G2988" s="4" t="s">
        <v>3124</v>
      </c>
      <c r="H2988" s="1">
        <v>0</v>
      </c>
      <c r="I2988" s="1">
        <v>1</v>
      </c>
      <c r="J2988" s="1">
        <v>0</v>
      </c>
      <c r="K2988" s="2">
        <v>56.45</v>
      </c>
    </row>
    <row r="2989" spans="1:12">
      <c r="A2989" s="3" t="s">
        <v>2194</v>
      </c>
      <c r="B2989" s="3" t="s">
        <v>2526</v>
      </c>
      <c r="C2989" s="3" t="s">
        <v>653</v>
      </c>
      <c r="D2989" s="3"/>
      <c r="E2989" s="2" t="str">
        <f>HYPERLINK("https://old.ukr-mobil.com/displej_samsung_g570_galaxy_j5_prime_s_tachskrinom_original_prc_black_9303", "Перейти")</f>
        <v>Перейти</v>
      </c>
      <c r="F2989" s="2">
        <v>9303</v>
      </c>
      <c r="G2989" s="4" t="s">
        <v>3125</v>
      </c>
      <c r="H2989" s="1">
        <v>0</v>
      </c>
      <c r="I2989" s="1">
        <v>0</v>
      </c>
      <c r="J2989" s="1">
        <v>0</v>
      </c>
      <c r="K2989" s="2">
        <v>21.0</v>
      </c>
    </row>
    <row r="2990" spans="1:12">
      <c r="A2990" s="3" t="s">
        <v>2194</v>
      </c>
      <c r="B2990" s="3" t="s">
        <v>2526</v>
      </c>
      <c r="C2990" s="3" t="s">
        <v>653</v>
      </c>
      <c r="D2990" s="3"/>
      <c r="E2990" s="2" t="str">
        <f>HYPERLINK("https://old.ukr-mobil.com/displej_samsung_g570_galaxy_j5_prime_s_tachskrinom_original_prc_gold_8216", "Перейти")</f>
        <v>Перейти</v>
      </c>
      <c r="F2990" s="2">
        <v>8216</v>
      </c>
      <c r="G2990" s="4" t="s">
        <v>3126</v>
      </c>
      <c r="H2990" s="1">
        <v>0</v>
      </c>
      <c r="I2990" s="1">
        <v>0</v>
      </c>
      <c r="J2990" s="1">
        <v>0</v>
      </c>
      <c r="K2990" s="2">
        <v>18.0</v>
      </c>
    </row>
    <row r="2991" spans="1:12">
      <c r="A2991" s="3" t="s">
        <v>2194</v>
      </c>
      <c r="B2991" s="3" t="s">
        <v>2526</v>
      </c>
      <c r="C2991" s="3" t="s">
        <v>653</v>
      </c>
      <c r="D2991" s="3"/>
      <c r="E2991" s="2" t="str">
        <f>HYPERLINK("https://old.ukr-mobil.com/displej_samsung_g570_galaxy_j5_prime_s_tachskrinom_original_prc_white_8217", "Перейти")</f>
        <v>Перейти</v>
      </c>
      <c r="F2991" s="2">
        <v>8217</v>
      </c>
      <c r="G2991" s="4" t="s">
        <v>3127</v>
      </c>
      <c r="H2991" s="1">
        <v>2</v>
      </c>
      <c r="I2991" s="1">
        <v>4</v>
      </c>
      <c r="J2991" s="1">
        <v>2</v>
      </c>
      <c r="K2991" s="2">
        <v>14.0</v>
      </c>
    </row>
    <row r="2992" spans="1:12">
      <c r="A2992" s="3" t="s">
        <v>2194</v>
      </c>
      <c r="B2992" s="3" t="s">
        <v>2526</v>
      </c>
      <c r="C2992" s="3" t="s">
        <v>653</v>
      </c>
      <c r="D2992" s="3"/>
      <c r="E2992" s="2" t="str">
        <f>HYPERLINK("https://old.ukr-mobil.com/displej_samsung_g610_galaxy_j7_prime_s_tachskrinom_original_prc_black_8187", "Перейти")</f>
        <v>Перейти</v>
      </c>
      <c r="F2992" s="2">
        <v>8187</v>
      </c>
      <c r="G2992" s="4" t="s">
        <v>3128</v>
      </c>
      <c r="H2992" s="1">
        <v>0</v>
      </c>
      <c r="I2992" s="1">
        <v>0</v>
      </c>
      <c r="J2992" s="1">
        <v>0</v>
      </c>
      <c r="K2992" s="2">
        <v>16.0</v>
      </c>
    </row>
    <row r="2993" spans="1:12">
      <c r="A2993" s="3" t="s">
        <v>2194</v>
      </c>
      <c r="B2993" s="3" t="s">
        <v>2526</v>
      </c>
      <c r="C2993" s="3" t="s">
        <v>653</v>
      </c>
      <c r="D2993" s="3"/>
      <c r="E2993" s="2" t="str">
        <f>HYPERLINK("https://old.ukr-mobil.com/displej_samsung_g610_galaxy_j7_prime_s_tachskrinom_original_prc_gold_8186", "Перейти")</f>
        <v>Перейти</v>
      </c>
      <c r="F2993" s="2">
        <v>8186</v>
      </c>
      <c r="G2993" s="4" t="s">
        <v>3129</v>
      </c>
      <c r="H2993" s="1">
        <v>4</v>
      </c>
      <c r="I2993" s="1">
        <v>0</v>
      </c>
      <c r="J2993" s="1">
        <v>2</v>
      </c>
      <c r="K2993" s="2">
        <v>13.0</v>
      </c>
    </row>
    <row r="2994" spans="1:12">
      <c r="A2994" s="3" t="s">
        <v>2194</v>
      </c>
      <c r="B2994" s="3" t="s">
        <v>2526</v>
      </c>
      <c r="C2994" s="3" t="s">
        <v>653</v>
      </c>
      <c r="D2994" s="3"/>
      <c r="E2994" s="2" t="str">
        <f>HYPERLINK("https://old.ukr-mobil.com/displej_samsung_g610_galaxy_j7_prime_s_tachskrinom_original_prc_white_8185", "Перейти")</f>
        <v>Перейти</v>
      </c>
      <c r="F2994" s="2">
        <v>8185</v>
      </c>
      <c r="G2994" s="4" t="s">
        <v>3130</v>
      </c>
      <c r="H2994" s="1">
        <v>0</v>
      </c>
      <c r="I2994" s="1">
        <v>0</v>
      </c>
      <c r="J2994" s="1">
        <v>0</v>
      </c>
      <c r="K2994" s="2">
        <v>22.18</v>
      </c>
    </row>
    <row r="2995" spans="1:12">
      <c r="A2995" s="3" t="s">
        <v>2194</v>
      </c>
      <c r="B2995" s="3" t="s">
        <v>2526</v>
      </c>
      <c r="C2995" s="3" t="s">
        <v>653</v>
      </c>
      <c r="D2995" s="3"/>
      <c r="E2995" s="2" t="str">
        <f>HYPERLINK("https://old.ukr-mobil.com/displej_samsung_g770_galaxy_s10_lite_s_tachskrinom_ramkoj_original_black_10001273", "Перейти")</f>
        <v>Перейти</v>
      </c>
      <c r="F2995" s="2">
        <v>10001273</v>
      </c>
      <c r="G2995" s="4" t="s">
        <v>3131</v>
      </c>
      <c r="H2995" s="1">
        <v>0</v>
      </c>
      <c r="I2995" s="1">
        <v>0</v>
      </c>
      <c r="J2995" s="1">
        <v>0</v>
      </c>
      <c r="K2995" s="2">
        <v>128.0</v>
      </c>
    </row>
    <row r="2996" spans="1:12">
      <c r="A2996" s="3" t="s">
        <v>2194</v>
      </c>
      <c r="B2996" s="3" t="s">
        <v>2526</v>
      </c>
      <c r="C2996" s="3" t="s">
        <v>653</v>
      </c>
      <c r="D2996" s="3"/>
      <c r="E2996" s="2" t="str">
        <f>HYPERLINK("https://old.ukr-mobil.com/displej_samsung_g780_galaxy_s20_fe_gh82-24219b_s_tachskrinom_s_ramkoj_service_pack_original_white_10001968", "Перейти")</f>
        <v>Перейти</v>
      </c>
      <c r="F2996" s="2">
        <v>10001968</v>
      </c>
      <c r="G2996" s="4" t="s">
        <v>3132</v>
      </c>
      <c r="H2996" s="1">
        <v>1</v>
      </c>
      <c r="I2996" s="1">
        <v>1</v>
      </c>
      <c r="J2996" s="1">
        <v>0</v>
      </c>
      <c r="K2996" s="2">
        <v>114.75</v>
      </c>
    </row>
    <row r="2997" spans="1:12">
      <c r="A2997" s="3" t="s">
        <v>2194</v>
      </c>
      <c r="B2997" s="3" t="s">
        <v>2526</v>
      </c>
      <c r="C2997" s="3" t="s">
        <v>653</v>
      </c>
      <c r="D2997" s="3"/>
      <c r="E2997" s="2" t="str">
        <f>HYPERLINK("https://old.ukr-mobil.com/displej_samsung_g780_galaxy_s20_fe_gh82-24219c_s_tachskrinom_s_ramkoj_service_pack_original_cloud_orange_10003011", "Перейти")</f>
        <v>Перейти</v>
      </c>
      <c r="F2997" s="2">
        <v>10003011</v>
      </c>
      <c r="G2997" s="4" t="s">
        <v>3133</v>
      </c>
      <c r="H2997" s="1">
        <v>1</v>
      </c>
      <c r="I2997" s="1">
        <v>0</v>
      </c>
      <c r="J2997" s="1">
        <v>0</v>
      </c>
      <c r="K2997" s="2">
        <v>114.0</v>
      </c>
    </row>
    <row r="2998" spans="1:12">
      <c r="A2998" s="3" t="s">
        <v>2194</v>
      </c>
      <c r="B2998" s="3" t="s">
        <v>2526</v>
      </c>
      <c r="C2998" s="3" t="s">
        <v>653</v>
      </c>
      <c r="D2998" s="3"/>
      <c r="E2998" s="2" t="str">
        <f>HYPERLINK("https://old.ukr-mobil.com/displej_samsung_g780_galaxy_s20_fe_gh82-24219c_s_tachskrinom_s_ramkoj_service_pack_original_lavanda_10001969", "Перейти")</f>
        <v>Перейти</v>
      </c>
      <c r="F2998" s="2">
        <v>10001969</v>
      </c>
      <c r="G2998" s="4" t="s">
        <v>3134</v>
      </c>
      <c r="H2998" s="1">
        <v>0</v>
      </c>
      <c r="I2998" s="1">
        <v>0</v>
      </c>
      <c r="J2998" s="1">
        <v>0</v>
      </c>
      <c r="K2998" s="2">
        <v>122.0</v>
      </c>
    </row>
    <row r="2999" spans="1:12">
      <c r="A2999" s="3" t="s">
        <v>2194</v>
      </c>
      <c r="B2999" s="3" t="s">
        <v>2526</v>
      </c>
      <c r="C2999" s="3" t="s">
        <v>653</v>
      </c>
      <c r="D2999" s="3"/>
      <c r="E2999" s="2" t="str">
        <f>HYPERLINK("https://old.ukr-mobil.com/displej_samsung_g780_galaxy_s20_fe_gh82-24219d_s_tachskrinom_s_ramkoj_service_pack_original_green_10001967", "Перейти")</f>
        <v>Перейти</v>
      </c>
      <c r="F2999" s="2">
        <v>10001967</v>
      </c>
      <c r="G2999" s="4" t="s">
        <v>3135</v>
      </c>
      <c r="H2999" s="1">
        <v>0</v>
      </c>
      <c r="I2999" s="1">
        <v>0</v>
      </c>
      <c r="J2999" s="1">
        <v>0</v>
      </c>
      <c r="K2999" s="2">
        <v>124.0</v>
      </c>
    </row>
    <row r="3000" spans="1:12">
      <c r="A3000" s="3" t="s">
        <v>2194</v>
      </c>
      <c r="B3000" s="3" t="s">
        <v>2526</v>
      </c>
      <c r="C3000" s="3" t="s">
        <v>653</v>
      </c>
      <c r="D3000" s="3"/>
      <c r="E3000" s="2" t="str">
        <f>HYPERLINK("https://old.ukr-mobil.com/displej_samsung_g780_galaxy_s20_fe_gh82-24219e_s_tachskrinom_s_ramkoj_service_pack_original_red_10002371", "Перейти")</f>
        <v>Перейти</v>
      </c>
      <c r="F3000" s="2">
        <v>10002371</v>
      </c>
      <c r="G3000" s="4" t="s">
        <v>3136</v>
      </c>
      <c r="H3000" s="1">
        <v>2</v>
      </c>
      <c r="I3000" s="1">
        <v>0</v>
      </c>
      <c r="J3000" s="1">
        <v>0</v>
      </c>
      <c r="K3000" s="2">
        <v>120.0</v>
      </c>
    </row>
    <row r="3001" spans="1:12">
      <c r="A3001" s="3" t="s">
        <v>2194</v>
      </c>
      <c r="B3001" s="3" t="s">
        <v>2526</v>
      </c>
      <c r="C3001" s="3" t="s">
        <v>653</v>
      </c>
      <c r="D3001" s="3"/>
      <c r="E3001" s="2" t="str">
        <f>HYPERLINK("https://old.ukr-mobil.com/displej_samsung_g780_galaxy_s20_fe_s_tachskrinom_ramkoj_original_blue_10001271", "Перейти")</f>
        <v>Перейти</v>
      </c>
      <c r="F3001" s="2">
        <v>10001271</v>
      </c>
      <c r="G3001" s="4" t="s">
        <v>3137</v>
      </c>
      <c r="H3001" s="1">
        <v>1</v>
      </c>
      <c r="I3001" s="1">
        <v>0</v>
      </c>
      <c r="J3001" s="1">
        <v>0</v>
      </c>
      <c r="K3001" s="2">
        <v>125.0</v>
      </c>
    </row>
    <row r="3002" spans="1:12">
      <c r="A3002" s="3" t="s">
        <v>2194</v>
      </c>
      <c r="B3002" s="3" t="s">
        <v>2526</v>
      </c>
      <c r="C3002" s="3" t="s">
        <v>653</v>
      </c>
      <c r="D3002" s="3"/>
      <c r="E3002" s="2" t="str">
        <f>HYPERLINK("https://old.ukr-mobil.com/displej_samsung_g900_galaxy_s5_super_amoled_s_tachskrinom_white_4628", "Перейти")</f>
        <v>Перейти</v>
      </c>
      <c r="F3002" s="2">
        <v>4628</v>
      </c>
      <c r="G3002" s="4" t="s">
        <v>3138</v>
      </c>
      <c r="H3002" s="1">
        <v>1</v>
      </c>
      <c r="I3002" s="1">
        <v>0</v>
      </c>
      <c r="J3002" s="1">
        <v>0</v>
      </c>
      <c r="K3002" s="2">
        <v>25.0</v>
      </c>
    </row>
    <row r="3003" spans="1:12">
      <c r="A3003" s="3" t="s">
        <v>2194</v>
      </c>
      <c r="B3003" s="3" t="s">
        <v>2526</v>
      </c>
      <c r="C3003" s="3" t="s">
        <v>653</v>
      </c>
      <c r="D3003" s="3"/>
      <c r="E3003" s="2" t="str">
        <f>HYPERLINK("https://old.ukr-mobil.com/displej_samsung_g920_galaxy_s6_s_tachskrinom_incell_gold_10000613", "Перейти")</f>
        <v>Перейти</v>
      </c>
      <c r="F3003" s="2">
        <v>10000613</v>
      </c>
      <c r="G3003" s="4" t="s">
        <v>3139</v>
      </c>
      <c r="H3003" s="1">
        <v>0</v>
      </c>
      <c r="I3003" s="1">
        <v>0</v>
      </c>
      <c r="J3003" s="1">
        <v>0</v>
      </c>
      <c r="K3003" s="2">
        <v>20.0</v>
      </c>
    </row>
    <row r="3004" spans="1:12">
      <c r="A3004" s="3" t="s">
        <v>2194</v>
      </c>
      <c r="B3004" s="3" t="s">
        <v>2526</v>
      </c>
      <c r="C3004" s="3" t="s">
        <v>653</v>
      </c>
      <c r="D3004" s="3"/>
      <c r="E3004" s="2" t="str">
        <f>HYPERLINK("https://old.ukr-mobil.com/displej_samsung_g925_galaxy_s6_edge_g925f_galaxy_s6_edge_super_amoled_s_tachskrinom_blue_5707", "Перейти")</f>
        <v>Перейти</v>
      </c>
      <c r="F3004" s="2">
        <v>5707</v>
      </c>
      <c r="G3004" s="4" t="s">
        <v>3140</v>
      </c>
      <c r="H3004" s="1">
        <v>0</v>
      </c>
      <c r="I3004" s="1">
        <v>2</v>
      </c>
      <c r="J3004" s="1">
        <v>0</v>
      </c>
      <c r="K3004" s="2">
        <v>92.74</v>
      </c>
    </row>
    <row r="3005" spans="1:12">
      <c r="A3005" s="3" t="s">
        <v>2194</v>
      </c>
      <c r="B3005" s="3" t="s">
        <v>2526</v>
      </c>
      <c r="C3005" s="3" t="s">
        <v>653</v>
      </c>
      <c r="D3005" s="3"/>
      <c r="E3005" s="2" t="str">
        <f>HYPERLINK("https://old.ukr-mobil.com/displej_samsung_g925_galaxy_s6_edge_g925f_galaxy_s6_edge_super_amoled_s_tachskrinom_white_6213", "Перейти")</f>
        <v>Перейти</v>
      </c>
      <c r="F3005" s="2">
        <v>6213</v>
      </c>
      <c r="G3005" s="4" t="s">
        <v>3141</v>
      </c>
      <c r="H3005" s="1">
        <v>2</v>
      </c>
      <c r="I3005" s="1">
        <v>1</v>
      </c>
      <c r="J3005" s="1">
        <v>0</v>
      </c>
      <c r="K3005" s="2">
        <v>50.0</v>
      </c>
    </row>
    <row r="3006" spans="1:12">
      <c r="A3006" s="3" t="s">
        <v>2194</v>
      </c>
      <c r="B3006" s="3" t="s">
        <v>2526</v>
      </c>
      <c r="C3006" s="3" t="s">
        <v>653</v>
      </c>
      <c r="D3006" s="3"/>
      <c r="E3006" s="2" t="str">
        <f>HYPERLINK("https://old.ukr-mobil.com/displej_samsung_g930_galaxy_s7_gh97-18523c_service_pack_original_s_tachskrinom_gold_11269", "Перейти")</f>
        <v>Перейти</v>
      </c>
      <c r="F3006" s="2">
        <v>11269</v>
      </c>
      <c r="G3006" s="4" t="s">
        <v>3142</v>
      </c>
      <c r="H3006" s="1">
        <v>1</v>
      </c>
      <c r="I3006" s="1">
        <v>0</v>
      </c>
      <c r="J3006" s="1">
        <v>0</v>
      </c>
      <c r="K3006" s="2">
        <v>79.0</v>
      </c>
    </row>
    <row r="3007" spans="1:12">
      <c r="A3007" s="3" t="s">
        <v>2194</v>
      </c>
      <c r="B3007" s="3" t="s">
        <v>2526</v>
      </c>
      <c r="C3007" s="3" t="s">
        <v>653</v>
      </c>
      <c r="D3007" s="3"/>
      <c r="E3007" s="2" t="str">
        <f>HYPERLINK("https://old.ukr-mobil.com/displej_samsung_g950_galaxy_s8_gh97-20457a_service_pack_original_s_tachskrinom_s_ramkoj_black_11847", "Перейти")</f>
        <v>Перейти</v>
      </c>
      <c r="F3007" s="2">
        <v>11847</v>
      </c>
      <c r="G3007" s="4" t="s">
        <v>3143</v>
      </c>
      <c r="H3007" s="1">
        <v>0</v>
      </c>
      <c r="I3007" s="1">
        <v>0</v>
      </c>
      <c r="J3007" s="1">
        <v>0</v>
      </c>
      <c r="K3007" s="2">
        <v>185.0</v>
      </c>
    </row>
    <row r="3008" spans="1:12">
      <c r="A3008" s="3" t="s">
        <v>2194</v>
      </c>
      <c r="B3008" s="3" t="s">
        <v>2526</v>
      </c>
      <c r="C3008" s="3" t="s">
        <v>653</v>
      </c>
      <c r="D3008" s="3"/>
      <c r="E3008" s="2" t="str">
        <f>HYPERLINK("https://old.ukr-mobil.com/displej_samsung_g950_galaxy_s8_gh97-20457a_service_pack_original_s_tachskrinom_s_ramkoj_gold_12289", "Перейти")</f>
        <v>Перейти</v>
      </c>
      <c r="F3008" s="2">
        <v>12289</v>
      </c>
      <c r="G3008" s="4" t="s">
        <v>3144</v>
      </c>
      <c r="H3008" s="1">
        <v>0</v>
      </c>
      <c r="I3008" s="1">
        <v>0</v>
      </c>
      <c r="J3008" s="1">
        <v>0</v>
      </c>
      <c r="K3008" s="2">
        <v>190.0</v>
      </c>
    </row>
    <row r="3009" spans="1:12">
      <c r="A3009" s="3" t="s">
        <v>2194</v>
      </c>
      <c r="B3009" s="3" t="s">
        <v>2526</v>
      </c>
      <c r="C3009" s="3" t="s">
        <v>653</v>
      </c>
      <c r="D3009" s="3"/>
      <c r="E3009" s="2" t="str">
        <f>HYPERLINK("https://old.ukr-mobil.com/displej_samsung_g950_galaxy_s8_gh97-20457a_service_pack_original_s_tachskrinom_s_ramkoj_violet_12288", "Перейти")</f>
        <v>Перейти</v>
      </c>
      <c r="F3009" s="2">
        <v>12288</v>
      </c>
      <c r="G3009" s="4" t="s">
        <v>3145</v>
      </c>
      <c r="H3009" s="1">
        <v>0</v>
      </c>
      <c r="I3009" s="1">
        <v>0</v>
      </c>
      <c r="J3009" s="1">
        <v>0</v>
      </c>
      <c r="K3009" s="2">
        <v>185.0</v>
      </c>
    </row>
    <row r="3010" spans="1:12">
      <c r="A3010" s="3" t="s">
        <v>2194</v>
      </c>
      <c r="B3010" s="3" t="s">
        <v>2526</v>
      </c>
      <c r="C3010" s="3" t="s">
        <v>653</v>
      </c>
      <c r="D3010" s="3"/>
      <c r="E3010" s="2" t="str">
        <f>HYPERLINK("https://old.ukr-mobil.com/displej_samsung_g950_galaxy_s8_s_tachskrinom_original_prc_black_8399", "Перейти")</f>
        <v>Перейти</v>
      </c>
      <c r="F3010" s="2">
        <v>8399</v>
      </c>
      <c r="G3010" s="4" t="s">
        <v>3146</v>
      </c>
      <c r="H3010" s="1">
        <v>0</v>
      </c>
      <c r="I3010" s="1">
        <v>0</v>
      </c>
      <c r="J3010" s="1">
        <v>0</v>
      </c>
      <c r="K3010" s="2">
        <v>90.0</v>
      </c>
    </row>
    <row r="3011" spans="1:12">
      <c r="A3011" s="3" t="s">
        <v>2194</v>
      </c>
      <c r="B3011" s="3" t="s">
        <v>2526</v>
      </c>
      <c r="C3011" s="3" t="s">
        <v>653</v>
      </c>
      <c r="D3011" s="3"/>
      <c r="E3011" s="2" t="str">
        <f>HYPERLINK("https://old.ukr-mobil.com/displej_samsung_g950_galaxy_s8_s_tachskrinom_s_ramkoj_original_prc_black_11852", "Перейти")</f>
        <v>Перейти</v>
      </c>
      <c r="F3011" s="2">
        <v>11852</v>
      </c>
      <c r="G3011" s="4" t="s">
        <v>3147</v>
      </c>
      <c r="H3011" s="1">
        <v>0</v>
      </c>
      <c r="I3011" s="1">
        <v>0</v>
      </c>
      <c r="J3011" s="1">
        <v>0</v>
      </c>
      <c r="K3011" s="2">
        <v>114.0</v>
      </c>
    </row>
    <row r="3012" spans="1:12">
      <c r="A3012" s="3" t="s">
        <v>2194</v>
      </c>
      <c r="B3012" s="3" t="s">
        <v>2526</v>
      </c>
      <c r="C3012" s="3" t="s">
        <v>653</v>
      </c>
      <c r="D3012" s="3"/>
      <c r="E3012" s="2" t="str">
        <f>HYPERLINK("https://old.ukr-mobil.com/displej_samsung_g955_galaxy_s8_plus_gh97-20470a_s_tachskrinom_s_ramkoj_original_black_11241", "Перейти")</f>
        <v>Перейти</v>
      </c>
      <c r="F3012" s="2">
        <v>11241</v>
      </c>
      <c r="G3012" s="4" t="s">
        <v>3148</v>
      </c>
      <c r="H3012" s="1">
        <v>0</v>
      </c>
      <c r="I3012" s="1">
        <v>0</v>
      </c>
      <c r="J3012" s="1">
        <v>0</v>
      </c>
      <c r="K3012" s="2">
        <v>200.0</v>
      </c>
    </row>
    <row r="3013" spans="1:12">
      <c r="A3013" s="3" t="s">
        <v>2194</v>
      </c>
      <c r="B3013" s="3" t="s">
        <v>2526</v>
      </c>
      <c r="C3013" s="3" t="s">
        <v>653</v>
      </c>
      <c r="D3013" s="3"/>
      <c r="E3013" s="2" t="str">
        <f>HYPERLINK("https://old.ukr-mobil.com/displej_samsung_g955_galaxy_s8_plus_s_tachskrinom_oled_black_10001644", "Перейти")</f>
        <v>Перейти</v>
      </c>
      <c r="F3013" s="2">
        <v>10001644</v>
      </c>
      <c r="G3013" s="4" t="s">
        <v>3149</v>
      </c>
      <c r="H3013" s="1">
        <v>0</v>
      </c>
      <c r="I3013" s="1">
        <v>0</v>
      </c>
      <c r="J3013" s="1">
        <v>1</v>
      </c>
      <c r="K3013" s="2">
        <v>115.0</v>
      </c>
    </row>
    <row r="3014" spans="1:12">
      <c r="A3014" s="3" t="s">
        <v>2194</v>
      </c>
      <c r="B3014" s="3" t="s">
        <v>2526</v>
      </c>
      <c r="C3014" s="3" t="s">
        <v>653</v>
      </c>
      <c r="D3014" s="3"/>
      <c r="E3014" s="2" t="str">
        <f>HYPERLINK("https://old.ukr-mobil.com/displej_samsung_g955_galaxy_s8_plus_s_tachskrinom_original_prc_black_8400", "Перейти")</f>
        <v>Перейти</v>
      </c>
      <c r="F3014" s="2">
        <v>8400</v>
      </c>
      <c r="G3014" s="4" t="s">
        <v>3150</v>
      </c>
      <c r="H3014" s="1">
        <v>1</v>
      </c>
      <c r="I3014" s="1">
        <v>0</v>
      </c>
      <c r="J3014" s="1">
        <v>2</v>
      </c>
      <c r="K3014" s="2">
        <v>120.0</v>
      </c>
    </row>
    <row r="3015" spans="1:12">
      <c r="A3015" s="3" t="s">
        <v>2194</v>
      </c>
      <c r="B3015" s="3" t="s">
        <v>2526</v>
      </c>
      <c r="C3015" s="3" t="s">
        <v>653</v>
      </c>
      <c r="D3015" s="3"/>
      <c r="E3015" s="2" t="str">
        <f>HYPERLINK("https://old.ukr-mobil.com/displej_samsung_g955_galaxy_s8_plus_s_tachskrinom_s_ramkoj_original_prc_black_11853", "Перейти")</f>
        <v>Перейти</v>
      </c>
      <c r="F3015" s="2">
        <v>11853</v>
      </c>
      <c r="G3015" s="4" t="s">
        <v>3151</v>
      </c>
      <c r="H3015" s="1">
        <v>0</v>
      </c>
      <c r="I3015" s="1">
        <v>0</v>
      </c>
      <c r="J3015" s="1">
        <v>0</v>
      </c>
      <c r="K3015" s="2">
        <v>150.0</v>
      </c>
    </row>
    <row r="3016" spans="1:12">
      <c r="A3016" s="3" t="s">
        <v>2194</v>
      </c>
      <c r="B3016" s="3" t="s">
        <v>2526</v>
      </c>
      <c r="C3016" s="3" t="s">
        <v>653</v>
      </c>
      <c r="D3016" s="3"/>
      <c r="E3016" s="2" t="str">
        <f>HYPERLINK("https://old.ukr-mobil.com/displej_samsung_g960_galaxy_s9_gh97-21696a_s_tachskrinom_s_ramkoj_service_pack_original_black_10002260", "Перейти")</f>
        <v>Перейти</v>
      </c>
      <c r="F3016" s="2">
        <v>10002260</v>
      </c>
      <c r="G3016" s="4" t="s">
        <v>3152</v>
      </c>
      <c r="H3016" s="1">
        <v>0</v>
      </c>
      <c r="I3016" s="1">
        <v>0</v>
      </c>
      <c r="J3016" s="1">
        <v>0</v>
      </c>
      <c r="K3016" s="2">
        <v>110.0</v>
      </c>
    </row>
    <row r="3017" spans="1:12">
      <c r="A3017" s="3" t="s">
        <v>2194</v>
      </c>
      <c r="B3017" s="3" t="s">
        <v>2526</v>
      </c>
      <c r="C3017" s="3" t="s">
        <v>653</v>
      </c>
      <c r="D3017" s="3"/>
      <c r="E3017" s="2" t="str">
        <f>HYPERLINK("https://old.ukr-mobil.com/displej_samsung_g960_galaxy_s9_gh97-21696e_s_tachskrinom_s_ramkoj_service_pack_original_gold_10003620", "Перейти")</f>
        <v>Перейти</v>
      </c>
      <c r="F3017" s="2">
        <v>10003620</v>
      </c>
      <c r="G3017" s="4" t="s">
        <v>3153</v>
      </c>
      <c r="H3017" s="1">
        <v>0</v>
      </c>
      <c r="I3017" s="1">
        <v>0</v>
      </c>
      <c r="J3017" s="1">
        <v>1</v>
      </c>
      <c r="K3017" s="2">
        <v>100.0</v>
      </c>
    </row>
    <row r="3018" spans="1:12">
      <c r="A3018" s="3" t="s">
        <v>2194</v>
      </c>
      <c r="B3018" s="3" t="s">
        <v>2526</v>
      </c>
      <c r="C3018" s="3" t="s">
        <v>653</v>
      </c>
      <c r="D3018" s="3"/>
      <c r="E3018" s="2" t="str">
        <f>HYPERLINK("https://old.ukr-mobil.com/displej_samsung_g960_galaxy_s9_s_tachskrinom_original_prc_black_11304", "Перейти")</f>
        <v>Перейти</v>
      </c>
      <c r="F3018" s="2">
        <v>11304</v>
      </c>
      <c r="G3018" s="4" t="s">
        <v>3154</v>
      </c>
      <c r="H3018" s="1">
        <v>1</v>
      </c>
      <c r="I3018" s="1">
        <v>0</v>
      </c>
      <c r="J3018" s="1">
        <v>0</v>
      </c>
      <c r="K3018" s="2">
        <v>90.0</v>
      </c>
    </row>
    <row r="3019" spans="1:12">
      <c r="A3019" s="3" t="s">
        <v>2194</v>
      </c>
      <c r="B3019" s="3" t="s">
        <v>2526</v>
      </c>
      <c r="C3019" s="3" t="s">
        <v>653</v>
      </c>
      <c r="D3019" s="3"/>
      <c r="E3019" s="2" t="str">
        <f>HYPERLINK("https://old.ukr-mobil.com/displej_samsung_g960_galaxy_s9_s_tachskrinom_ramkoj_original_prc_black_10224", "Перейти")</f>
        <v>Перейти</v>
      </c>
      <c r="F3019" s="2">
        <v>10224</v>
      </c>
      <c r="G3019" s="4" t="s">
        <v>3155</v>
      </c>
      <c r="H3019" s="1">
        <v>0</v>
      </c>
      <c r="I3019" s="1">
        <v>0</v>
      </c>
      <c r="J3019" s="1">
        <v>0</v>
      </c>
      <c r="K3019" s="2">
        <v>98.0</v>
      </c>
    </row>
    <row r="3020" spans="1:12">
      <c r="A3020" s="3" t="s">
        <v>2194</v>
      </c>
      <c r="B3020" s="3" t="s">
        <v>2526</v>
      </c>
      <c r="C3020" s="3" t="s">
        <v>653</v>
      </c>
      <c r="D3020" s="3"/>
      <c r="E3020" s="2" t="str">
        <f>HYPERLINK("https://old.ukr-mobil.com/displej_samsung_g960_galaxy_s9_s_tachskrinom_ramkoj_original_prc_burgundy_red_10000444", "Перейти")</f>
        <v>Перейти</v>
      </c>
      <c r="F3020" s="2">
        <v>10000444</v>
      </c>
      <c r="G3020" s="4" t="s">
        <v>3156</v>
      </c>
      <c r="H3020" s="1">
        <v>0</v>
      </c>
      <c r="I3020" s="1">
        <v>0</v>
      </c>
      <c r="J3020" s="1">
        <v>0</v>
      </c>
      <c r="K3020" s="2">
        <v>98.0</v>
      </c>
    </row>
    <row r="3021" spans="1:12">
      <c r="A3021" s="3" t="s">
        <v>2194</v>
      </c>
      <c r="B3021" s="3" t="s">
        <v>2526</v>
      </c>
      <c r="C3021" s="3" t="s">
        <v>653</v>
      </c>
      <c r="D3021" s="3"/>
      <c r="E3021" s="2" t="str">
        <f>HYPERLINK("https://old.ukr-mobil.com/displej_samsung_g960_galaxy_s9_s_tachskrinom_ramkoj_original_prc_gold_10000445", "Перейти")</f>
        <v>Перейти</v>
      </c>
      <c r="F3021" s="2">
        <v>10000445</v>
      </c>
      <c r="G3021" s="4" t="s">
        <v>3157</v>
      </c>
      <c r="H3021" s="1">
        <v>0</v>
      </c>
      <c r="I3021" s="1">
        <v>0</v>
      </c>
      <c r="J3021" s="1">
        <v>1</v>
      </c>
      <c r="K3021" s="2">
        <v>98.0</v>
      </c>
    </row>
    <row r="3022" spans="1:12">
      <c r="A3022" s="3" t="s">
        <v>2194</v>
      </c>
      <c r="B3022" s="3" t="s">
        <v>2526</v>
      </c>
      <c r="C3022" s="3" t="s">
        <v>653</v>
      </c>
      <c r="D3022" s="3"/>
      <c r="E3022" s="2" t="str">
        <f>HYPERLINK("https://old.ukr-mobil.com/displej_samsung_g960_galaxy_s9_s_tachskrinom_ramkoj_original_prc_lilac_purple_10000443", "Перейти")</f>
        <v>Перейти</v>
      </c>
      <c r="F3022" s="2">
        <v>10000443</v>
      </c>
      <c r="G3022" s="4" t="s">
        <v>3158</v>
      </c>
      <c r="H3022" s="1">
        <v>2</v>
      </c>
      <c r="I3022" s="1">
        <v>1</v>
      </c>
      <c r="J3022" s="1">
        <v>1</v>
      </c>
      <c r="K3022" s="2">
        <v>94.0</v>
      </c>
    </row>
    <row r="3023" spans="1:12">
      <c r="A3023" s="3" t="s">
        <v>2194</v>
      </c>
      <c r="B3023" s="3" t="s">
        <v>2526</v>
      </c>
      <c r="C3023" s="3" t="s">
        <v>653</v>
      </c>
      <c r="D3023" s="3"/>
      <c r="E3023" s="2" t="str">
        <f>HYPERLINK("https://old.ukr-mobil.com/displej_samsung_g960_galaxy_s9_s_tachskrinom_ramkoj_original_prc_titanium_grey_10000442", "Перейти")</f>
        <v>Перейти</v>
      </c>
      <c r="F3023" s="2">
        <v>10000442</v>
      </c>
      <c r="G3023" s="4" t="s">
        <v>3159</v>
      </c>
      <c r="H3023" s="1">
        <v>0</v>
      </c>
      <c r="I3023" s="1">
        <v>0</v>
      </c>
      <c r="J3023" s="1">
        <v>0</v>
      </c>
      <c r="K3023" s="2">
        <v>98.0</v>
      </c>
    </row>
    <row r="3024" spans="1:12">
      <c r="A3024" s="3" t="s">
        <v>2194</v>
      </c>
      <c r="B3024" s="3" t="s">
        <v>2526</v>
      </c>
      <c r="C3024" s="3" t="s">
        <v>653</v>
      </c>
      <c r="D3024" s="3"/>
      <c r="E3024" s="2" t="str">
        <f>HYPERLINK("https://old.ukr-mobil.com/displej_samsung_g965_galaxy_s9_plus_s_tachskrinom_oled_black_10001645", "Перейти")</f>
        <v>Перейти</v>
      </c>
      <c r="F3024" s="2">
        <v>10001645</v>
      </c>
      <c r="G3024" s="4" t="s">
        <v>3160</v>
      </c>
      <c r="H3024" s="1">
        <v>0</v>
      </c>
      <c r="I3024" s="1">
        <v>0</v>
      </c>
      <c r="J3024" s="1">
        <v>0</v>
      </c>
      <c r="K3024" s="2">
        <v>88.0</v>
      </c>
    </row>
    <row r="3025" spans="1:12">
      <c r="A3025" s="3" t="s">
        <v>2194</v>
      </c>
      <c r="B3025" s="3" t="s">
        <v>2526</v>
      </c>
      <c r="C3025" s="3" t="s">
        <v>653</v>
      </c>
      <c r="D3025" s="3"/>
      <c r="E3025" s="2" t="str">
        <f>HYPERLINK("https://old.ukr-mobil.com/displej_samsung_g965_galaxy_s9_plus_s_tachskrinom_original_prc_black_11965", "Перейти")</f>
        <v>Перейти</v>
      </c>
      <c r="F3025" s="2">
        <v>11965</v>
      </c>
      <c r="G3025" s="4" t="s">
        <v>3161</v>
      </c>
      <c r="H3025" s="1">
        <v>0</v>
      </c>
      <c r="I3025" s="1">
        <v>0</v>
      </c>
      <c r="J3025" s="1">
        <v>0</v>
      </c>
      <c r="K3025" s="2">
        <v>135.0</v>
      </c>
    </row>
    <row r="3026" spans="1:12">
      <c r="A3026" s="3" t="s">
        <v>2194</v>
      </c>
      <c r="B3026" s="3" t="s">
        <v>2526</v>
      </c>
      <c r="C3026" s="3" t="s">
        <v>653</v>
      </c>
      <c r="D3026" s="3"/>
      <c r="E3026" s="2" t="str">
        <f>HYPERLINK("https://old.ukr-mobil.com/displej_samsung_g965_galaxy_s9_plus_s_tachskrinom_ramkoj_oled_black_10003576", "Перейти")</f>
        <v>Перейти</v>
      </c>
      <c r="F3026" s="2">
        <v>10003576</v>
      </c>
      <c r="G3026" s="4" t="s">
        <v>3162</v>
      </c>
      <c r="H3026" s="1">
        <v>0</v>
      </c>
      <c r="I3026" s="1">
        <v>0</v>
      </c>
      <c r="J3026" s="1">
        <v>0</v>
      </c>
      <c r="K3026" s="2">
        <v>100.0</v>
      </c>
    </row>
    <row r="3027" spans="1:12">
      <c r="A3027" s="3" t="s">
        <v>2194</v>
      </c>
      <c r="B3027" s="3" t="s">
        <v>2526</v>
      </c>
      <c r="C3027" s="3" t="s">
        <v>653</v>
      </c>
      <c r="D3027" s="3"/>
      <c r="E3027" s="2" t="str">
        <f>HYPERLINK("https://old.ukr-mobil.com/displej_samsung_g965_galaxy_s9_plus_s_tachskrinom_ramkoj_oled_blue_10003577", "Перейти")</f>
        <v>Перейти</v>
      </c>
      <c r="F3027" s="2">
        <v>10003577</v>
      </c>
      <c r="G3027" s="4" t="s">
        <v>3163</v>
      </c>
      <c r="H3027" s="1">
        <v>1</v>
      </c>
      <c r="I3027" s="1">
        <v>2</v>
      </c>
      <c r="J3027" s="1">
        <v>1</v>
      </c>
      <c r="K3027" s="2">
        <v>94.0</v>
      </c>
    </row>
    <row r="3028" spans="1:12">
      <c r="A3028" s="3" t="s">
        <v>2194</v>
      </c>
      <c r="B3028" s="3" t="s">
        <v>2526</v>
      </c>
      <c r="C3028" s="3" t="s">
        <v>653</v>
      </c>
      <c r="D3028" s="3"/>
      <c r="E3028" s="2" t="str">
        <f>HYPERLINK("https://old.ukr-mobil.com/displej_samsung_g965_galaxy_s9_plus_s_tachskrinom_ramkoj_oled_grey_10003578", "Перейти")</f>
        <v>Перейти</v>
      </c>
      <c r="F3028" s="2">
        <v>10003578</v>
      </c>
      <c r="G3028" s="4" t="s">
        <v>3164</v>
      </c>
      <c r="H3028" s="1">
        <v>1</v>
      </c>
      <c r="I3028" s="1">
        <v>1</v>
      </c>
      <c r="J3028" s="1">
        <v>0</v>
      </c>
      <c r="K3028" s="2">
        <v>84.0</v>
      </c>
    </row>
    <row r="3029" spans="1:12">
      <c r="A3029" s="3" t="s">
        <v>2194</v>
      </c>
      <c r="B3029" s="3" t="s">
        <v>2526</v>
      </c>
      <c r="C3029" s="3" t="s">
        <v>653</v>
      </c>
      <c r="D3029" s="3"/>
      <c r="E3029" s="2" t="str">
        <f>HYPERLINK("https://old.ukr-mobil.com/displej_samsung_g965_galaxy_s9_plus_s_tachskrinom_ramkoj_original_prc_black_10223", "Перейти")</f>
        <v>Перейти</v>
      </c>
      <c r="F3029" s="2">
        <v>10223</v>
      </c>
      <c r="G3029" s="4" t="s">
        <v>3165</v>
      </c>
      <c r="H3029" s="1">
        <v>0</v>
      </c>
      <c r="I3029" s="1">
        <v>0</v>
      </c>
      <c r="J3029" s="1">
        <v>0</v>
      </c>
      <c r="K3029" s="2">
        <v>138.0</v>
      </c>
    </row>
    <row r="3030" spans="1:12">
      <c r="A3030" s="3" t="s">
        <v>2194</v>
      </c>
      <c r="B3030" s="3" t="s">
        <v>2526</v>
      </c>
      <c r="C3030" s="3" t="s">
        <v>653</v>
      </c>
      <c r="D3030" s="3"/>
      <c r="E3030" s="2" t="str">
        <f>HYPERLINK("https://old.ukr-mobil.com/displej_samsung_g965_galaxy_s9_plus_s_tachskrinom_ramkoj_original_prc_blue_10002060", "Перейти")</f>
        <v>Перейти</v>
      </c>
      <c r="F3030" s="2">
        <v>10002060</v>
      </c>
      <c r="G3030" s="4" t="s">
        <v>3166</v>
      </c>
      <c r="H3030" s="1">
        <v>0</v>
      </c>
      <c r="I3030" s="1">
        <v>0</v>
      </c>
      <c r="J3030" s="1">
        <v>0</v>
      </c>
      <c r="K3030" s="2">
        <v>140.0</v>
      </c>
    </row>
    <row r="3031" spans="1:12">
      <c r="A3031" s="3" t="s">
        <v>2194</v>
      </c>
      <c r="B3031" s="3" t="s">
        <v>2526</v>
      </c>
      <c r="C3031" s="3" t="s">
        <v>653</v>
      </c>
      <c r="D3031" s="3"/>
      <c r="E3031" s="2" t="str">
        <f>HYPERLINK("https://old.ukr-mobil.com/displej_samsung_g965_galaxy_s9_plus_s_tachskrinom_ramkoj_original_prc_gold_10002062", "Перейти")</f>
        <v>Перейти</v>
      </c>
      <c r="F3031" s="2">
        <v>10002062</v>
      </c>
      <c r="G3031" s="4" t="s">
        <v>3167</v>
      </c>
      <c r="H3031" s="1">
        <v>0</v>
      </c>
      <c r="I3031" s="1">
        <v>1</v>
      </c>
      <c r="J3031" s="1">
        <v>1</v>
      </c>
      <c r="K3031" s="2">
        <v>100.0</v>
      </c>
    </row>
    <row r="3032" spans="1:12">
      <c r="A3032" s="3" t="s">
        <v>2194</v>
      </c>
      <c r="B3032" s="3" t="s">
        <v>2526</v>
      </c>
      <c r="C3032" s="3" t="s">
        <v>653</v>
      </c>
      <c r="D3032" s="3"/>
      <c r="E3032" s="2" t="str">
        <f>HYPERLINK("https://old.ukr-mobil.com/displej_samsung_g965_galaxy_s9_plus_s_tachskrinom_ramkoj_original_prc_grey_10002061", "Перейти")</f>
        <v>Перейти</v>
      </c>
      <c r="F3032" s="2">
        <v>10002061</v>
      </c>
      <c r="G3032" s="4" t="s">
        <v>3168</v>
      </c>
      <c r="H3032" s="1">
        <v>0</v>
      </c>
      <c r="I3032" s="1">
        <v>0</v>
      </c>
      <c r="J3032" s="1">
        <v>0</v>
      </c>
      <c r="K3032" s="2">
        <v>140.0</v>
      </c>
    </row>
    <row r="3033" spans="1:12">
      <c r="A3033" s="3" t="s">
        <v>2194</v>
      </c>
      <c r="B3033" s="3" t="s">
        <v>2526</v>
      </c>
      <c r="C3033" s="3" t="s">
        <v>653</v>
      </c>
      <c r="D3033" s="3"/>
      <c r="E3033" s="2" t="str">
        <f>HYPERLINK("https://old.ukr-mobil.com/displej_samsung_g965_galaxy_s9_plus_s_tachskrinom_ramkoj_original_prc_purple_10002063", "Перейти")</f>
        <v>Перейти</v>
      </c>
      <c r="F3033" s="2">
        <v>10002063</v>
      </c>
      <c r="G3033" s="4" t="s">
        <v>3169</v>
      </c>
      <c r="H3033" s="1">
        <v>0</v>
      </c>
      <c r="I3033" s="1">
        <v>0</v>
      </c>
      <c r="J3033" s="1">
        <v>0</v>
      </c>
      <c r="K3033" s="2">
        <v>128.0</v>
      </c>
    </row>
    <row r="3034" spans="1:12">
      <c r="A3034" s="3" t="s">
        <v>2194</v>
      </c>
      <c r="B3034" s="3" t="s">
        <v>2526</v>
      </c>
      <c r="C3034" s="3" t="s">
        <v>653</v>
      </c>
      <c r="D3034" s="3"/>
      <c r="E3034" s="2" t="str">
        <f>HYPERLINK("https://old.ukr-mobil.com/displej_samsung_g970_galaxy_s10e_super_amoled_s_tachskrinom_s_ramkoj_black_11803", "Перейти")</f>
        <v>Перейти</v>
      </c>
      <c r="F3034" s="2">
        <v>11803</v>
      </c>
      <c r="G3034" s="4" t="s">
        <v>3170</v>
      </c>
      <c r="H3034" s="1">
        <v>0</v>
      </c>
      <c r="I3034" s="1">
        <v>0</v>
      </c>
      <c r="J3034" s="1">
        <v>0</v>
      </c>
      <c r="K3034" s="2">
        <v>90.0</v>
      </c>
    </row>
    <row r="3035" spans="1:12">
      <c r="A3035" s="3" t="s">
        <v>2194</v>
      </c>
      <c r="B3035" s="3" t="s">
        <v>2526</v>
      </c>
      <c r="C3035" s="3" t="s">
        <v>653</v>
      </c>
      <c r="D3035" s="3"/>
      <c r="E3035" s="2" t="str">
        <f>HYPERLINK("https://old.ukr-mobil.com/displej_samsung_g970_galaxy_s10e_s_tachskrinom_s_ramkoj_original_prc_blue_10002435", "Перейти")</f>
        <v>Перейти</v>
      </c>
      <c r="F3035" s="2">
        <v>10002435</v>
      </c>
      <c r="G3035" s="4" t="s">
        <v>3171</v>
      </c>
      <c r="H3035" s="1">
        <v>0</v>
      </c>
      <c r="I3035" s="1">
        <v>0</v>
      </c>
      <c r="J3035" s="1">
        <v>0</v>
      </c>
      <c r="K3035" s="2">
        <v>85.0</v>
      </c>
    </row>
    <row r="3036" spans="1:12">
      <c r="A3036" s="3" t="s">
        <v>2194</v>
      </c>
      <c r="B3036" s="3" t="s">
        <v>2526</v>
      </c>
      <c r="C3036" s="3" t="s">
        <v>653</v>
      </c>
      <c r="D3036" s="3"/>
      <c r="E3036" s="2" t="str">
        <f>HYPERLINK("https://old.ukr-mobil.com/displej_samsung_g970_galaxy_s10e_s_tachskrinom_s_ramkoj_original_prc_grey_10002064", "Перейти")</f>
        <v>Перейти</v>
      </c>
      <c r="F3036" s="2">
        <v>10002064</v>
      </c>
      <c r="G3036" s="4" t="s">
        <v>3172</v>
      </c>
      <c r="H3036" s="1">
        <v>0</v>
      </c>
      <c r="I3036" s="1">
        <v>0</v>
      </c>
      <c r="J3036" s="1">
        <v>0</v>
      </c>
      <c r="K3036" s="2">
        <v>138.0</v>
      </c>
    </row>
    <row r="3037" spans="1:12">
      <c r="A3037" s="3" t="s">
        <v>2194</v>
      </c>
      <c r="B3037" s="3" t="s">
        <v>2526</v>
      </c>
      <c r="C3037" s="3" t="s">
        <v>653</v>
      </c>
      <c r="D3037" s="3"/>
      <c r="E3037" s="2" t="str">
        <f>HYPERLINK("https://old.ukr-mobil.com/displej_samsung_g973_galaxy_s10_gh82-18850a_s_tachskrinom_s_ramkoj_service_pack_original_black_10002265", "Перейти")</f>
        <v>Перейти</v>
      </c>
      <c r="F3037" s="2">
        <v>10002265</v>
      </c>
      <c r="G3037" s="4" t="s">
        <v>3173</v>
      </c>
      <c r="H3037" s="1">
        <v>0</v>
      </c>
      <c r="I3037" s="1">
        <v>0</v>
      </c>
      <c r="J3037" s="1">
        <v>0</v>
      </c>
      <c r="K3037" s="2">
        <v>184.0</v>
      </c>
    </row>
    <row r="3038" spans="1:12">
      <c r="A3038" s="3" t="s">
        <v>2194</v>
      </c>
      <c r="B3038" s="3" t="s">
        <v>2526</v>
      </c>
      <c r="C3038" s="3" t="s">
        <v>653</v>
      </c>
      <c r="D3038" s="3"/>
      <c r="E3038" s="2" t="str">
        <f>HYPERLINK("https://old.ukr-mobil.com/displej_samsung_g973_galaxy_s10_s_tachskrinom_original_prc_black_10001899", "Перейти")</f>
        <v>Перейти</v>
      </c>
      <c r="F3038" s="2">
        <v>10001899</v>
      </c>
      <c r="G3038" s="4" t="s">
        <v>3174</v>
      </c>
      <c r="H3038" s="1">
        <v>0</v>
      </c>
      <c r="I3038" s="1">
        <v>0</v>
      </c>
      <c r="J3038" s="1">
        <v>0</v>
      </c>
      <c r="K3038" s="2">
        <v>140.0</v>
      </c>
    </row>
    <row r="3039" spans="1:12">
      <c r="A3039" s="3" t="s">
        <v>2194</v>
      </c>
      <c r="B3039" s="3" t="s">
        <v>2526</v>
      </c>
      <c r="C3039" s="3" t="s">
        <v>653</v>
      </c>
      <c r="D3039" s="3"/>
      <c r="E3039" s="2" t="str">
        <f>HYPERLINK("https://old.ukr-mobil.com/displej_samsung_g973_galaxy_s10_s_tachskrinom_s_ramkoj_original_prc_black_11802", "Перейти")</f>
        <v>Перейти</v>
      </c>
      <c r="F3039" s="2">
        <v>11802</v>
      </c>
      <c r="G3039" s="4" t="s">
        <v>3175</v>
      </c>
      <c r="H3039" s="1">
        <v>0</v>
      </c>
      <c r="I3039" s="1">
        <v>0</v>
      </c>
      <c r="J3039" s="1">
        <v>0</v>
      </c>
      <c r="K3039" s="2">
        <v>148.0</v>
      </c>
    </row>
    <row r="3040" spans="1:12">
      <c r="A3040" s="3" t="s">
        <v>2194</v>
      </c>
      <c r="B3040" s="3" t="s">
        <v>2526</v>
      </c>
      <c r="C3040" s="3" t="s">
        <v>653</v>
      </c>
      <c r="D3040" s="3"/>
      <c r="E3040" s="2" t="str">
        <f>HYPERLINK("https://old.ukr-mobil.com/displej_samsung_g973_galaxy_s10_s_tachskrinom_s_ramkoj_original_prc_silver_10001044", "Перейти")</f>
        <v>Перейти</v>
      </c>
      <c r="F3040" s="2">
        <v>10001044</v>
      </c>
      <c r="G3040" s="4" t="s">
        <v>3176</v>
      </c>
      <c r="H3040" s="1">
        <v>0</v>
      </c>
      <c r="I3040" s="1">
        <v>0</v>
      </c>
      <c r="J3040" s="1">
        <v>0</v>
      </c>
      <c r="K3040" s="2">
        <v>156.0</v>
      </c>
    </row>
    <row r="3041" spans="1:12">
      <c r="A3041" s="3" t="s">
        <v>2194</v>
      </c>
      <c r="B3041" s="3" t="s">
        <v>2526</v>
      </c>
      <c r="C3041" s="3" t="s">
        <v>653</v>
      </c>
      <c r="D3041" s="3"/>
      <c r="E3041" s="2" t="str">
        <f>HYPERLINK("https://old.ukr-mobil.com/displej_samsung_g975_galaxy_s10_plus_gh82-18849a_s_tachskrinom_s_ramkoj_original_black_11782", "Перейти")</f>
        <v>Перейти</v>
      </c>
      <c r="F3041" s="2">
        <v>11782</v>
      </c>
      <c r="G3041" s="4" t="s">
        <v>3177</v>
      </c>
      <c r="H3041" s="1">
        <v>0</v>
      </c>
      <c r="I3041" s="1">
        <v>0</v>
      </c>
      <c r="J3041" s="1">
        <v>0</v>
      </c>
      <c r="K3041" s="2">
        <v>232.0</v>
      </c>
    </row>
    <row r="3042" spans="1:12">
      <c r="A3042" s="3" t="s">
        <v>2194</v>
      </c>
      <c r="B3042" s="3" t="s">
        <v>2526</v>
      </c>
      <c r="C3042" s="3" t="s">
        <v>653</v>
      </c>
      <c r="D3042" s="3"/>
      <c r="E3042" s="2" t="str">
        <f>HYPERLINK("https://old.ukr-mobil.com/displej_samsung_g975_galaxy_s10_plus_s_tachskrinom_original_prc_black_10002073", "Перейти")</f>
        <v>Перейти</v>
      </c>
      <c r="F3042" s="2">
        <v>10002073</v>
      </c>
      <c r="G3042" s="4" t="s">
        <v>3178</v>
      </c>
      <c r="H3042" s="1">
        <v>14</v>
      </c>
      <c r="I3042" s="1">
        <v>3</v>
      </c>
      <c r="J3042" s="1">
        <v>2</v>
      </c>
      <c r="K3042" s="2">
        <v>160.0</v>
      </c>
    </row>
    <row r="3043" spans="1:12">
      <c r="A3043" s="3" t="s">
        <v>2194</v>
      </c>
      <c r="B3043" s="3" t="s">
        <v>2526</v>
      </c>
      <c r="C3043" s="3" t="s">
        <v>653</v>
      </c>
      <c r="D3043" s="3"/>
      <c r="E3043" s="2" t="str">
        <f>HYPERLINK("https://old.ukr-mobil.com/displej_samsung_g975_galaxy_s10_plus_s_tachskrinom_s_ramkoj_original_prc_black_11804", "Перейти")</f>
        <v>Перейти</v>
      </c>
      <c r="F3043" s="2">
        <v>11804</v>
      </c>
      <c r="G3043" s="4" t="s">
        <v>3179</v>
      </c>
      <c r="H3043" s="1">
        <v>13</v>
      </c>
      <c r="I3043" s="1">
        <v>1</v>
      </c>
      <c r="J3043" s="1">
        <v>1</v>
      </c>
      <c r="K3043" s="2">
        <v>176.0</v>
      </c>
    </row>
    <row r="3044" spans="1:12">
      <c r="A3044" s="3" t="s">
        <v>2194</v>
      </c>
      <c r="B3044" s="3" t="s">
        <v>2526</v>
      </c>
      <c r="C3044" s="3" t="s">
        <v>653</v>
      </c>
      <c r="D3044" s="3"/>
      <c r="E3044" s="2" t="str">
        <f>HYPERLINK("https://old.ukr-mobil.com/displej_samsung_g980_galaxy_s20_cosmic_grey_gh82-22131a_s_tachskrinom_s_ramkoj_service_pack_original_black_10001758", "Перейти")</f>
        <v>Перейти</v>
      </c>
      <c r="F3044" s="2">
        <v>10001758</v>
      </c>
      <c r="G3044" s="4" t="s">
        <v>3180</v>
      </c>
      <c r="H3044" s="1">
        <v>0</v>
      </c>
      <c r="I3044" s="1">
        <v>0</v>
      </c>
      <c r="J3044" s="1">
        <v>0</v>
      </c>
      <c r="K3044" s="2">
        <v>209.0</v>
      </c>
    </row>
    <row r="3045" spans="1:12">
      <c r="A3045" s="3" t="s">
        <v>2194</v>
      </c>
      <c r="B3045" s="3" t="s">
        <v>2526</v>
      </c>
      <c r="C3045" s="3" t="s">
        <v>653</v>
      </c>
      <c r="D3045" s="3"/>
      <c r="E3045" s="2" t="str">
        <f>HYPERLINK("https://old.ukr-mobil.com/displej_samsung_g980_galaxy_s20_gh82-22131c_s_tachskrinom_s_ramkoj_service_pack_original_cloud_pink_10002141", "Перейти")</f>
        <v>Перейти</v>
      </c>
      <c r="F3045" s="2">
        <v>10002141</v>
      </c>
      <c r="G3045" s="4" t="s">
        <v>3181</v>
      </c>
      <c r="H3045" s="1">
        <v>0</v>
      </c>
      <c r="I3045" s="1">
        <v>0</v>
      </c>
      <c r="J3045" s="1">
        <v>0</v>
      </c>
      <c r="K3045" s="2">
        <v>230.0</v>
      </c>
    </row>
    <row r="3046" spans="1:12">
      <c r="A3046" s="3" t="s">
        <v>2194</v>
      </c>
      <c r="B3046" s="3" t="s">
        <v>2526</v>
      </c>
      <c r="C3046" s="3" t="s">
        <v>653</v>
      </c>
      <c r="D3046" s="3"/>
      <c r="E3046" s="2" t="str">
        <f>HYPERLINK("https://old.ukr-mobil.com/displej_samsung_g980_galaxy_s20_s_tachskrinom_original_black_10001309", "Перейти")</f>
        <v>Перейти</v>
      </c>
      <c r="F3046" s="2">
        <v>10001309</v>
      </c>
      <c r="G3046" s="4" t="s">
        <v>3182</v>
      </c>
      <c r="H3046" s="1">
        <v>1</v>
      </c>
      <c r="I3046" s="1">
        <v>0</v>
      </c>
      <c r="J3046" s="1">
        <v>1</v>
      </c>
      <c r="K3046" s="2">
        <v>184.0</v>
      </c>
    </row>
    <row r="3047" spans="1:12">
      <c r="A3047" s="3" t="s">
        <v>2194</v>
      </c>
      <c r="B3047" s="3" t="s">
        <v>2526</v>
      </c>
      <c r="C3047" s="3" t="s">
        <v>653</v>
      </c>
      <c r="D3047" s="3"/>
      <c r="E3047" s="2" t="str">
        <f>HYPERLINK("https://old.ukr-mobil.com/displej_samsung_g980_galaxy_s20_s_tachskrinom_ramkoj_oled_black_10003579", "Перейти")</f>
        <v>Перейти</v>
      </c>
      <c r="F3047" s="2">
        <v>10003579</v>
      </c>
      <c r="G3047" s="4" t="s">
        <v>3183</v>
      </c>
      <c r="H3047" s="1">
        <v>0</v>
      </c>
      <c r="I3047" s="1">
        <v>2</v>
      </c>
      <c r="J3047" s="1">
        <v>0</v>
      </c>
      <c r="K3047" s="2">
        <v>130.0</v>
      </c>
    </row>
    <row r="3048" spans="1:12">
      <c r="A3048" s="3" t="s">
        <v>2194</v>
      </c>
      <c r="B3048" s="3" t="s">
        <v>2526</v>
      </c>
      <c r="C3048" s="3" t="s">
        <v>653</v>
      </c>
      <c r="D3048" s="3"/>
      <c r="E3048" s="2" t="str">
        <f>HYPERLINK("https://old.ukr-mobil.com/displej_samsung_g980_galaxy_s20_s_tachskrinom_ramkoj_oled_blue_10003580", "Перейти")</f>
        <v>Перейти</v>
      </c>
      <c r="F3048" s="2">
        <v>10003580</v>
      </c>
      <c r="G3048" s="4" t="s">
        <v>3184</v>
      </c>
      <c r="H3048" s="1">
        <v>2</v>
      </c>
      <c r="I3048" s="1">
        <v>0</v>
      </c>
      <c r="J3048" s="1">
        <v>1</v>
      </c>
      <c r="K3048" s="2">
        <v>115.0</v>
      </c>
    </row>
    <row r="3049" spans="1:12">
      <c r="A3049" s="3" t="s">
        <v>2194</v>
      </c>
      <c r="B3049" s="3" t="s">
        <v>2526</v>
      </c>
      <c r="C3049" s="3" t="s">
        <v>653</v>
      </c>
      <c r="D3049" s="3"/>
      <c r="E3049" s="2" t="str">
        <f>HYPERLINK("https://old.ukr-mobil.com/displej_samsung_g980_galaxy_s20_s_tachskrinom_ramkoj_oled_pink_10003581", "Перейти")</f>
        <v>Перейти</v>
      </c>
      <c r="F3049" s="2">
        <v>10003581</v>
      </c>
      <c r="G3049" s="4" t="s">
        <v>3185</v>
      </c>
      <c r="H3049" s="1">
        <v>2</v>
      </c>
      <c r="I3049" s="1">
        <v>1</v>
      </c>
      <c r="J3049" s="1">
        <v>1</v>
      </c>
      <c r="K3049" s="2">
        <v>115.0</v>
      </c>
    </row>
    <row r="3050" spans="1:12">
      <c r="A3050" s="3" t="s">
        <v>2194</v>
      </c>
      <c r="B3050" s="3" t="s">
        <v>2526</v>
      </c>
      <c r="C3050" s="3" t="s">
        <v>653</v>
      </c>
      <c r="D3050" s="3"/>
      <c r="E3050" s="2" t="str">
        <f>HYPERLINK("https://old.ukr-mobil.com/displej_samsung_g980_galaxy_s20_s_tachskrinom_ramkoj_original_black_10000600", "Перейти")</f>
        <v>Перейти</v>
      </c>
      <c r="F3050" s="2">
        <v>10000600</v>
      </c>
      <c r="G3050" s="4" t="s">
        <v>3186</v>
      </c>
      <c r="H3050" s="1">
        <v>0</v>
      </c>
      <c r="I3050" s="1">
        <v>0</v>
      </c>
      <c r="J3050" s="1">
        <v>0</v>
      </c>
      <c r="K3050" s="2">
        <v>190.0</v>
      </c>
    </row>
    <row r="3051" spans="1:12">
      <c r="A3051" s="3" t="s">
        <v>2194</v>
      </c>
      <c r="B3051" s="3" t="s">
        <v>2526</v>
      </c>
      <c r="C3051" s="3" t="s">
        <v>653</v>
      </c>
      <c r="D3051" s="3"/>
      <c r="E3051" s="2" t="str">
        <f>HYPERLINK("https://old.ukr-mobil.com/displej_samsung_g980_g981_galaxy_s20_gh82-22123d_s_tachskrinom_s_ramkoj_service_pack_original_cloud_blue_10002144", "Перейти")</f>
        <v>Перейти</v>
      </c>
      <c r="F3051" s="2">
        <v>10002144</v>
      </c>
      <c r="G3051" s="4" t="s">
        <v>3187</v>
      </c>
      <c r="H3051" s="1">
        <v>1</v>
      </c>
      <c r="I3051" s="1">
        <v>1</v>
      </c>
      <c r="J3051" s="1">
        <v>1</v>
      </c>
      <c r="K3051" s="2">
        <v>200.0</v>
      </c>
    </row>
    <row r="3052" spans="1:12">
      <c r="A3052" s="3" t="s">
        <v>2194</v>
      </c>
      <c r="B3052" s="3" t="s">
        <v>2526</v>
      </c>
      <c r="C3052" s="3" t="s">
        <v>653</v>
      </c>
      <c r="D3052" s="3"/>
      <c r="E3052" s="2" t="str">
        <f>HYPERLINK("https://old.ukr-mobil.com/displej_samsung_g985_galaxy_s20_plus_gh82-22134a_s_tachskrinom_s_ramkoj_service_pack_original_black_10001759", "Перейти")</f>
        <v>Перейти</v>
      </c>
      <c r="F3052" s="2">
        <v>10001759</v>
      </c>
      <c r="G3052" s="4" t="s">
        <v>3188</v>
      </c>
      <c r="H3052" s="1">
        <v>2</v>
      </c>
      <c r="I3052" s="1">
        <v>0</v>
      </c>
      <c r="J3052" s="1">
        <v>0</v>
      </c>
      <c r="K3052" s="2">
        <v>215.0</v>
      </c>
    </row>
    <row r="3053" spans="1:12">
      <c r="A3053" s="3" t="s">
        <v>2194</v>
      </c>
      <c r="B3053" s="3" t="s">
        <v>2526</v>
      </c>
      <c r="C3053" s="3" t="s">
        <v>653</v>
      </c>
      <c r="D3053" s="3"/>
      <c r="E3053" s="2" t="str">
        <f>HYPERLINK("https://old.ukr-mobil.com/displej_samsung_g985_galaxy_s20_plus_gh82-22134e_s_tachskrinom_s_ramkoj_service_pack_original_grey_10003697", "Перейти")</f>
        <v>Перейти</v>
      </c>
      <c r="F3053" s="2">
        <v>10003697</v>
      </c>
      <c r="G3053" s="4" t="s">
        <v>3189</v>
      </c>
      <c r="H3053" s="1">
        <v>0</v>
      </c>
      <c r="I3053" s="1">
        <v>0</v>
      </c>
      <c r="J3053" s="1">
        <v>0</v>
      </c>
      <c r="K3053" s="2">
        <v>227.0</v>
      </c>
    </row>
    <row r="3054" spans="1:12">
      <c r="A3054" s="3" t="s">
        <v>2194</v>
      </c>
      <c r="B3054" s="3" t="s">
        <v>2526</v>
      </c>
      <c r="C3054" s="3" t="s">
        <v>653</v>
      </c>
      <c r="D3054" s="3"/>
      <c r="E3054" s="2" t="str">
        <f>HYPERLINK("https://old.ukr-mobil.com/displej_samsung_g985_galaxy_s20_plus_s_tachskrinom_original_prc_black_10001769", "Перейти")</f>
        <v>Перейти</v>
      </c>
      <c r="F3054" s="2">
        <v>10001769</v>
      </c>
      <c r="G3054" s="4" t="s">
        <v>3190</v>
      </c>
      <c r="H3054" s="1">
        <v>1</v>
      </c>
      <c r="I3054" s="1">
        <v>0</v>
      </c>
      <c r="J3054" s="1">
        <v>0</v>
      </c>
      <c r="K3054" s="2">
        <v>179.0</v>
      </c>
    </row>
    <row r="3055" spans="1:12">
      <c r="A3055" s="3" t="s">
        <v>2194</v>
      </c>
      <c r="B3055" s="3" t="s">
        <v>2526</v>
      </c>
      <c r="C3055" s="3" t="s">
        <v>653</v>
      </c>
      <c r="D3055" s="3"/>
      <c r="E3055" s="2" t="str">
        <f>HYPERLINK("https://old.ukr-mobil.com/displej_samsung_g985_galaxy_s20_plus_s_tachskrinom_ramkoj_oled_black_10003582", "Перейти")</f>
        <v>Перейти</v>
      </c>
      <c r="F3055" s="2">
        <v>10003582</v>
      </c>
      <c r="G3055" s="4" t="s">
        <v>3191</v>
      </c>
      <c r="H3055" s="1">
        <v>0</v>
      </c>
      <c r="I3055" s="1">
        <v>1</v>
      </c>
      <c r="J3055" s="1">
        <v>1</v>
      </c>
      <c r="K3055" s="2">
        <v>150.0</v>
      </c>
    </row>
    <row r="3056" spans="1:12">
      <c r="A3056" s="3" t="s">
        <v>2194</v>
      </c>
      <c r="B3056" s="3" t="s">
        <v>2526</v>
      </c>
      <c r="C3056" s="3" t="s">
        <v>653</v>
      </c>
      <c r="D3056" s="3"/>
      <c r="E3056" s="2" t="str">
        <f>HYPERLINK("https://old.ukr-mobil.com/displej_samsung_g985_galaxy_s20_plus_s_tachskrinom_ramkoj_oled_blue_10003583", "Перейти")</f>
        <v>Перейти</v>
      </c>
      <c r="F3056" s="2">
        <v>10003583</v>
      </c>
      <c r="G3056" s="4" t="s">
        <v>3192</v>
      </c>
      <c r="H3056" s="1">
        <v>0</v>
      </c>
      <c r="I3056" s="1">
        <v>0</v>
      </c>
      <c r="J3056" s="1">
        <v>0</v>
      </c>
      <c r="K3056" s="2">
        <v>158.0</v>
      </c>
    </row>
    <row r="3057" spans="1:12">
      <c r="A3057" s="3" t="s">
        <v>2194</v>
      </c>
      <c r="B3057" s="3" t="s">
        <v>2526</v>
      </c>
      <c r="C3057" s="3" t="s">
        <v>653</v>
      </c>
      <c r="D3057" s="3"/>
      <c r="E3057" s="2" t="str">
        <f>HYPERLINK("https://old.ukr-mobil.com/displej_samsung_g985_galaxy_s20_plus_s_tachskrinom_ramkoj_original_black_10000601", "Перейти")</f>
        <v>Перейти</v>
      </c>
      <c r="F3057" s="2">
        <v>10000601</v>
      </c>
      <c r="G3057" s="4" t="s">
        <v>3193</v>
      </c>
      <c r="H3057" s="1">
        <v>0</v>
      </c>
      <c r="I3057" s="1">
        <v>0</v>
      </c>
      <c r="J3057" s="1">
        <v>0</v>
      </c>
      <c r="K3057" s="2">
        <v>200.0</v>
      </c>
    </row>
    <row r="3058" spans="1:12">
      <c r="A3058" s="3" t="s">
        <v>2194</v>
      </c>
      <c r="B3058" s="3" t="s">
        <v>2526</v>
      </c>
      <c r="C3058" s="3" t="s">
        <v>653</v>
      </c>
      <c r="D3058" s="3"/>
      <c r="E3058" s="2" t="str">
        <f>HYPERLINK("https://old.ukr-mobil.com/displej_samsung_g988_galaxy_s20_ultra_cosmic_black_gh82-22271a_s_tachskrinom_s_ramkoj_service_pack_original_black_10002980", "Перейти")</f>
        <v>Перейти</v>
      </c>
      <c r="F3058" s="2">
        <v>10002980</v>
      </c>
      <c r="G3058" s="4" t="s">
        <v>3194</v>
      </c>
      <c r="H3058" s="1">
        <v>0</v>
      </c>
      <c r="I3058" s="1">
        <v>0</v>
      </c>
      <c r="J3058" s="1">
        <v>1</v>
      </c>
      <c r="K3058" s="2">
        <v>250.0</v>
      </c>
    </row>
    <row r="3059" spans="1:12">
      <c r="A3059" s="3" t="s">
        <v>2194</v>
      </c>
      <c r="B3059" s="3" t="s">
        <v>2526</v>
      </c>
      <c r="C3059" s="3" t="s">
        <v>653</v>
      </c>
      <c r="D3059" s="3"/>
      <c r="E3059" s="2" t="str">
        <f>HYPERLINK("https://old.ukr-mobil.com/displej_samsung_g988_galaxy_s20_ultra_cosmic_grey_gh82-22327b_s_tachskrinom_s_ramkoj_service_pack_original_grey_10002979", "Перейти")</f>
        <v>Перейти</v>
      </c>
      <c r="F3059" s="2">
        <v>10002979</v>
      </c>
      <c r="G3059" s="4" t="s">
        <v>3195</v>
      </c>
      <c r="H3059" s="1">
        <v>0</v>
      </c>
      <c r="I3059" s="1">
        <v>0</v>
      </c>
      <c r="J3059" s="1">
        <v>0</v>
      </c>
      <c r="K3059" s="2">
        <v>236.0</v>
      </c>
    </row>
    <row r="3060" spans="1:12">
      <c r="A3060" s="3" t="s">
        <v>2194</v>
      </c>
      <c r="B3060" s="3" t="s">
        <v>2526</v>
      </c>
      <c r="C3060" s="3" t="s">
        <v>653</v>
      </c>
      <c r="D3060" s="3"/>
      <c r="E3060" s="2" t="str">
        <f>HYPERLINK("https://old.ukr-mobil.com/displej_samsung_g988_galaxy_s20_ultra_s_tachskrinom_ramkoj_oled_black_10003584", "Перейти")</f>
        <v>Перейти</v>
      </c>
      <c r="F3060" s="2">
        <v>10003584</v>
      </c>
      <c r="G3060" s="4" t="s">
        <v>3196</v>
      </c>
      <c r="H3060" s="1">
        <v>1</v>
      </c>
      <c r="I3060" s="1">
        <v>0</v>
      </c>
      <c r="J3060" s="1">
        <v>0</v>
      </c>
      <c r="K3060" s="2">
        <v>127.0</v>
      </c>
    </row>
    <row r="3061" spans="1:12">
      <c r="A3061" s="3" t="s">
        <v>2194</v>
      </c>
      <c r="B3061" s="3" t="s">
        <v>2526</v>
      </c>
      <c r="C3061" s="3" t="s">
        <v>653</v>
      </c>
      <c r="D3061" s="3"/>
      <c r="E3061" s="2" t="str">
        <f>HYPERLINK("https://old.ukr-mobil.com/displej_samsung_g988_galaxy_s20_ultra_s_tachskrinom_ramkoj_original_black_10000605", "Перейти")</f>
        <v>Перейти</v>
      </c>
      <c r="F3061" s="2">
        <v>10000605</v>
      </c>
      <c r="G3061" s="4" t="s">
        <v>3197</v>
      </c>
      <c r="H3061" s="1">
        <v>0</v>
      </c>
      <c r="I3061" s="1">
        <v>0</v>
      </c>
      <c r="J3061" s="1">
        <v>0</v>
      </c>
      <c r="K3061" s="2">
        <v>203.0</v>
      </c>
    </row>
    <row r="3062" spans="1:12">
      <c r="A3062" s="3" t="s">
        <v>2194</v>
      </c>
      <c r="B3062" s="3" t="s">
        <v>2526</v>
      </c>
      <c r="C3062" s="3" t="s">
        <v>653</v>
      </c>
      <c r="D3062" s="3"/>
      <c r="E3062" s="2" t="str">
        <f>HYPERLINK("https://old.ukr-mobil.com/displej_samsung_g991_galaxy_s21_gh82-24544a_s_tachskrinom_s_ramkoj_service_pack_original_phantom_grey_10002151", "Перейти")</f>
        <v>Перейти</v>
      </c>
      <c r="F3062" s="2">
        <v>10002151</v>
      </c>
      <c r="G3062" s="4" t="s">
        <v>3198</v>
      </c>
      <c r="H3062" s="1">
        <v>0</v>
      </c>
      <c r="I3062" s="1">
        <v>0</v>
      </c>
      <c r="J3062" s="1">
        <v>0</v>
      </c>
      <c r="K3062" s="2">
        <v>175.0</v>
      </c>
    </row>
    <row r="3063" spans="1:12">
      <c r="A3063" s="3" t="s">
        <v>2194</v>
      </c>
      <c r="B3063" s="3" t="s">
        <v>2526</v>
      </c>
      <c r="C3063" s="3" t="s">
        <v>653</v>
      </c>
      <c r="D3063" s="3"/>
      <c r="E3063" s="2" t="str">
        <f>HYPERLINK("https://old.ukr-mobil.com/displej_samsung_g991_galaxy_s21_gh82-24716a_s_tachskrinom_s_ramkoj_service_pack_original_violet_10002192", "Перейти")</f>
        <v>Перейти</v>
      </c>
      <c r="F3063" s="2">
        <v>10002192</v>
      </c>
      <c r="G3063" s="4" t="s">
        <v>3199</v>
      </c>
      <c r="H3063" s="1">
        <v>1</v>
      </c>
      <c r="I3063" s="1">
        <v>1</v>
      </c>
      <c r="J3063" s="1">
        <v>0</v>
      </c>
      <c r="K3063" s="2">
        <v>170.0</v>
      </c>
    </row>
    <row r="3064" spans="1:12">
      <c r="A3064" s="3" t="s">
        <v>2194</v>
      </c>
      <c r="B3064" s="3" t="s">
        <v>2526</v>
      </c>
      <c r="C3064" s="3" t="s">
        <v>653</v>
      </c>
      <c r="D3064" s="3"/>
      <c r="E3064" s="2" t="str">
        <f>HYPERLINK("https://old.ukr-mobil.com/displej_samsung_g991_galaxy_s21_s_tachskrinom_ramkoj_akkumulyatorom_original_phantom_grey_10001492", "Перейти")</f>
        <v>Перейти</v>
      </c>
      <c r="F3064" s="2">
        <v>10001492</v>
      </c>
      <c r="G3064" s="4" t="s">
        <v>3200</v>
      </c>
      <c r="H3064" s="1">
        <v>0</v>
      </c>
      <c r="I3064" s="1">
        <v>0</v>
      </c>
      <c r="J3064" s="1">
        <v>0</v>
      </c>
      <c r="K3064" s="2">
        <v>156.0</v>
      </c>
    </row>
    <row r="3065" spans="1:12">
      <c r="A3065" s="3" t="s">
        <v>2194</v>
      </c>
      <c r="B3065" s="3" t="s">
        <v>2526</v>
      </c>
      <c r="C3065" s="3" t="s">
        <v>653</v>
      </c>
      <c r="D3065" s="3"/>
      <c r="E3065" s="2" t="str">
        <f>HYPERLINK("https://old.ukr-mobil.com/displej_samsung_g996_galaxy_s21_plus_gh82-24553b_s_tachskrinom_s_ramkoj_service_pack_original_phantom_violet_10002152", "Перейти")</f>
        <v>Перейти</v>
      </c>
      <c r="F3065" s="2">
        <v>10002152</v>
      </c>
      <c r="G3065" s="4" t="s">
        <v>3201</v>
      </c>
      <c r="H3065" s="1">
        <v>0</v>
      </c>
      <c r="I3065" s="1">
        <v>0</v>
      </c>
      <c r="J3065" s="1">
        <v>0</v>
      </c>
      <c r="K3065" s="2">
        <v>176.0</v>
      </c>
    </row>
    <row r="3066" spans="1:12">
      <c r="A3066" s="3" t="s">
        <v>2194</v>
      </c>
      <c r="B3066" s="3" t="s">
        <v>2526</v>
      </c>
      <c r="C3066" s="3" t="s">
        <v>653</v>
      </c>
      <c r="D3066" s="3"/>
      <c r="E3066" s="2" t="str">
        <f>HYPERLINK("https://old.ukr-mobil.com/displej_samsung_g996_galaxy_s21_plus_gh82-27267c_s_tachskrinom_s_ramkoj_service_pack_original_silver_10003098", "Перейти")</f>
        <v>Перейти</v>
      </c>
      <c r="F3066" s="2">
        <v>10003098</v>
      </c>
      <c r="G3066" s="4" t="s">
        <v>3202</v>
      </c>
      <c r="H3066" s="1">
        <v>2</v>
      </c>
      <c r="I3066" s="1">
        <v>0</v>
      </c>
      <c r="J3066" s="1">
        <v>0</v>
      </c>
      <c r="K3066" s="2">
        <v>150.0</v>
      </c>
    </row>
    <row r="3067" spans="1:12">
      <c r="A3067" s="3" t="s">
        <v>2194</v>
      </c>
      <c r="B3067" s="3" t="s">
        <v>2526</v>
      </c>
      <c r="C3067" s="3" t="s">
        <v>653</v>
      </c>
      <c r="D3067" s="3"/>
      <c r="E3067" s="2" t="str">
        <f>HYPERLINK("https://old.ukr-mobil.com/displej_samsung_g996_galaxy_s21_plus_gh82-27268a_s_tachskrinom_s_ramkoj_service_pack_original_black_10003709", "Перейти")</f>
        <v>Перейти</v>
      </c>
      <c r="F3067" s="2">
        <v>10003709</v>
      </c>
      <c r="G3067" s="4" t="s">
        <v>3203</v>
      </c>
      <c r="H3067" s="1">
        <v>0</v>
      </c>
      <c r="I3067" s="1">
        <v>0</v>
      </c>
      <c r="J3067" s="1">
        <v>0</v>
      </c>
      <c r="K3067" s="2">
        <v>185.0</v>
      </c>
    </row>
    <row r="3068" spans="1:12">
      <c r="A3068" s="3" t="s">
        <v>2194</v>
      </c>
      <c r="B3068" s="3" t="s">
        <v>2526</v>
      </c>
      <c r="C3068" s="3" t="s">
        <v>653</v>
      </c>
      <c r="D3068" s="3"/>
      <c r="E3068" s="2" t="str">
        <f>HYPERLINK("https://old.ukr-mobil.com/displej_samsung_g996_galaxy_s21_plus_s_tachskrinom_ramkoj_akkumulyatorom_original_phantom_black_10001493", "Перейти")</f>
        <v>Перейти</v>
      </c>
      <c r="F3068" s="2">
        <v>10001493</v>
      </c>
      <c r="G3068" s="4" t="s">
        <v>3204</v>
      </c>
      <c r="H3068" s="1">
        <v>2</v>
      </c>
      <c r="I3068" s="1">
        <v>0</v>
      </c>
      <c r="J3068" s="1">
        <v>1</v>
      </c>
      <c r="K3068" s="2">
        <v>145.0</v>
      </c>
    </row>
    <row r="3069" spans="1:12">
      <c r="A3069" s="3" t="s">
        <v>2194</v>
      </c>
      <c r="B3069" s="3" t="s">
        <v>2526</v>
      </c>
      <c r="C3069" s="3" t="s">
        <v>653</v>
      </c>
      <c r="D3069" s="3"/>
      <c r="E3069" s="2" t="str">
        <f>HYPERLINK("https://old.ukr-mobil.com/displej_samsung_g998_galaxy_s21_ultra_gh82-24925a_s_tachskrinom_s_ramkoj_service_pack_original_phantom_black_10003142", "Перейти")</f>
        <v>Перейти</v>
      </c>
      <c r="F3069" s="2">
        <v>10003142</v>
      </c>
      <c r="G3069" s="4" t="s">
        <v>3205</v>
      </c>
      <c r="H3069" s="1">
        <v>0</v>
      </c>
      <c r="I3069" s="1">
        <v>0</v>
      </c>
      <c r="J3069" s="1">
        <v>0</v>
      </c>
      <c r="K3069" s="2">
        <v>279.0</v>
      </c>
    </row>
    <row r="3070" spans="1:12">
      <c r="A3070" s="3" t="s">
        <v>2194</v>
      </c>
      <c r="B3070" s="3" t="s">
        <v>2526</v>
      </c>
      <c r="C3070" s="3" t="s">
        <v>653</v>
      </c>
      <c r="D3070" s="3"/>
      <c r="E3070" s="2" t="str">
        <f>HYPERLINK("https://old.ukr-mobil.com/displej_samsung_g998_galaxy_s21_ultra_gh82-24925b_s_tachskrinom_s_ramkoj_service_pack_original_silver_10002223", "Перейти")</f>
        <v>Перейти</v>
      </c>
      <c r="F3070" s="2">
        <v>10002223</v>
      </c>
      <c r="G3070" s="4" t="s">
        <v>3206</v>
      </c>
      <c r="H3070" s="1">
        <v>0</v>
      </c>
      <c r="I3070" s="1">
        <v>0</v>
      </c>
      <c r="J3070" s="1">
        <v>0</v>
      </c>
      <c r="K3070" s="2">
        <v>270.0</v>
      </c>
    </row>
    <row r="3071" spans="1:12">
      <c r="A3071" s="3" t="s">
        <v>2194</v>
      </c>
      <c r="B3071" s="3" t="s">
        <v>2526</v>
      </c>
      <c r="C3071" s="3" t="s">
        <v>653</v>
      </c>
      <c r="D3071" s="3"/>
      <c r="E3071" s="2" t="str">
        <f>HYPERLINK("https://old.ukr-mobil.com/displej_samsung_g998_galaxy_s21_ultra_s_tachskrinom_original_phantom_black_10002976", "Перейти")</f>
        <v>Перейти</v>
      </c>
      <c r="F3071" s="2">
        <v>10002976</v>
      </c>
      <c r="G3071" s="4" t="s">
        <v>3207</v>
      </c>
      <c r="H3071" s="1">
        <v>0</v>
      </c>
      <c r="I3071" s="1">
        <v>0</v>
      </c>
      <c r="J3071" s="1">
        <v>0</v>
      </c>
      <c r="K3071" s="2">
        <v>244.0</v>
      </c>
    </row>
    <row r="3072" spans="1:12">
      <c r="A3072" s="3" t="s">
        <v>2194</v>
      </c>
      <c r="B3072" s="3" t="s">
        <v>2526</v>
      </c>
      <c r="C3072" s="3" t="s">
        <v>653</v>
      </c>
      <c r="D3072" s="3"/>
      <c r="E3072" s="2" t="str">
        <f>HYPERLINK("https://old.ukr-mobil.com/displej_samsung_g998_galaxy_s21_ultra_s_tachskrinom_ramkoj_akkumulyatorom_original_phantom_black_10001494", "Перейти")</f>
        <v>Перейти</v>
      </c>
      <c r="F3072" s="2">
        <v>10001494</v>
      </c>
      <c r="G3072" s="4" t="s">
        <v>3208</v>
      </c>
      <c r="H3072" s="1">
        <v>0</v>
      </c>
      <c r="I3072" s="1">
        <v>0</v>
      </c>
      <c r="J3072" s="1">
        <v>0</v>
      </c>
      <c r="K3072" s="2">
        <v>255.0</v>
      </c>
    </row>
    <row r="3073" spans="1:12">
      <c r="A3073" s="3" t="s">
        <v>2194</v>
      </c>
      <c r="B3073" s="3" t="s">
        <v>2526</v>
      </c>
      <c r="C3073" s="3" t="s">
        <v>653</v>
      </c>
      <c r="D3073" s="3"/>
      <c r="E3073" s="2" t="str">
        <f>HYPERLINK("https://old.ukr-mobil.com/displej_samsung_i9500_galaxy_s4_super_amoled_s_tachskrinom_blue_4268", "Перейти")</f>
        <v>Перейти</v>
      </c>
      <c r="F3073" s="2">
        <v>4268</v>
      </c>
      <c r="G3073" s="4" t="s">
        <v>3209</v>
      </c>
      <c r="H3073" s="1">
        <v>0</v>
      </c>
      <c r="I3073" s="1">
        <v>0</v>
      </c>
      <c r="J3073" s="1">
        <v>0</v>
      </c>
      <c r="K3073" s="2">
        <v>37.3</v>
      </c>
    </row>
    <row r="3074" spans="1:12">
      <c r="A3074" s="3" t="s">
        <v>2194</v>
      </c>
      <c r="B3074" s="3" t="s">
        <v>2526</v>
      </c>
      <c r="C3074" s="3" t="s">
        <v>653</v>
      </c>
      <c r="D3074" s="3"/>
      <c r="E3074" s="2" t="str">
        <f>HYPERLINK("https://old.ukr-mobil.com/displej_samsung_i9500_galaxy_s4_super_amoled_s_tachskrinom_white_3948", "Перейти")</f>
        <v>Перейти</v>
      </c>
      <c r="F3074" s="2">
        <v>3948</v>
      </c>
      <c r="G3074" s="4" t="s">
        <v>3210</v>
      </c>
      <c r="H3074" s="1">
        <v>0</v>
      </c>
      <c r="I3074" s="1">
        <v>0</v>
      </c>
      <c r="J3074" s="1">
        <v>0</v>
      </c>
      <c r="K3074" s="2">
        <v>37.3</v>
      </c>
    </row>
    <row r="3075" spans="1:12">
      <c r="A3075" s="3" t="s">
        <v>2194</v>
      </c>
      <c r="B3075" s="3" t="s">
        <v>2526</v>
      </c>
      <c r="C3075" s="3" t="s">
        <v>653</v>
      </c>
      <c r="D3075" s="3"/>
      <c r="E3075" s="2" t="str">
        <f>HYPERLINK("https://old.ukr-mobil.com/displej_samsung_j120_galaxy_j1_2016_s_tachskrinom_tft_s_reguliruemoj_podsvetkoj_gold_10928", "Перейти")</f>
        <v>Перейти</v>
      </c>
      <c r="F3075" s="2">
        <v>10928</v>
      </c>
      <c r="G3075" s="4" t="s">
        <v>3211</v>
      </c>
      <c r="H3075" s="1">
        <v>0</v>
      </c>
      <c r="I3075" s="1">
        <v>0</v>
      </c>
      <c r="J3075" s="1">
        <v>0</v>
      </c>
      <c r="K3075" s="2">
        <v>9.0</v>
      </c>
    </row>
    <row r="3076" spans="1:12">
      <c r="A3076" s="3" t="s">
        <v>2194</v>
      </c>
      <c r="B3076" s="3" t="s">
        <v>2526</v>
      </c>
      <c r="C3076" s="3" t="s">
        <v>653</v>
      </c>
      <c r="D3076" s="3"/>
      <c r="E3076" s="2" t="str">
        <f>HYPERLINK("https://old.ukr-mobil.com/displej_samsung_j200_j200h_galaxy_j2_duos_tft_podsvetka_original_s_tachskrinom_white_8869", "Перейти")</f>
        <v>Перейти</v>
      </c>
      <c r="F3076" s="2">
        <v>8869</v>
      </c>
      <c r="G3076" s="4" t="s">
        <v>3212</v>
      </c>
      <c r="H3076" s="1">
        <v>2</v>
      </c>
      <c r="I3076" s="1">
        <v>0</v>
      </c>
      <c r="J3076" s="1">
        <v>0</v>
      </c>
      <c r="K3076" s="2">
        <v>7.0</v>
      </c>
    </row>
    <row r="3077" spans="1:12">
      <c r="A3077" s="3" t="s">
        <v>2194</v>
      </c>
      <c r="B3077" s="3" t="s">
        <v>2526</v>
      </c>
      <c r="C3077" s="3" t="s">
        <v>653</v>
      </c>
      <c r="D3077" s="3"/>
      <c r="E3077" s="2" t="str">
        <f>HYPERLINK("https://old.ukr-mobil.com/displej_samsung_j210_galaxy_j2_duos_2016_tft_s_tachskrinom_white_7377", "Перейти")</f>
        <v>Перейти</v>
      </c>
      <c r="F3077" s="2">
        <v>7377</v>
      </c>
      <c r="G3077" s="4" t="s">
        <v>3213</v>
      </c>
      <c r="H3077" s="1">
        <v>1</v>
      </c>
      <c r="I3077" s="1">
        <v>1</v>
      </c>
      <c r="J3077" s="1">
        <v>0</v>
      </c>
      <c r="K3077" s="2">
        <v>8.0</v>
      </c>
    </row>
    <row r="3078" spans="1:12">
      <c r="A3078" s="3" t="s">
        <v>2194</v>
      </c>
      <c r="B3078" s="3" t="s">
        <v>2526</v>
      </c>
      <c r="C3078" s="3" t="s">
        <v>653</v>
      </c>
      <c r="D3078" s="3"/>
      <c r="E3078" s="2" t="str">
        <f>HYPERLINK("https://old.ukr-mobil.com/displej_samsung_j210_galaxy_j2_duos_2016_tft_s_tachskrinom_gold_7378", "Перейти")</f>
        <v>Перейти</v>
      </c>
      <c r="F3078" s="2">
        <v>7378</v>
      </c>
      <c r="G3078" s="4" t="s">
        <v>3214</v>
      </c>
      <c r="H3078" s="1">
        <v>0</v>
      </c>
      <c r="I3078" s="1">
        <v>0</v>
      </c>
      <c r="J3078" s="1">
        <v>0</v>
      </c>
      <c r="K3078" s="2">
        <v>7.0</v>
      </c>
    </row>
    <row r="3079" spans="1:12">
      <c r="A3079" s="3" t="s">
        <v>2194</v>
      </c>
      <c r="B3079" s="3" t="s">
        <v>2526</v>
      </c>
      <c r="C3079" s="3" t="s">
        <v>653</v>
      </c>
      <c r="D3079" s="3"/>
      <c r="E3079" s="2" t="str">
        <f>HYPERLINK("https://old.ukr-mobil.com/displej_samsung_j250_galaxy_j2_2018_s_tachskrinom_oled_black_10124", "Перейти")</f>
        <v>Перейти</v>
      </c>
      <c r="F3079" s="2">
        <v>10124</v>
      </c>
      <c r="G3079" s="4" t="s">
        <v>3215</v>
      </c>
      <c r="H3079" s="1">
        <v>0</v>
      </c>
      <c r="I3079" s="1">
        <v>0</v>
      </c>
      <c r="J3079" s="1">
        <v>1</v>
      </c>
      <c r="K3079" s="2">
        <v>28.0</v>
      </c>
    </row>
    <row r="3080" spans="1:12">
      <c r="A3080" s="3" t="s">
        <v>2194</v>
      </c>
      <c r="B3080" s="3" t="s">
        <v>2526</v>
      </c>
      <c r="C3080" s="3" t="s">
        <v>653</v>
      </c>
      <c r="D3080" s="3"/>
      <c r="E3080" s="2" t="str">
        <f>HYPERLINK("https://old.ukr-mobil.com/displej_samsung_j250_galaxy_j2_2018_s_tachskrinom_oled_blue_10196", "Перейти")</f>
        <v>Перейти</v>
      </c>
      <c r="F3080" s="2">
        <v>10196</v>
      </c>
      <c r="G3080" s="4" t="s">
        <v>3216</v>
      </c>
      <c r="H3080" s="1">
        <v>0</v>
      </c>
      <c r="I3080" s="1">
        <v>0</v>
      </c>
      <c r="J3080" s="1">
        <v>0</v>
      </c>
      <c r="K3080" s="2">
        <v>25.0</v>
      </c>
    </row>
    <row r="3081" spans="1:12">
      <c r="A3081" s="3" t="s">
        <v>2194</v>
      </c>
      <c r="B3081" s="3" t="s">
        <v>2526</v>
      </c>
      <c r="C3081" s="3" t="s">
        <v>653</v>
      </c>
      <c r="D3081" s="3"/>
      <c r="E3081" s="2" t="str">
        <f>HYPERLINK("https://old.ukr-mobil.com/displej_samsung_j250_galaxy_j2_2018_s_tachskrinom_oled_gold_10125", "Перейти")</f>
        <v>Перейти</v>
      </c>
      <c r="F3081" s="2">
        <v>10125</v>
      </c>
      <c r="G3081" s="4" t="s">
        <v>3217</v>
      </c>
      <c r="H3081" s="1">
        <v>0</v>
      </c>
      <c r="I3081" s="1">
        <v>0</v>
      </c>
      <c r="J3081" s="1">
        <v>0</v>
      </c>
      <c r="K3081" s="2">
        <v>25.0</v>
      </c>
    </row>
    <row r="3082" spans="1:12">
      <c r="A3082" s="3" t="s">
        <v>2194</v>
      </c>
      <c r="B3082" s="3" t="s">
        <v>2526</v>
      </c>
      <c r="C3082" s="3" t="s">
        <v>653</v>
      </c>
      <c r="D3082" s="3"/>
      <c r="E3082" s="2" t="str">
        <f>HYPERLINK("https://old.ukr-mobil.com/displej_samsung_j250_galaxy_j2_2018_s_tachskrinom_tft_s_reguliruemoj_podsvetkoj_black_10765", "Перейти")</f>
        <v>Перейти</v>
      </c>
      <c r="F3082" s="2">
        <v>10765</v>
      </c>
      <c r="G3082" s="4" t="s">
        <v>3218</v>
      </c>
      <c r="H3082" s="1">
        <v>1</v>
      </c>
      <c r="I3082" s="1">
        <v>0</v>
      </c>
      <c r="J3082" s="1">
        <v>0</v>
      </c>
      <c r="K3082" s="2">
        <v>9.0</v>
      </c>
    </row>
    <row r="3083" spans="1:12">
      <c r="A3083" s="3" t="s">
        <v>2194</v>
      </c>
      <c r="B3083" s="3" t="s">
        <v>2526</v>
      </c>
      <c r="C3083" s="3" t="s">
        <v>653</v>
      </c>
      <c r="D3083" s="3"/>
      <c r="E3083" s="2" t="str">
        <f>HYPERLINK("https://old.ukr-mobil.com/displej_samsung_j250_galaxy_j2_2018_s_tachskrinom_tft_s_reguliruemoj_podsvetkoj_gold_10766", "Перейти")</f>
        <v>Перейти</v>
      </c>
      <c r="F3083" s="2">
        <v>10766</v>
      </c>
      <c r="G3083" s="4" t="s">
        <v>3219</v>
      </c>
      <c r="H3083" s="1">
        <v>0</v>
      </c>
      <c r="I3083" s="1">
        <v>0</v>
      </c>
      <c r="J3083" s="1">
        <v>0</v>
      </c>
      <c r="K3083" s="2">
        <v>9.0</v>
      </c>
    </row>
    <row r="3084" spans="1:12">
      <c r="A3084" s="3" t="s">
        <v>2194</v>
      </c>
      <c r="B3084" s="3" t="s">
        <v>2526</v>
      </c>
      <c r="C3084" s="3" t="s">
        <v>653</v>
      </c>
      <c r="D3084" s="3"/>
      <c r="E3084" s="2" t="str">
        <f>HYPERLINK("https://old.ukr-mobil.com/displej_samsung_j250_galaxy_j2_2018_s_tachskrinom_tft_s_reguliruemoj_podsvetkoj_white_10000430", "Перейти")</f>
        <v>Перейти</v>
      </c>
      <c r="F3084" s="2">
        <v>10000430</v>
      </c>
      <c r="G3084" s="4" t="s">
        <v>3220</v>
      </c>
      <c r="H3084" s="1">
        <v>0</v>
      </c>
      <c r="I3084" s="1">
        <v>0</v>
      </c>
      <c r="J3084" s="1">
        <v>0</v>
      </c>
      <c r="K3084" s="2">
        <v>9.0</v>
      </c>
    </row>
    <row r="3085" spans="1:12">
      <c r="A3085" s="3" t="s">
        <v>2194</v>
      </c>
      <c r="B3085" s="3" t="s">
        <v>2526</v>
      </c>
      <c r="C3085" s="3" t="s">
        <v>653</v>
      </c>
      <c r="D3085" s="3"/>
      <c r="E3085" s="2" t="str">
        <f>HYPERLINK("https://old.ukr-mobil.com/displej_samsung_j250_galaxy_j2_2018_gh97-21339a_service_pack_original_s_tachskrinom_black_11184", "Перейти")</f>
        <v>Перейти</v>
      </c>
      <c r="F3085" s="2">
        <v>11184</v>
      </c>
      <c r="G3085" s="4" t="s">
        <v>3221</v>
      </c>
      <c r="H3085" s="1">
        <v>0</v>
      </c>
      <c r="I3085" s="1">
        <v>0</v>
      </c>
      <c r="J3085" s="1">
        <v>0</v>
      </c>
      <c r="K3085" s="2">
        <v>54.0</v>
      </c>
    </row>
    <row r="3086" spans="1:12">
      <c r="A3086" s="3" t="s">
        <v>2194</v>
      </c>
      <c r="B3086" s="3" t="s">
        <v>2526</v>
      </c>
      <c r="C3086" s="3" t="s">
        <v>653</v>
      </c>
      <c r="D3086" s="3"/>
      <c r="E3086" s="2" t="str">
        <f>HYPERLINK("https://old.ukr-mobil.com/displej_samsung_j250_galaxy_j2_2018_gh97-21339b_service_pack_original_s_tachskrinom_blue_11185", "Перейти")</f>
        <v>Перейти</v>
      </c>
      <c r="F3086" s="2">
        <v>11185</v>
      </c>
      <c r="G3086" s="4" t="s">
        <v>3222</v>
      </c>
      <c r="H3086" s="1">
        <v>0</v>
      </c>
      <c r="I3086" s="1">
        <v>0</v>
      </c>
      <c r="J3086" s="1">
        <v>0</v>
      </c>
      <c r="K3086" s="2">
        <v>54.0</v>
      </c>
    </row>
    <row r="3087" spans="1:12">
      <c r="A3087" s="3" t="s">
        <v>2194</v>
      </c>
      <c r="B3087" s="3" t="s">
        <v>2526</v>
      </c>
      <c r="C3087" s="3" t="s">
        <v>653</v>
      </c>
      <c r="D3087" s="3"/>
      <c r="E3087" s="2" t="str">
        <f>HYPERLINK("https://old.ukr-mobil.com/displej_samsung_j250_galaxy_j2_2018_gh97-21339c_service_pack_original_s_tachskrinom_pink_11742", "Перейти")</f>
        <v>Перейти</v>
      </c>
      <c r="F3087" s="2">
        <v>11742</v>
      </c>
      <c r="G3087" s="4" t="s">
        <v>3223</v>
      </c>
      <c r="H3087" s="1">
        <v>0</v>
      </c>
      <c r="I3087" s="1">
        <v>0</v>
      </c>
      <c r="J3087" s="1">
        <v>0</v>
      </c>
      <c r="K3087" s="2">
        <v>54.43</v>
      </c>
    </row>
    <row r="3088" spans="1:12">
      <c r="A3088" s="3" t="s">
        <v>2194</v>
      </c>
      <c r="B3088" s="3" t="s">
        <v>2526</v>
      </c>
      <c r="C3088" s="3" t="s">
        <v>653</v>
      </c>
      <c r="D3088" s="3"/>
      <c r="E3088" s="2" t="str">
        <f>HYPERLINK("https://old.ukr-mobil.com/displej_samsung_j250_galaxy_j2_2018_gh97-21339d_service_pack_original_s_tachskrinom_gold_11385", "Перейти")</f>
        <v>Перейти</v>
      </c>
      <c r="F3088" s="2">
        <v>11385</v>
      </c>
      <c r="G3088" s="4" t="s">
        <v>3224</v>
      </c>
      <c r="H3088" s="1">
        <v>0</v>
      </c>
      <c r="I3088" s="1">
        <v>0</v>
      </c>
      <c r="J3088" s="1">
        <v>0</v>
      </c>
      <c r="K3088" s="2">
        <v>54.0</v>
      </c>
    </row>
    <row r="3089" spans="1:12">
      <c r="A3089" s="3" t="s">
        <v>2194</v>
      </c>
      <c r="B3089" s="3" t="s">
        <v>2526</v>
      </c>
      <c r="C3089" s="3" t="s">
        <v>653</v>
      </c>
      <c r="D3089" s="3"/>
      <c r="E3089" s="2" t="str">
        <f>HYPERLINK("https://old.ukr-mobil.com/displej_samsung_j320_galaxy_j3_2016_s_tachskrinom_incell_gold_10001060", "Перейти")</f>
        <v>Перейти</v>
      </c>
      <c r="F3089" s="2">
        <v>10001060</v>
      </c>
      <c r="G3089" s="4" t="s">
        <v>3225</v>
      </c>
      <c r="H3089" s="1">
        <v>0</v>
      </c>
      <c r="I3089" s="1">
        <v>0</v>
      </c>
      <c r="J3089" s="1">
        <v>0</v>
      </c>
      <c r="K3089" s="2">
        <v>10.0</v>
      </c>
    </row>
    <row r="3090" spans="1:12">
      <c r="A3090" s="3" t="s">
        <v>2194</v>
      </c>
      <c r="B3090" s="3" t="s">
        <v>2526</v>
      </c>
      <c r="C3090" s="3" t="s">
        <v>653</v>
      </c>
      <c r="D3090" s="3"/>
      <c r="E3090" s="2" t="str">
        <f>HYPERLINK("https://old.ukr-mobil.com/displej_samsung_j320_galaxy_j3_2016_s_tachskrinom_oled_black_8032", "Перейти")</f>
        <v>Перейти</v>
      </c>
      <c r="F3090" s="2">
        <v>8032</v>
      </c>
      <c r="G3090" s="4" t="s">
        <v>3226</v>
      </c>
      <c r="H3090" s="1">
        <v>0</v>
      </c>
      <c r="I3090" s="1">
        <v>0</v>
      </c>
      <c r="J3090" s="1">
        <v>0</v>
      </c>
      <c r="K3090" s="2">
        <v>15.0</v>
      </c>
    </row>
    <row r="3091" spans="1:12">
      <c r="A3091" s="3" t="s">
        <v>2194</v>
      </c>
      <c r="B3091" s="3" t="s">
        <v>2526</v>
      </c>
      <c r="C3091" s="3" t="s">
        <v>653</v>
      </c>
      <c r="D3091" s="3"/>
      <c r="E3091" s="2" t="str">
        <f>HYPERLINK("https://old.ukr-mobil.com/displej_samsung_j320_galaxy_j3_2016_s_tachskrinom_tft_s_reguliruemoj_podsvetkoj_black_8860", "Перейти")</f>
        <v>Перейти</v>
      </c>
      <c r="F3091" s="2">
        <v>8860</v>
      </c>
      <c r="G3091" s="4" t="s">
        <v>3227</v>
      </c>
      <c r="H3091" s="1">
        <v>0</v>
      </c>
      <c r="I3091" s="1">
        <v>0</v>
      </c>
      <c r="J3091" s="1">
        <v>0</v>
      </c>
      <c r="K3091" s="2">
        <v>10.0</v>
      </c>
    </row>
    <row r="3092" spans="1:12">
      <c r="A3092" s="3" t="s">
        <v>2194</v>
      </c>
      <c r="B3092" s="3" t="s">
        <v>2526</v>
      </c>
      <c r="C3092" s="3" t="s">
        <v>653</v>
      </c>
      <c r="D3092" s="3"/>
      <c r="E3092" s="2" t="str">
        <f>HYPERLINK("https://old.ukr-mobil.com/displej_samsung_j320_galaxy_j3_2016_s_tachskrinom_tft_s_reguliruemoj_podsvetkoj_gold_8862", "Перейти")</f>
        <v>Перейти</v>
      </c>
      <c r="F3092" s="2">
        <v>8862</v>
      </c>
      <c r="G3092" s="4" t="s">
        <v>3228</v>
      </c>
      <c r="H3092" s="1">
        <v>0</v>
      </c>
      <c r="I3092" s="1">
        <v>0</v>
      </c>
      <c r="J3092" s="1">
        <v>0</v>
      </c>
      <c r="K3092" s="2">
        <v>8.0</v>
      </c>
    </row>
    <row r="3093" spans="1:12">
      <c r="A3093" s="3" t="s">
        <v>2194</v>
      </c>
      <c r="B3093" s="3" t="s">
        <v>2526</v>
      </c>
      <c r="C3093" s="3" t="s">
        <v>653</v>
      </c>
      <c r="D3093" s="3"/>
      <c r="E3093" s="2" t="str">
        <f>HYPERLINK("https://old.ukr-mobil.com/displej_samsung_j320_galaxy_j3_2016_s_tachskrinom_tft_s_reguliruemoj_podsvetkoj_white_8861", "Перейти")</f>
        <v>Перейти</v>
      </c>
      <c r="F3093" s="2">
        <v>8861</v>
      </c>
      <c r="G3093" s="4" t="s">
        <v>3229</v>
      </c>
      <c r="H3093" s="1">
        <v>0</v>
      </c>
      <c r="I3093" s="1">
        <v>0</v>
      </c>
      <c r="J3093" s="1">
        <v>0</v>
      </c>
      <c r="K3093" s="2">
        <v>5.0</v>
      </c>
    </row>
    <row r="3094" spans="1:12">
      <c r="A3094" s="3" t="s">
        <v>2194</v>
      </c>
      <c r="B3094" s="3" t="s">
        <v>2526</v>
      </c>
      <c r="C3094" s="3" t="s">
        <v>653</v>
      </c>
      <c r="D3094" s="3"/>
      <c r="E3094" s="2" t="str">
        <f>HYPERLINK("https://old.ukr-mobil.com/index.php?route=product&amp;product_id=10004731", "Перейти")</f>
        <v>Перейти</v>
      </c>
      <c r="F3094" s="2">
        <v>10004731</v>
      </c>
      <c r="G3094" s="4" t="s">
        <v>3230</v>
      </c>
      <c r="H3094" s="1">
        <v>1</v>
      </c>
      <c r="I3094" s="1">
        <v>0</v>
      </c>
      <c r="J3094" s="1">
        <v>0</v>
      </c>
      <c r="K3094" s="2">
        <v>30.0</v>
      </c>
    </row>
    <row r="3095" spans="1:12">
      <c r="A3095" s="3" t="s">
        <v>2194</v>
      </c>
      <c r="B3095" s="3" t="s">
        <v>2526</v>
      </c>
      <c r="C3095" s="3" t="s">
        <v>653</v>
      </c>
      <c r="D3095" s="3"/>
      <c r="E3095" s="2" t="str">
        <f>HYPERLINK("https://old.ukr-mobil.com/displej_samsung_j330_galaxy_j3_2017_gh96-10992a_s_tachskrinom_service_pack_silver_10002262", "Перейти")</f>
        <v>Перейти</v>
      </c>
      <c r="F3095" s="2">
        <v>10002262</v>
      </c>
      <c r="G3095" s="4" t="s">
        <v>3231</v>
      </c>
      <c r="H3095" s="1">
        <v>1</v>
      </c>
      <c r="I3095" s="1">
        <v>0</v>
      </c>
      <c r="J3095" s="1">
        <v>0</v>
      </c>
      <c r="K3095" s="2">
        <v>30.0</v>
      </c>
    </row>
    <row r="3096" spans="1:12">
      <c r="A3096" s="3" t="s">
        <v>2194</v>
      </c>
      <c r="B3096" s="3" t="s">
        <v>2526</v>
      </c>
      <c r="C3096" s="3" t="s">
        <v>653</v>
      </c>
      <c r="D3096" s="3"/>
      <c r="E3096" s="2" t="str">
        <f>HYPERLINK("https://old.ukr-mobil.com/displej_samsung_j330_galaxy_j3_2017_s_tachskrinom_original_prc_black_9249", "Перейти")</f>
        <v>Перейти</v>
      </c>
      <c r="F3096" s="2">
        <v>9249</v>
      </c>
      <c r="G3096" s="4" t="s">
        <v>3232</v>
      </c>
      <c r="H3096" s="1">
        <v>0</v>
      </c>
      <c r="I3096" s="1">
        <v>2</v>
      </c>
      <c r="J3096" s="1">
        <v>0</v>
      </c>
      <c r="K3096" s="2">
        <v>18.0</v>
      </c>
    </row>
    <row r="3097" spans="1:12">
      <c r="A3097" s="3" t="s">
        <v>2194</v>
      </c>
      <c r="B3097" s="3" t="s">
        <v>2526</v>
      </c>
      <c r="C3097" s="3" t="s">
        <v>653</v>
      </c>
      <c r="D3097" s="3"/>
      <c r="E3097" s="2" t="str">
        <f>HYPERLINK("https://old.ukr-mobil.com/displej_samsung_j330_galaxy_j3_2017_s_tachskrinom_original_prc_blue_9251", "Перейти")</f>
        <v>Перейти</v>
      </c>
      <c r="F3097" s="2">
        <v>9251</v>
      </c>
      <c r="G3097" s="4" t="s">
        <v>3233</v>
      </c>
      <c r="H3097" s="1">
        <v>0</v>
      </c>
      <c r="I3097" s="1">
        <v>0</v>
      </c>
      <c r="J3097" s="1">
        <v>0</v>
      </c>
      <c r="K3097" s="2">
        <v>14.5</v>
      </c>
    </row>
    <row r="3098" spans="1:12">
      <c r="A3098" s="3" t="s">
        <v>2194</v>
      </c>
      <c r="B3098" s="3" t="s">
        <v>2526</v>
      </c>
      <c r="C3098" s="3" t="s">
        <v>653</v>
      </c>
      <c r="D3098" s="3"/>
      <c r="E3098" s="2" t="str">
        <f>HYPERLINK("https://old.ukr-mobil.com/displej_samsung_j330_galaxy_j3_2017_s_tachskrinom_original_prc_gold_9250", "Перейти")</f>
        <v>Перейти</v>
      </c>
      <c r="F3098" s="2">
        <v>9250</v>
      </c>
      <c r="G3098" s="4" t="s">
        <v>3234</v>
      </c>
      <c r="H3098" s="1">
        <v>0</v>
      </c>
      <c r="I3098" s="1">
        <v>0</v>
      </c>
      <c r="J3098" s="1">
        <v>0</v>
      </c>
      <c r="K3098" s="2">
        <v>14.5</v>
      </c>
    </row>
    <row r="3099" spans="1:12">
      <c r="A3099" s="3" t="s">
        <v>2194</v>
      </c>
      <c r="B3099" s="3" t="s">
        <v>2526</v>
      </c>
      <c r="C3099" s="3" t="s">
        <v>653</v>
      </c>
      <c r="D3099" s="3"/>
      <c r="E3099" s="2" t="str">
        <f>HYPERLINK("https://old.ukr-mobil.com/displej_samsung_j400_galaxy_j4_2018_s_tachskrinom_oled_black_10985", "Перейти")</f>
        <v>Перейти</v>
      </c>
      <c r="F3099" s="2">
        <v>10985</v>
      </c>
      <c r="G3099" s="4" t="s">
        <v>3235</v>
      </c>
      <c r="H3099" s="1">
        <v>2</v>
      </c>
      <c r="I3099" s="1">
        <v>0</v>
      </c>
      <c r="J3099" s="1">
        <v>0</v>
      </c>
      <c r="K3099" s="2">
        <v>24.0</v>
      </c>
    </row>
    <row r="3100" spans="1:12">
      <c r="A3100" s="3" t="s">
        <v>2194</v>
      </c>
      <c r="B3100" s="3" t="s">
        <v>2526</v>
      </c>
      <c r="C3100" s="3" t="s">
        <v>653</v>
      </c>
      <c r="D3100" s="3"/>
      <c r="E3100" s="2" t="str">
        <f>HYPERLINK("https://old.ukr-mobil.com/displej_samsung_j400_galaxy_j4_2018_s_tachskrinom_oled_gold_10457", "Перейти")</f>
        <v>Перейти</v>
      </c>
      <c r="F3100" s="2">
        <v>10457</v>
      </c>
      <c r="G3100" s="4" t="s">
        <v>3236</v>
      </c>
      <c r="H3100" s="1">
        <v>0</v>
      </c>
      <c r="I3100" s="1">
        <v>0</v>
      </c>
      <c r="J3100" s="1">
        <v>0</v>
      </c>
      <c r="K3100" s="2">
        <v>25.4</v>
      </c>
    </row>
    <row r="3101" spans="1:12">
      <c r="A3101" s="3" t="s">
        <v>2194</v>
      </c>
      <c r="B3101" s="3" t="s">
        <v>2526</v>
      </c>
      <c r="C3101" s="3" t="s">
        <v>653</v>
      </c>
      <c r="D3101" s="3"/>
      <c r="E3101" s="2" t="str">
        <f>HYPERLINK("https://old.ukr-mobil.com/displej_samsung_j400_galaxy_j4_2018_s_tachskrinom_oled_silver_lavenda_10456", "Перейти")</f>
        <v>Перейти</v>
      </c>
      <c r="F3101" s="2">
        <v>10456</v>
      </c>
      <c r="G3101" s="4" t="s">
        <v>3237</v>
      </c>
      <c r="H3101" s="1">
        <v>0</v>
      </c>
      <c r="I3101" s="1">
        <v>0</v>
      </c>
      <c r="J3101" s="1">
        <v>0</v>
      </c>
      <c r="K3101" s="2">
        <v>25.4</v>
      </c>
    </row>
    <row r="3102" spans="1:12">
      <c r="A3102" s="3" t="s">
        <v>2194</v>
      </c>
      <c r="B3102" s="3" t="s">
        <v>2526</v>
      </c>
      <c r="C3102" s="3" t="s">
        <v>653</v>
      </c>
      <c r="D3102" s="3"/>
      <c r="E3102" s="2" t="str">
        <f>HYPERLINK("https://old.ukr-mobil.com/displej_samsung_j400_galaxy_j4_2018_s_tachskrinom_tft_s_reguliruemoj_podsvetkoj_blue_11146", "Перейти")</f>
        <v>Перейти</v>
      </c>
      <c r="F3102" s="2">
        <v>11146</v>
      </c>
      <c r="G3102" s="4" t="s">
        <v>3238</v>
      </c>
      <c r="H3102" s="1">
        <v>0</v>
      </c>
      <c r="I3102" s="1">
        <v>0</v>
      </c>
      <c r="J3102" s="1">
        <v>0</v>
      </c>
      <c r="K3102" s="2">
        <v>7.0</v>
      </c>
    </row>
    <row r="3103" spans="1:12">
      <c r="A3103" s="3" t="s">
        <v>2194</v>
      </c>
      <c r="B3103" s="3" t="s">
        <v>2526</v>
      </c>
      <c r="C3103" s="3" t="s">
        <v>653</v>
      </c>
      <c r="D3103" s="3"/>
      <c r="E3103" s="2" t="str">
        <f>HYPERLINK("https://old.ukr-mobil.com/displej_samsung_j400_galaxy_j4_2018_s_tachskrinom_tft_s_reguliruemoj_podsvetkoj_gold_11145", "Перейти")</f>
        <v>Перейти</v>
      </c>
      <c r="F3103" s="2">
        <v>11145</v>
      </c>
      <c r="G3103" s="4" t="s">
        <v>3239</v>
      </c>
      <c r="H3103" s="1">
        <v>1</v>
      </c>
      <c r="I3103" s="1">
        <v>0</v>
      </c>
      <c r="J3103" s="1">
        <v>0</v>
      </c>
      <c r="K3103" s="2">
        <v>9.0</v>
      </c>
    </row>
    <row r="3104" spans="1:12">
      <c r="A3104" s="3" t="s">
        <v>2194</v>
      </c>
      <c r="B3104" s="3" t="s">
        <v>2526</v>
      </c>
      <c r="C3104" s="3" t="s">
        <v>653</v>
      </c>
      <c r="D3104" s="3"/>
      <c r="E3104" s="2" t="str">
        <f>HYPERLINK("https://old.ukr-mobil.com/displej_samsung_j400_galaxy_j4_2018_gh97-21915a_service_pack_original_s_tachskrinom_black_11186", "Перейти")</f>
        <v>Перейти</v>
      </c>
      <c r="F3104" s="2">
        <v>11186</v>
      </c>
      <c r="G3104" s="4" t="s">
        <v>3240</v>
      </c>
      <c r="H3104" s="1">
        <v>0</v>
      </c>
      <c r="I3104" s="1">
        <v>0</v>
      </c>
      <c r="J3104" s="1">
        <v>0</v>
      </c>
      <c r="K3104" s="2">
        <v>63.0</v>
      </c>
    </row>
    <row r="3105" spans="1:12">
      <c r="A3105" s="3" t="s">
        <v>2194</v>
      </c>
      <c r="B3105" s="3" t="s">
        <v>2526</v>
      </c>
      <c r="C3105" s="3" t="s">
        <v>653</v>
      </c>
      <c r="D3105" s="3"/>
      <c r="E3105" s="2" t="str">
        <f>HYPERLINK("https://old.ukr-mobil.com/displej_samsung_j400_galaxy_j4_2018_gh97-21915b_service_pack_original_s_tachskrinom_gold_12305", "Перейти")</f>
        <v>Перейти</v>
      </c>
      <c r="F3105" s="2">
        <v>12305</v>
      </c>
      <c r="G3105" s="4" t="s">
        <v>3241</v>
      </c>
      <c r="H3105" s="1">
        <v>0</v>
      </c>
      <c r="I3105" s="1">
        <v>0</v>
      </c>
      <c r="J3105" s="1">
        <v>0</v>
      </c>
      <c r="K3105" s="2">
        <v>63.0</v>
      </c>
    </row>
    <row r="3106" spans="1:12">
      <c r="A3106" s="3" t="s">
        <v>2194</v>
      </c>
      <c r="B3106" s="3" t="s">
        <v>2526</v>
      </c>
      <c r="C3106" s="3" t="s">
        <v>653</v>
      </c>
      <c r="D3106" s="3"/>
      <c r="E3106" s="2" t="str">
        <f>HYPERLINK("https://old.ukr-mobil.com/displej_samsung_j400_galaxy_j4_2018_gh97-21915c_service_pack_original_s_tachskrinom_siver_lavenda_11770", "Перейти")</f>
        <v>Перейти</v>
      </c>
      <c r="F3106" s="2">
        <v>11770</v>
      </c>
      <c r="G3106" s="4" t="s">
        <v>3242</v>
      </c>
      <c r="H3106" s="1">
        <v>0</v>
      </c>
      <c r="I3106" s="1">
        <v>0</v>
      </c>
      <c r="J3106" s="1">
        <v>0</v>
      </c>
      <c r="K3106" s="2">
        <v>63.0</v>
      </c>
    </row>
    <row r="3107" spans="1:12">
      <c r="A3107" s="3" t="s">
        <v>2194</v>
      </c>
      <c r="B3107" s="3" t="s">
        <v>2526</v>
      </c>
      <c r="C3107" s="3" t="s">
        <v>653</v>
      </c>
      <c r="D3107" s="3"/>
      <c r="E3107" s="2" t="str">
        <f>HYPERLINK("https://old.ukr-mobil.com/displej_samsung_j415_galaxy_j4_plus_2018_gh97-22582a_service_pack_original_s_tachskrinom_black_10000334", "Перейти")</f>
        <v>Перейти</v>
      </c>
      <c r="F3107" s="2">
        <v>10000334</v>
      </c>
      <c r="G3107" s="4" t="s">
        <v>3243</v>
      </c>
      <c r="H3107" s="1">
        <v>0</v>
      </c>
      <c r="I3107" s="1">
        <v>0</v>
      </c>
      <c r="J3107" s="1">
        <v>0</v>
      </c>
      <c r="K3107" s="2">
        <v>52.42</v>
      </c>
    </row>
    <row r="3108" spans="1:12">
      <c r="A3108" s="3" t="s">
        <v>2194</v>
      </c>
      <c r="B3108" s="3" t="s">
        <v>2526</v>
      </c>
      <c r="C3108" s="3" t="s">
        <v>653</v>
      </c>
      <c r="D3108" s="3"/>
      <c r="E3108" s="2" t="str">
        <f>HYPERLINK("https://old.ukr-mobil.com/displej_samsung_j510_galaxy_j5_2016_s_tachskrinom_oled_gold_6394", "Перейти")</f>
        <v>Перейти</v>
      </c>
      <c r="F3108" s="2">
        <v>6394</v>
      </c>
      <c r="G3108" s="4" t="s">
        <v>3244</v>
      </c>
      <c r="H3108" s="1">
        <v>3</v>
      </c>
      <c r="I3108" s="1">
        <v>0</v>
      </c>
      <c r="J3108" s="1">
        <v>0</v>
      </c>
      <c r="K3108" s="2">
        <v>32.0</v>
      </c>
    </row>
    <row r="3109" spans="1:12">
      <c r="A3109" s="3" t="s">
        <v>2194</v>
      </c>
      <c r="B3109" s="3" t="s">
        <v>2526</v>
      </c>
      <c r="C3109" s="3" t="s">
        <v>653</v>
      </c>
      <c r="D3109" s="3"/>
      <c r="E3109" s="2" t="str">
        <f>HYPERLINK("https://old.ukr-mobil.com/displej_samsung_j510_galaxy_j5_2016_s_tachskrinom_tft_s_reguliruemoj_podsvetkoj_black_10768", "Перейти")</f>
        <v>Перейти</v>
      </c>
      <c r="F3109" s="2">
        <v>10768</v>
      </c>
      <c r="G3109" s="4" t="s">
        <v>3245</v>
      </c>
      <c r="H3109" s="1">
        <v>0</v>
      </c>
      <c r="I3109" s="1">
        <v>0</v>
      </c>
      <c r="J3109" s="1">
        <v>0</v>
      </c>
      <c r="K3109" s="2">
        <v>9.0</v>
      </c>
    </row>
    <row r="3110" spans="1:12">
      <c r="A3110" s="3" t="s">
        <v>2194</v>
      </c>
      <c r="B3110" s="3" t="s">
        <v>2526</v>
      </c>
      <c r="C3110" s="3" t="s">
        <v>653</v>
      </c>
      <c r="D3110" s="3"/>
      <c r="E3110" s="2" t="str">
        <f>HYPERLINK("https://old.ukr-mobil.com/displej_samsung_j510_galaxy_j5_2016_s_tachskrinom_tft_s_reguliruemoj_podsvetkoj_gold_10769", "Перейти")</f>
        <v>Перейти</v>
      </c>
      <c r="F3110" s="2">
        <v>10769</v>
      </c>
      <c r="G3110" s="4" t="s">
        <v>3246</v>
      </c>
      <c r="H3110" s="1">
        <v>0</v>
      </c>
      <c r="I3110" s="1">
        <v>0</v>
      </c>
      <c r="J3110" s="1">
        <v>0</v>
      </c>
      <c r="K3110" s="2">
        <v>8.0</v>
      </c>
    </row>
    <row r="3111" spans="1:12">
      <c r="A3111" s="3" t="s">
        <v>2194</v>
      </c>
      <c r="B3111" s="3" t="s">
        <v>2526</v>
      </c>
      <c r="C3111" s="3" t="s">
        <v>653</v>
      </c>
      <c r="D3111" s="3"/>
      <c r="E3111" s="2" t="str">
        <f>HYPERLINK("https://old.ukr-mobil.com/displej_samsung_j510_galaxy_j5_2016_s_tachskrinom_tft_s_reguliruemoj_podsvetkoj_white_10770", "Перейти")</f>
        <v>Перейти</v>
      </c>
      <c r="F3111" s="2">
        <v>10770</v>
      </c>
      <c r="G3111" s="4" t="s">
        <v>3247</v>
      </c>
      <c r="H3111" s="1">
        <v>0</v>
      </c>
      <c r="I3111" s="1">
        <v>0</v>
      </c>
      <c r="J3111" s="1">
        <v>0</v>
      </c>
      <c r="K3111" s="2">
        <v>8.0</v>
      </c>
    </row>
    <row r="3112" spans="1:12">
      <c r="A3112" s="3" t="s">
        <v>2194</v>
      </c>
      <c r="B3112" s="3" t="s">
        <v>2526</v>
      </c>
      <c r="C3112" s="3" t="s">
        <v>653</v>
      </c>
      <c r="D3112" s="3"/>
      <c r="E3112" s="2" t="str">
        <f>HYPERLINK("https://old.ukr-mobil.com/displej_samsung_j610_galaxy_j6_plus_2018_j415_galaxy_j4_plus_2018_gh97-22582a_s_tachskrinom_original_black_10000564", "Перейти")</f>
        <v>Перейти</v>
      </c>
      <c r="F3112" s="2">
        <v>10000564</v>
      </c>
      <c r="G3112" s="4" t="s">
        <v>3248</v>
      </c>
      <c r="H3112" s="1">
        <v>0</v>
      </c>
      <c r="I3112" s="1">
        <v>0</v>
      </c>
      <c r="J3112" s="1">
        <v>0</v>
      </c>
      <c r="K3112" s="2">
        <v>45.0</v>
      </c>
    </row>
    <row r="3113" spans="1:12">
      <c r="A3113" s="3" t="s">
        <v>2194</v>
      </c>
      <c r="B3113" s="3" t="s">
        <v>2526</v>
      </c>
      <c r="C3113" s="3" t="s">
        <v>653</v>
      </c>
      <c r="D3113" s="3"/>
      <c r="E3113" s="2" t="str">
        <f>HYPERLINK("https://old.ukr-mobil.com/displej_samsung_j610_galaxy_j6_plus_2018_j415_galaxy_j4_plus_2018_s_tachskrinom_original_prc_black_11197", "Перейти")</f>
        <v>Перейти</v>
      </c>
      <c r="F3113" s="2">
        <v>11197</v>
      </c>
      <c r="G3113" s="4" t="s">
        <v>3249</v>
      </c>
      <c r="H3113" s="1">
        <v>0</v>
      </c>
      <c r="I3113" s="1">
        <v>1</v>
      </c>
      <c r="J3113" s="1">
        <v>0</v>
      </c>
      <c r="K3113" s="2">
        <v>14.7</v>
      </c>
    </row>
    <row r="3114" spans="1:12">
      <c r="A3114" s="3" t="s">
        <v>2194</v>
      </c>
      <c r="B3114" s="3" t="s">
        <v>2526</v>
      </c>
      <c r="C3114" s="3" t="s">
        <v>653</v>
      </c>
      <c r="D3114" s="3"/>
      <c r="E3114" s="2" t="str">
        <f>HYPERLINK("https://old.ukr-mobil.com/displej_samsung_j700_galaxy_j7_s_tachskrinom_oled_gold_8351", "Перейти")</f>
        <v>Перейти</v>
      </c>
      <c r="F3114" s="2">
        <v>8351</v>
      </c>
      <c r="G3114" s="4" t="s">
        <v>3250</v>
      </c>
      <c r="H3114" s="1">
        <v>0</v>
      </c>
      <c r="I3114" s="1">
        <v>0</v>
      </c>
      <c r="J3114" s="1">
        <v>0</v>
      </c>
      <c r="K3114" s="2">
        <v>16.0</v>
      </c>
    </row>
    <row r="3115" spans="1:12">
      <c r="A3115" s="3" t="s">
        <v>2194</v>
      </c>
      <c r="B3115" s="3" t="s">
        <v>2526</v>
      </c>
      <c r="C3115" s="3" t="s">
        <v>653</v>
      </c>
      <c r="D3115" s="3"/>
      <c r="E3115" s="2" t="str">
        <f>HYPERLINK("https://old.ukr-mobil.com/displej_samsung_j700_galaxy_j7_s_tachskrinom_tft_s_reguliruemoj_podsvetkoj_white_10773", "Перейти")</f>
        <v>Перейти</v>
      </c>
      <c r="F3115" s="2">
        <v>10773</v>
      </c>
      <c r="G3115" s="4" t="s">
        <v>3251</v>
      </c>
      <c r="H3115" s="1">
        <v>0</v>
      </c>
      <c r="I3115" s="1">
        <v>0</v>
      </c>
      <c r="J3115" s="1">
        <v>0</v>
      </c>
      <c r="K3115" s="2">
        <v>7.0</v>
      </c>
    </row>
    <row r="3116" spans="1:12">
      <c r="A3116" s="3" t="s">
        <v>2194</v>
      </c>
      <c r="B3116" s="3" t="s">
        <v>2526</v>
      </c>
      <c r="C3116" s="3" t="s">
        <v>653</v>
      </c>
      <c r="D3116" s="3"/>
      <c r="E3116" s="2" t="str">
        <f>HYPERLINK("https://old.ukr-mobil.com/displej_samsung_j701_galaxy_j7_neo_gh97-20904a_s_tachskrinom_original_black_11242", "Перейти")</f>
        <v>Перейти</v>
      </c>
      <c r="F3116" s="2">
        <v>11242</v>
      </c>
      <c r="G3116" s="4" t="s">
        <v>3252</v>
      </c>
      <c r="H3116" s="1">
        <v>0</v>
      </c>
      <c r="I3116" s="1">
        <v>0</v>
      </c>
      <c r="J3116" s="1">
        <v>0</v>
      </c>
      <c r="K3116" s="2">
        <v>70.56</v>
      </c>
    </row>
    <row r="3117" spans="1:12">
      <c r="A3117" s="3" t="s">
        <v>2194</v>
      </c>
      <c r="B3117" s="3" t="s">
        <v>2526</v>
      </c>
      <c r="C3117" s="3" t="s">
        <v>653</v>
      </c>
      <c r="D3117" s="3"/>
      <c r="E3117" s="2" t="str">
        <f>HYPERLINK("https://old.ukr-mobil.com/displej_samsung_j701_galaxy_j7_neo_gh97-20904a_s_tachskrinom_original_blue_11244", "Перейти")</f>
        <v>Перейти</v>
      </c>
      <c r="F3117" s="2">
        <v>11244</v>
      </c>
      <c r="G3117" s="4" t="s">
        <v>3253</v>
      </c>
      <c r="H3117" s="1">
        <v>1</v>
      </c>
      <c r="I3117" s="1">
        <v>0</v>
      </c>
      <c r="J3117" s="1">
        <v>0</v>
      </c>
      <c r="K3117" s="2">
        <v>65.0</v>
      </c>
    </row>
    <row r="3118" spans="1:12">
      <c r="A3118" s="3" t="s">
        <v>2194</v>
      </c>
      <c r="B3118" s="3" t="s">
        <v>2526</v>
      </c>
      <c r="C3118" s="3" t="s">
        <v>653</v>
      </c>
      <c r="D3118" s="3"/>
      <c r="E3118" s="2" t="str">
        <f>HYPERLINK("https://old.ukr-mobil.com/displej_samsung_j701_galaxy_j7_neo_gh97-20904a_s_tachskrinom_original_gold_10000369", "Перейти")</f>
        <v>Перейти</v>
      </c>
      <c r="F3118" s="2">
        <v>10000369</v>
      </c>
      <c r="G3118" s="4" t="s">
        <v>3254</v>
      </c>
      <c r="H3118" s="1">
        <v>0</v>
      </c>
      <c r="I3118" s="1">
        <v>0</v>
      </c>
      <c r="J3118" s="1">
        <v>0</v>
      </c>
      <c r="K3118" s="2">
        <v>70.0</v>
      </c>
    </row>
    <row r="3119" spans="1:12">
      <c r="A3119" s="3" t="s">
        <v>2194</v>
      </c>
      <c r="B3119" s="3" t="s">
        <v>2526</v>
      </c>
      <c r="C3119" s="3" t="s">
        <v>653</v>
      </c>
      <c r="D3119" s="3"/>
      <c r="E3119" s="2" t="str">
        <f>HYPERLINK("https://old.ukr-mobil.com/displej_samsung_j701_galaxy_j7_neo_s_tachskrinom_oled_gold_11042", "Перейти")</f>
        <v>Перейти</v>
      </c>
      <c r="F3119" s="2">
        <v>11042</v>
      </c>
      <c r="G3119" s="4" t="s">
        <v>3255</v>
      </c>
      <c r="H3119" s="1">
        <v>0</v>
      </c>
      <c r="I3119" s="1">
        <v>0</v>
      </c>
      <c r="J3119" s="1">
        <v>1</v>
      </c>
      <c r="K3119" s="2">
        <v>26.0</v>
      </c>
    </row>
    <row r="3120" spans="1:12">
      <c r="A3120" s="3" t="s">
        <v>2194</v>
      </c>
      <c r="B3120" s="3" t="s">
        <v>2526</v>
      </c>
      <c r="C3120" s="3" t="s">
        <v>653</v>
      </c>
      <c r="D3120" s="3"/>
      <c r="E3120" s="2" t="str">
        <f>HYPERLINK("https://old.ukr-mobil.com/displej_samsung_j701_galaxy_j7_neo_s_tachskrinom_oled_white_10178", "Перейти")</f>
        <v>Перейти</v>
      </c>
      <c r="F3120" s="2">
        <v>10178</v>
      </c>
      <c r="G3120" s="4" t="s">
        <v>3256</v>
      </c>
      <c r="H3120" s="1">
        <v>9</v>
      </c>
      <c r="I3120" s="1">
        <v>3</v>
      </c>
      <c r="J3120" s="1">
        <v>5</v>
      </c>
      <c r="K3120" s="2">
        <v>18.3</v>
      </c>
    </row>
    <row r="3121" spans="1:12">
      <c r="A3121" s="3" t="s">
        <v>2194</v>
      </c>
      <c r="B3121" s="3" t="s">
        <v>2526</v>
      </c>
      <c r="C3121" s="3" t="s">
        <v>653</v>
      </c>
      <c r="D3121" s="3"/>
      <c r="E3121" s="2" t="str">
        <f>HYPERLINK("https://old.ukr-mobil.com/displej_samsung_j710f_galaxy_j7_j710h_galaxy_j7_2016_tft_podsvetka_original_s_tachskrinom_white_10779", "Перейти")</f>
        <v>Перейти</v>
      </c>
      <c r="F3121" s="2">
        <v>10779</v>
      </c>
      <c r="G3121" s="4" t="s">
        <v>3257</v>
      </c>
      <c r="H3121" s="1">
        <v>1</v>
      </c>
      <c r="I3121" s="1">
        <v>0</v>
      </c>
      <c r="J3121" s="1">
        <v>0</v>
      </c>
      <c r="K3121" s="2">
        <v>13.0</v>
      </c>
    </row>
    <row r="3122" spans="1:12">
      <c r="A3122" s="3" t="s">
        <v>2194</v>
      </c>
      <c r="B3122" s="3" t="s">
        <v>2526</v>
      </c>
      <c r="C3122" s="3" t="s">
        <v>653</v>
      </c>
      <c r="D3122" s="3"/>
      <c r="E3122" s="2" t="str">
        <f>HYPERLINK("https://old.ukr-mobil.com/displej_samsung_j730_galaxy_j7_2017_tft_podsvetka_original_s_tachskrinom_gold_10781", "Перейти")</f>
        <v>Перейти</v>
      </c>
      <c r="F3122" s="2">
        <v>10781</v>
      </c>
      <c r="G3122" s="4" t="s">
        <v>3258</v>
      </c>
      <c r="H3122" s="1">
        <v>0</v>
      </c>
      <c r="I3122" s="1">
        <v>0</v>
      </c>
      <c r="J3122" s="1">
        <v>0</v>
      </c>
      <c r="K3122" s="2">
        <v>9.0</v>
      </c>
    </row>
    <row r="3123" spans="1:12">
      <c r="A3123" s="3" t="s">
        <v>2194</v>
      </c>
      <c r="B3123" s="3" t="s">
        <v>2526</v>
      </c>
      <c r="C3123" s="3" t="s">
        <v>653</v>
      </c>
      <c r="D3123" s="3"/>
      <c r="E3123" s="2" t="str">
        <f>HYPERLINK("https://old.ukr-mobil.com/displej_samsung_j730_galaxy_j7_2017_s_tachskrinom_incell_blue_10000660", "Перейти")</f>
        <v>Перейти</v>
      </c>
      <c r="F3123" s="2">
        <v>10000660</v>
      </c>
      <c r="G3123" s="4" t="s">
        <v>3259</v>
      </c>
      <c r="H3123" s="1">
        <v>0</v>
      </c>
      <c r="I3123" s="1">
        <v>0</v>
      </c>
      <c r="J3123" s="1">
        <v>0</v>
      </c>
      <c r="K3123" s="2">
        <v>10.0</v>
      </c>
    </row>
    <row r="3124" spans="1:12">
      <c r="A3124" s="3" t="s">
        <v>2194</v>
      </c>
      <c r="B3124" s="3" t="s">
        <v>2526</v>
      </c>
      <c r="C3124" s="3" t="s">
        <v>653</v>
      </c>
      <c r="D3124" s="3"/>
      <c r="E3124" s="2" t="str">
        <f>HYPERLINK("https://old.ukr-mobil.com/displej_samsung_j730_galaxy_j7_2017_s_tachskrinom_oled_blue_9049", "Перейти")</f>
        <v>Перейти</v>
      </c>
      <c r="F3124" s="2">
        <v>9049</v>
      </c>
      <c r="G3124" s="4" t="s">
        <v>3260</v>
      </c>
      <c r="H3124" s="1">
        <v>1</v>
      </c>
      <c r="I3124" s="1">
        <v>0</v>
      </c>
      <c r="J3124" s="1">
        <v>1</v>
      </c>
      <c r="K3124" s="2">
        <v>22.0</v>
      </c>
    </row>
    <row r="3125" spans="1:12">
      <c r="A3125" s="3" t="s">
        <v>2194</v>
      </c>
      <c r="B3125" s="3" t="s">
        <v>2526</v>
      </c>
      <c r="C3125" s="3" t="s">
        <v>653</v>
      </c>
      <c r="D3125" s="3"/>
      <c r="E3125" s="2" t="str">
        <f>HYPERLINK("https://old.ukr-mobil.com/displej_samsung_j810_galaxy_j8_2018_gh97-22145a_service_pack_original_s_tachskrinom_black_12352", "Перейти")</f>
        <v>Перейти</v>
      </c>
      <c r="F3125" s="2">
        <v>12352</v>
      </c>
      <c r="G3125" s="4" t="s">
        <v>3261</v>
      </c>
      <c r="H3125" s="1">
        <v>0</v>
      </c>
      <c r="I3125" s="1">
        <v>0</v>
      </c>
      <c r="J3125" s="1">
        <v>0</v>
      </c>
      <c r="K3125" s="2">
        <v>80.0</v>
      </c>
    </row>
    <row r="3126" spans="1:12">
      <c r="A3126" s="3" t="s">
        <v>2194</v>
      </c>
      <c r="B3126" s="3" t="s">
        <v>2526</v>
      </c>
      <c r="C3126" s="3" t="s">
        <v>653</v>
      </c>
      <c r="D3126" s="3"/>
      <c r="E3126" s="2" t="str">
        <f>HYPERLINK("https://old.ukr-mobil.com/displej_samsung_j810_galaxy_j8_2018_tft_podsvetka_original_s_tachskrinom_gold_11757", "Перейти")</f>
        <v>Перейти</v>
      </c>
      <c r="F3126" s="2">
        <v>11757</v>
      </c>
      <c r="G3126" s="4" t="s">
        <v>3262</v>
      </c>
      <c r="H3126" s="1">
        <v>8</v>
      </c>
      <c r="I3126" s="1">
        <v>3</v>
      </c>
      <c r="J3126" s="1">
        <v>0</v>
      </c>
      <c r="K3126" s="2">
        <v>8.0</v>
      </c>
    </row>
    <row r="3127" spans="1:12">
      <c r="A3127" s="3" t="s">
        <v>2194</v>
      </c>
      <c r="B3127" s="3" t="s">
        <v>2526</v>
      </c>
      <c r="C3127" s="3" t="s">
        <v>653</v>
      </c>
      <c r="D3127" s="3"/>
      <c r="E3127" s="2" t="str">
        <f>HYPERLINK("https://old.ukr-mobil.com/displej_samsung_m025_galaxy_m02s_gh82-20118a_visota_163_mm_s_tachskrinom_service_pack_original_10002557", "Перейти")</f>
        <v>Перейти</v>
      </c>
      <c r="F3127" s="2">
        <v>10002557</v>
      </c>
      <c r="G3127" s="4" t="s">
        <v>3263</v>
      </c>
      <c r="H3127" s="1">
        <v>2</v>
      </c>
      <c r="I3127" s="1">
        <v>0</v>
      </c>
      <c r="J3127" s="1">
        <v>0</v>
      </c>
      <c r="K3127" s="2">
        <v>35.0</v>
      </c>
    </row>
    <row r="3128" spans="1:12">
      <c r="A3128" s="3" t="s">
        <v>2194</v>
      </c>
      <c r="B3128" s="3" t="s">
        <v>2526</v>
      </c>
      <c r="C3128" s="3" t="s">
        <v>653</v>
      </c>
      <c r="D3128" s="3"/>
      <c r="E3128" s="2" t="str">
        <f>HYPERLINK("https://old.ukr-mobil.com/displej_samsung_m115_galaxy_m11_2020_gh81-18736a_s_tachskrinom_ramkoj_original_10001190", "Перейти")</f>
        <v>Перейти</v>
      </c>
      <c r="F3128" s="2">
        <v>10001190</v>
      </c>
      <c r="G3128" s="4" t="s">
        <v>3264</v>
      </c>
      <c r="H3128" s="1">
        <v>2</v>
      </c>
      <c r="I3128" s="1">
        <v>0</v>
      </c>
      <c r="J3128" s="1">
        <v>0</v>
      </c>
      <c r="K3128" s="2">
        <v>49.0</v>
      </c>
    </row>
    <row r="3129" spans="1:12">
      <c r="A3129" s="3" t="s">
        <v>2194</v>
      </c>
      <c r="B3129" s="3" t="s">
        <v>2526</v>
      </c>
      <c r="C3129" s="3" t="s">
        <v>653</v>
      </c>
      <c r="D3129" s="3"/>
      <c r="E3129" s="2" t="str">
        <f>HYPERLINK("https://old.ukr-mobil.com/displej_samsung_m127_galaxy_m12_rev_m127f_v0_1_s_tachskrinom_s_ramkoj_original_prc_10002478", "Перейти")</f>
        <v>Перейти</v>
      </c>
      <c r="F3129" s="2">
        <v>10002478</v>
      </c>
      <c r="G3129" s="4" t="s">
        <v>3265</v>
      </c>
      <c r="H3129" s="1">
        <v>0</v>
      </c>
      <c r="I3129" s="1">
        <v>0</v>
      </c>
      <c r="J3129" s="1">
        <v>0</v>
      </c>
      <c r="K3129" s="2">
        <v>17.0</v>
      </c>
    </row>
    <row r="3130" spans="1:12">
      <c r="A3130" s="3" t="s">
        <v>2194</v>
      </c>
      <c r="B3130" s="3" t="s">
        <v>2526</v>
      </c>
      <c r="C3130" s="3" t="s">
        <v>653</v>
      </c>
      <c r="D3130" s="3"/>
      <c r="E3130" s="2" t="str">
        <f>HYPERLINK("https://old.ukr-mobil.com/displej_samsung_m127_galaxy_m12_gh82-25042a_s_tachskrinom_s_ramkoj_service_pack_original_black_10002427", "Перейти")</f>
        <v>Перейти</v>
      </c>
      <c r="F3130" s="2">
        <v>10002427</v>
      </c>
      <c r="G3130" s="4" t="s">
        <v>3266</v>
      </c>
      <c r="H3130" s="1">
        <v>0</v>
      </c>
      <c r="I3130" s="1">
        <v>0</v>
      </c>
      <c r="J3130" s="1">
        <v>0</v>
      </c>
      <c r="K3130" s="2">
        <v>28.0</v>
      </c>
    </row>
    <row r="3131" spans="1:12">
      <c r="A3131" s="3" t="s">
        <v>2194</v>
      </c>
      <c r="B3131" s="3" t="s">
        <v>2526</v>
      </c>
      <c r="C3131" s="3" t="s">
        <v>653</v>
      </c>
      <c r="D3131" s="3"/>
      <c r="E3131" s="2" t="str">
        <f>HYPERLINK("https://old.ukr-mobil.com/displej_samsung_m127_galaxy_m12_gh82-25042a_s_tachskrinom_service_pack_original_black_10002183", "Перейти")</f>
        <v>Перейти</v>
      </c>
      <c r="F3131" s="2">
        <v>10002183</v>
      </c>
      <c r="G3131" s="4" t="s">
        <v>3267</v>
      </c>
      <c r="H3131" s="1">
        <v>0</v>
      </c>
      <c r="I3131" s="1">
        <v>0</v>
      </c>
      <c r="J3131" s="1">
        <v>0</v>
      </c>
      <c r="K3131" s="2">
        <v>23.0</v>
      </c>
    </row>
    <row r="3132" spans="1:12">
      <c r="A3132" s="3" t="s">
        <v>2194</v>
      </c>
      <c r="B3132" s="3" t="s">
        <v>2526</v>
      </c>
      <c r="C3132" s="3" t="s">
        <v>653</v>
      </c>
      <c r="D3132" s="3"/>
      <c r="E3132" s="2" t="str">
        <f>HYPERLINK("https://old.ukr-mobil.com/displej_samsung_m135_galaxy_m13_gh82-29132a_rev_a13_lte_s_tachskrinom_s_ramkoj_service_pack_original_black_10003282", "Перейти")</f>
        <v>Перейти</v>
      </c>
      <c r="F3132" s="2">
        <v>10003282</v>
      </c>
      <c r="G3132" s="4" t="s">
        <v>3268</v>
      </c>
      <c r="H3132" s="1">
        <v>0</v>
      </c>
      <c r="I3132" s="1">
        <v>0</v>
      </c>
      <c r="J3132" s="1">
        <v>0</v>
      </c>
      <c r="K3132" s="2">
        <v>42.0</v>
      </c>
    </row>
    <row r="3133" spans="1:12">
      <c r="A3133" s="3" t="s">
        <v>2194</v>
      </c>
      <c r="B3133" s="3" t="s">
        <v>2526</v>
      </c>
      <c r="C3133" s="3" t="s">
        <v>653</v>
      </c>
      <c r="D3133" s="3"/>
      <c r="E3133" s="2" t="str">
        <f>HYPERLINK("https://old.ukr-mobil.com/displej_samsung_m146_galaxy_m14_5g_gh97-78919a_konnektor_48_pins_s_tachskrinom_service_pack_original_black_10004504", "Перейти")</f>
        <v>Перейти</v>
      </c>
      <c r="F3133" s="2">
        <v>10004504</v>
      </c>
      <c r="G3133" s="4" t="s">
        <v>3269</v>
      </c>
      <c r="H3133" s="1">
        <v>0</v>
      </c>
      <c r="I3133" s="1">
        <v>0</v>
      </c>
      <c r="J3133" s="1">
        <v>0</v>
      </c>
      <c r="K3133" s="2">
        <v>25.0</v>
      </c>
    </row>
    <row r="3134" spans="1:12">
      <c r="A3134" s="3" t="s">
        <v>2194</v>
      </c>
      <c r="B3134" s="3" t="s">
        <v>2526</v>
      </c>
      <c r="C3134" s="3" t="s">
        <v>653</v>
      </c>
      <c r="D3134" s="3"/>
      <c r="E3134" s="2" t="str">
        <f>HYPERLINK("https://old.ukr-mobil.com/displej_samsung_m146_galaxy_m14_gh82-29132a_konnektor_40_pins_s_tachskrinom_service_pack_original_black_10003292", "Перейти")</f>
        <v>Перейти</v>
      </c>
      <c r="F3134" s="2">
        <v>10003292</v>
      </c>
      <c r="G3134" s="4" t="s">
        <v>3270</v>
      </c>
      <c r="H3134" s="1">
        <v>0</v>
      </c>
      <c r="I3134" s="1">
        <v>2</v>
      </c>
      <c r="J3134" s="1">
        <v>0</v>
      </c>
      <c r="K3134" s="2">
        <v>25.0</v>
      </c>
    </row>
    <row r="3135" spans="1:12">
      <c r="A3135" s="3" t="s">
        <v>2194</v>
      </c>
      <c r="B3135" s="3" t="s">
        <v>2526</v>
      </c>
      <c r="C3135" s="3" t="s">
        <v>653</v>
      </c>
      <c r="D3135" s="3"/>
      <c r="E3135" s="2" t="str">
        <f>HYPERLINK("https://old.ukr-mobil.com/displej_samsung_m205_galaxy_m20_gh82-18682a_s_tachskrinom_service_pack_original_black_10001966", "Перейти")</f>
        <v>Перейти</v>
      </c>
      <c r="F3135" s="2">
        <v>10001966</v>
      </c>
      <c r="G3135" s="4" t="s">
        <v>3271</v>
      </c>
      <c r="H3135" s="1">
        <v>0</v>
      </c>
      <c r="I3135" s="1">
        <v>0</v>
      </c>
      <c r="J3135" s="1">
        <v>0</v>
      </c>
      <c r="K3135" s="2">
        <v>18.0</v>
      </c>
    </row>
    <row r="3136" spans="1:12">
      <c r="A3136" s="3" t="s">
        <v>2194</v>
      </c>
      <c r="B3136" s="3" t="s">
        <v>2526</v>
      </c>
      <c r="C3136" s="3" t="s">
        <v>653</v>
      </c>
      <c r="D3136" s="3"/>
      <c r="E3136" s="2" t="str">
        <f>HYPERLINK("https://old.ukr-mobil.com/displej_samsung_m205_galaxy_m20_gh82-18682a_s_tachskrinom_s_ramkoj_service_pack_original_black_10001970", "Перейти")</f>
        <v>Перейти</v>
      </c>
      <c r="F3136" s="2">
        <v>10001970</v>
      </c>
      <c r="G3136" s="4" t="s">
        <v>3272</v>
      </c>
      <c r="H3136" s="1">
        <v>1</v>
      </c>
      <c r="I3136" s="1">
        <v>0</v>
      </c>
      <c r="J3136" s="1">
        <v>0</v>
      </c>
      <c r="K3136" s="2">
        <v>59.0</v>
      </c>
    </row>
    <row r="3137" spans="1:12">
      <c r="A3137" s="3" t="s">
        <v>2194</v>
      </c>
      <c r="B3137" s="3" t="s">
        <v>2526</v>
      </c>
      <c r="C3137" s="3" t="s">
        <v>653</v>
      </c>
      <c r="D3137" s="3"/>
      <c r="E3137" s="2" t="str">
        <f>HYPERLINK("https://old.ukr-mobil.com/displej_samsung_m205_galaxy_m20_s_tachskrinom_original_prc_black_11462", "Перейти")</f>
        <v>Перейти</v>
      </c>
      <c r="F3137" s="2">
        <v>11462</v>
      </c>
      <c r="G3137" s="4" t="s">
        <v>3273</v>
      </c>
      <c r="H3137" s="1">
        <v>0</v>
      </c>
      <c r="I3137" s="1">
        <v>0</v>
      </c>
      <c r="J3137" s="1">
        <v>0</v>
      </c>
      <c r="K3137" s="2">
        <v>11.0</v>
      </c>
    </row>
    <row r="3138" spans="1:12">
      <c r="A3138" s="3" t="s">
        <v>2194</v>
      </c>
      <c r="B3138" s="3" t="s">
        <v>2526</v>
      </c>
      <c r="C3138" s="3" t="s">
        <v>653</v>
      </c>
      <c r="D3138" s="3"/>
      <c r="E3138" s="2" t="str">
        <f>HYPERLINK("https://old.ukr-mobil.com/displej_samsung_m215_galaxy_m21_s_tachskrinom_incell_black_10000799", "Перейти")</f>
        <v>Перейти</v>
      </c>
      <c r="F3138" s="2">
        <v>10000799</v>
      </c>
      <c r="G3138" s="4" t="s">
        <v>3274</v>
      </c>
      <c r="H3138" s="1">
        <v>0</v>
      </c>
      <c r="I3138" s="1">
        <v>0</v>
      </c>
      <c r="J3138" s="1">
        <v>0</v>
      </c>
      <c r="K3138" s="2">
        <v>11.0</v>
      </c>
    </row>
    <row r="3139" spans="1:12">
      <c r="A3139" s="3" t="s">
        <v>2194</v>
      </c>
      <c r="B3139" s="3" t="s">
        <v>2526</v>
      </c>
      <c r="C3139" s="3" t="s">
        <v>653</v>
      </c>
      <c r="D3139" s="3"/>
      <c r="E3139" s="2" t="str">
        <f>HYPERLINK("https://old.ukr-mobil.com/displej_samsung_m307_galaxy_m30s_s_tachskrinom_oled_black_10000609", "Перейти")</f>
        <v>Перейти</v>
      </c>
      <c r="F3139" s="2">
        <v>10000609</v>
      </c>
      <c r="G3139" s="4" t="s">
        <v>3275</v>
      </c>
      <c r="H3139" s="1">
        <v>0</v>
      </c>
      <c r="I3139" s="1">
        <v>0</v>
      </c>
      <c r="J3139" s="1">
        <v>5</v>
      </c>
      <c r="K3139" s="2">
        <v>25.0</v>
      </c>
    </row>
    <row r="3140" spans="1:12">
      <c r="A3140" s="3" t="s">
        <v>2194</v>
      </c>
      <c r="B3140" s="3" t="s">
        <v>2526</v>
      </c>
      <c r="C3140" s="3" t="s">
        <v>653</v>
      </c>
      <c r="D3140" s="3"/>
      <c r="E3140" s="2" t="str">
        <f>HYPERLINK("https://old.ukr-mobil.com/displej_samsung_m225_galaxy_m22_gh82-26866a_s_tachskrinom_s_ramkoj_service_pack_original_10002391", "Перейти")</f>
        <v>Перейти</v>
      </c>
      <c r="F3140" s="2">
        <v>10002391</v>
      </c>
      <c r="G3140" s="4" t="s">
        <v>3276</v>
      </c>
      <c r="H3140" s="1">
        <v>1</v>
      </c>
      <c r="I3140" s="1">
        <v>1</v>
      </c>
      <c r="J3140" s="1">
        <v>0</v>
      </c>
      <c r="K3140" s="2">
        <v>53.0</v>
      </c>
    </row>
    <row r="3141" spans="1:12">
      <c r="A3141" s="3" t="s">
        <v>2194</v>
      </c>
      <c r="B3141" s="3" t="s">
        <v>2526</v>
      </c>
      <c r="C3141" s="3" t="s">
        <v>653</v>
      </c>
      <c r="D3141" s="3"/>
      <c r="E3141" s="2" t="str">
        <f>HYPERLINK("https://old.ukr-mobil.com/displej_samsung_m225_galaxy_m22_s_tachskrinom_s_ramkoj_oled_black_10002079", "Перейти")</f>
        <v>Перейти</v>
      </c>
      <c r="F3141" s="2">
        <v>10002079</v>
      </c>
      <c r="G3141" s="4" t="s">
        <v>3277</v>
      </c>
      <c r="H3141" s="1">
        <v>2</v>
      </c>
      <c r="I3141" s="1">
        <v>3</v>
      </c>
      <c r="J3141" s="1">
        <v>1</v>
      </c>
      <c r="K3141" s="2">
        <v>25.0</v>
      </c>
    </row>
    <row r="3142" spans="1:12">
      <c r="A3142" s="3" t="s">
        <v>2194</v>
      </c>
      <c r="B3142" s="3" t="s">
        <v>2526</v>
      </c>
      <c r="C3142" s="3" t="s">
        <v>653</v>
      </c>
      <c r="D3142" s="3"/>
      <c r="E3142" s="2" t="str">
        <f>HYPERLINK("https://old.ukr-mobil.com/displej_samsung_m236_galaxy_m23_m336_galaxy_m33_gh82-28487a_s_tachskrinom_s_ramkoj_service_pack_original_10004318", "Перейти")</f>
        <v>Перейти</v>
      </c>
      <c r="F3142" s="2">
        <v>10004318</v>
      </c>
      <c r="G3142" s="4" t="s">
        <v>3278</v>
      </c>
      <c r="H3142" s="1">
        <v>1</v>
      </c>
      <c r="I3142" s="1">
        <v>0</v>
      </c>
      <c r="J3142" s="1">
        <v>0</v>
      </c>
      <c r="K3142" s="2">
        <v>34.0</v>
      </c>
    </row>
    <row r="3143" spans="1:12">
      <c r="A3143" s="3" t="s">
        <v>2194</v>
      </c>
      <c r="B3143" s="3" t="s">
        <v>2526</v>
      </c>
      <c r="C3143" s="3" t="s">
        <v>653</v>
      </c>
      <c r="D3143" s="3"/>
      <c r="E3143" s="2" t="str">
        <f>HYPERLINK("https://old.ukr-mobil.com/index.php?route=product&amp;product_id=10004568", "Перейти")</f>
        <v>Перейти</v>
      </c>
      <c r="F3143" s="2">
        <v>10004568</v>
      </c>
      <c r="G3143" s="4" t="s">
        <v>3279</v>
      </c>
      <c r="H3143" s="1">
        <v>10</v>
      </c>
      <c r="I3143" s="1">
        <v>2</v>
      </c>
      <c r="J3143" s="1">
        <v>2</v>
      </c>
      <c r="K3143" s="2">
        <v>17.0</v>
      </c>
    </row>
    <row r="3144" spans="1:12">
      <c r="A3144" s="3" t="s">
        <v>2194</v>
      </c>
      <c r="B3144" s="3" t="s">
        <v>2526</v>
      </c>
      <c r="C3144" s="3" t="s">
        <v>653</v>
      </c>
      <c r="D3144" s="3"/>
      <c r="E3144" s="2" t="str">
        <f>HYPERLINK("https://old.ukr-mobil.com/displej_samsung_m307_galaxy_m30s_gh82-21265a_s_tachskrinom_ramkoj_service_pack_original_black_10000441", "Перейти")</f>
        <v>Перейти</v>
      </c>
      <c r="F3144" s="2">
        <v>10000441</v>
      </c>
      <c r="G3144" s="4" t="s">
        <v>3280</v>
      </c>
      <c r="H3144" s="1">
        <v>1</v>
      </c>
      <c r="I3144" s="1">
        <v>0</v>
      </c>
      <c r="J3144" s="1">
        <v>0</v>
      </c>
      <c r="K3144" s="2">
        <v>82.0</v>
      </c>
    </row>
    <row r="3145" spans="1:12">
      <c r="A3145" s="3" t="s">
        <v>2194</v>
      </c>
      <c r="B3145" s="3" t="s">
        <v>2526</v>
      </c>
      <c r="C3145" s="3" t="s">
        <v>653</v>
      </c>
      <c r="D3145" s="3"/>
      <c r="E3145" s="2" t="str">
        <f>HYPERLINK("https://old.ukr-mobil.com/displej_samsung_m315_galaxy_m31_gh82-22405a_s_tachskrinom_ramkoj_service_pack_original_black_10001089", "Перейти")</f>
        <v>Перейти</v>
      </c>
      <c r="F3145" s="2">
        <v>10001089</v>
      </c>
      <c r="G3145" s="4" t="s">
        <v>3281</v>
      </c>
      <c r="H3145" s="1">
        <v>0</v>
      </c>
      <c r="I3145" s="1">
        <v>0</v>
      </c>
      <c r="J3145" s="1">
        <v>0</v>
      </c>
      <c r="K3145" s="2">
        <v>68.75</v>
      </c>
    </row>
    <row r="3146" spans="1:12">
      <c r="A3146" s="3" t="s">
        <v>2194</v>
      </c>
      <c r="B3146" s="3" t="s">
        <v>2526</v>
      </c>
      <c r="C3146" s="3" t="s">
        <v>653</v>
      </c>
      <c r="D3146" s="3"/>
      <c r="E3146" s="2" t="str">
        <f>HYPERLINK("https://old.ukr-mobil.com/displej_samsung_m317_galaxy_m31s_gh81-13736a_s_tachskrinom_ramkoj_original_black_10001189", "Перейти")</f>
        <v>Перейти</v>
      </c>
      <c r="F3146" s="2">
        <v>10001189</v>
      </c>
      <c r="G3146" s="4" t="s">
        <v>3282</v>
      </c>
      <c r="H3146" s="1">
        <v>2</v>
      </c>
      <c r="I3146" s="1">
        <v>0</v>
      </c>
      <c r="J3146" s="1">
        <v>0</v>
      </c>
      <c r="K3146" s="2">
        <v>89.0</v>
      </c>
    </row>
    <row r="3147" spans="1:12">
      <c r="A3147" s="3" t="s">
        <v>2194</v>
      </c>
      <c r="B3147" s="3" t="s">
        <v>2526</v>
      </c>
      <c r="C3147" s="3" t="s">
        <v>653</v>
      </c>
      <c r="D3147" s="3"/>
      <c r="E3147" s="2" t="str">
        <f>HYPERLINK("https://old.ukr-mobil.com/displej_samsung_m325_galaxy_m32_gh82-26193a_s_tachskrinom_ramkoj_service_pack_original_black_10002184", "Перейти")</f>
        <v>Перейти</v>
      </c>
      <c r="F3147" s="2">
        <v>10002184</v>
      </c>
      <c r="G3147" s="4" t="s">
        <v>3283</v>
      </c>
      <c r="H3147" s="1">
        <v>0</v>
      </c>
      <c r="I3147" s="1">
        <v>0</v>
      </c>
      <c r="J3147" s="1">
        <v>0</v>
      </c>
      <c r="K3147" s="2">
        <v>83.0</v>
      </c>
    </row>
    <row r="3148" spans="1:12">
      <c r="A3148" s="3" t="s">
        <v>2194</v>
      </c>
      <c r="B3148" s="3" t="s">
        <v>2526</v>
      </c>
      <c r="C3148" s="3" t="s">
        <v>653</v>
      </c>
      <c r="D3148" s="3"/>
      <c r="E3148" s="2" t="str">
        <f>HYPERLINK("https://old.ukr-mobil.com/displej_samsung_m325_galaxy_m32_s_tachskrinom_s_ramkoj_oled_black_10002562", "Перейти")</f>
        <v>Перейти</v>
      </c>
      <c r="F3148" s="2">
        <v>10002562</v>
      </c>
      <c r="G3148" s="4" t="s">
        <v>3284</v>
      </c>
      <c r="H3148" s="1">
        <v>0</v>
      </c>
      <c r="I3148" s="1">
        <v>0</v>
      </c>
      <c r="J3148" s="1">
        <v>0</v>
      </c>
      <c r="K3148" s="2">
        <v>25.0</v>
      </c>
    </row>
    <row r="3149" spans="1:12">
      <c r="A3149" s="3" t="s">
        <v>2194</v>
      </c>
      <c r="B3149" s="3" t="s">
        <v>2526</v>
      </c>
      <c r="C3149" s="3" t="s">
        <v>653</v>
      </c>
      <c r="D3149" s="3"/>
      <c r="E3149" s="2" t="str">
        <f>HYPERLINK("https://old.ukr-mobil.com/index.php?route=product&amp;product_id=10004570", "Перейти")</f>
        <v>Перейти</v>
      </c>
      <c r="F3149" s="2">
        <v>10004570</v>
      </c>
      <c r="G3149" s="4" t="s">
        <v>3285</v>
      </c>
      <c r="H3149" s="1">
        <v>0</v>
      </c>
      <c r="I3149" s="1">
        <v>0</v>
      </c>
      <c r="J3149" s="1">
        <v>0</v>
      </c>
      <c r="K3149" s="2">
        <v>24.0</v>
      </c>
    </row>
    <row r="3150" spans="1:12">
      <c r="A3150" s="3" t="s">
        <v>2194</v>
      </c>
      <c r="B3150" s="3" t="s">
        <v>2526</v>
      </c>
      <c r="C3150" s="3" t="s">
        <v>653</v>
      </c>
      <c r="D3150" s="3"/>
      <c r="E3150" s="2" t="str">
        <f>HYPERLINK("https://old.ukr-mobil.com/displej_samsung_m515_galaxy_m51_2020_gh82-23568a_s_tachskrinom_s_ramkoj_service_pack_original_black_10001116", "Перейти")</f>
        <v>Перейти</v>
      </c>
      <c r="F3150" s="2">
        <v>10001116</v>
      </c>
      <c r="G3150" s="4" t="s">
        <v>3286</v>
      </c>
      <c r="H3150" s="1">
        <v>0</v>
      </c>
      <c r="I3150" s="1">
        <v>0</v>
      </c>
      <c r="J3150" s="1">
        <v>0</v>
      </c>
      <c r="K3150" s="2">
        <v>91.0</v>
      </c>
    </row>
    <row r="3151" spans="1:12">
      <c r="A3151" s="3" t="s">
        <v>2194</v>
      </c>
      <c r="B3151" s="3" t="s">
        <v>2526</v>
      </c>
      <c r="C3151" s="3" t="s">
        <v>653</v>
      </c>
      <c r="D3151" s="3"/>
      <c r="E3151" s="2" t="str">
        <f>HYPERLINK("https://old.ukr-mobil.com/displej_samsung_m515_galaxy_m51_s_tachskrinom_incell_black_10001305", "Перейти")</f>
        <v>Перейти</v>
      </c>
      <c r="F3151" s="2">
        <v>10001305</v>
      </c>
      <c r="G3151" s="4" t="s">
        <v>3287</v>
      </c>
      <c r="H3151" s="1">
        <v>5</v>
      </c>
      <c r="I3151" s="1">
        <v>2</v>
      </c>
      <c r="J3151" s="1">
        <v>2</v>
      </c>
      <c r="K3151" s="2">
        <v>18.0</v>
      </c>
    </row>
    <row r="3152" spans="1:12">
      <c r="A3152" s="3" t="s">
        <v>2194</v>
      </c>
      <c r="B3152" s="3" t="s">
        <v>2526</v>
      </c>
      <c r="C3152" s="3" t="s">
        <v>653</v>
      </c>
      <c r="D3152" s="3"/>
      <c r="E3152" s="2" t="str">
        <f>HYPERLINK("https://old.ukr-mobil.com/displej_samsung_m515_galaxy_m51_s_tachskrinom_oled_small_lcd_black_10002339", "Перейти")</f>
        <v>Перейти</v>
      </c>
      <c r="F3152" s="2">
        <v>10002339</v>
      </c>
      <c r="G3152" s="4" t="s">
        <v>3288</v>
      </c>
      <c r="H3152" s="1">
        <v>1</v>
      </c>
      <c r="I3152" s="1">
        <v>0</v>
      </c>
      <c r="J3152" s="1">
        <v>0</v>
      </c>
      <c r="K3152" s="2">
        <v>32.0</v>
      </c>
    </row>
    <row r="3153" spans="1:12">
      <c r="A3153" s="3" t="s">
        <v>2194</v>
      </c>
      <c r="B3153" s="3" t="s">
        <v>2526</v>
      </c>
      <c r="C3153" s="3" t="s">
        <v>653</v>
      </c>
      <c r="D3153" s="3"/>
      <c r="E3153" s="2" t="str">
        <f>HYPERLINK("https://old.ukr-mobil.com/displej_samsung_n7000_i9220_s_tachskrinom_s_ramkoj_white_3962", "Перейти")</f>
        <v>Перейти</v>
      </c>
      <c r="F3153" s="2">
        <v>3962</v>
      </c>
      <c r="G3153" s="4" t="s">
        <v>3289</v>
      </c>
      <c r="H3153" s="1">
        <v>1</v>
      </c>
      <c r="I3153" s="1">
        <v>0</v>
      </c>
      <c r="J3153" s="1">
        <v>0</v>
      </c>
      <c r="K3153" s="2">
        <v>26.0</v>
      </c>
    </row>
    <row r="3154" spans="1:12">
      <c r="A3154" s="3" t="s">
        <v>2194</v>
      </c>
      <c r="B3154" s="3" t="s">
        <v>2526</v>
      </c>
      <c r="C3154" s="3" t="s">
        <v>653</v>
      </c>
      <c r="D3154" s="3"/>
      <c r="E3154" s="2" t="str">
        <f>HYPERLINK("https://old.ukr-mobil.com/displej_samsung_n770_galaxy_note_10_lite_s_tachskrinom_ramkoj_gh82-22192a_service_pack_original_black_10002005", "Перейти")</f>
        <v>Перейти</v>
      </c>
      <c r="F3154" s="2">
        <v>10002005</v>
      </c>
      <c r="G3154" s="4" t="s">
        <v>3290</v>
      </c>
      <c r="H3154" s="1">
        <v>0</v>
      </c>
      <c r="I3154" s="1">
        <v>0</v>
      </c>
      <c r="J3154" s="1">
        <v>0</v>
      </c>
      <c r="K3154" s="2">
        <v>160.0</v>
      </c>
    </row>
    <row r="3155" spans="1:12">
      <c r="A3155" s="3" t="s">
        <v>2194</v>
      </c>
      <c r="B3155" s="3" t="s">
        <v>2526</v>
      </c>
      <c r="C3155" s="3" t="s">
        <v>653</v>
      </c>
      <c r="D3155" s="3"/>
      <c r="E3155" s="2" t="str">
        <f>HYPERLINK("https://old.ukr-mobil.com/displej_samsung_n770_galaxy_note_10_lite_s_tachskrinom_ramkoj_gh82-22192b_service_pack_original_silver_10003244", "Перейти")</f>
        <v>Перейти</v>
      </c>
      <c r="F3155" s="2">
        <v>10003244</v>
      </c>
      <c r="G3155" s="4" t="s">
        <v>3291</v>
      </c>
      <c r="H3155" s="1">
        <v>0</v>
      </c>
      <c r="I3155" s="1">
        <v>0</v>
      </c>
      <c r="J3155" s="1">
        <v>0</v>
      </c>
      <c r="K3155" s="2">
        <v>137.0</v>
      </c>
    </row>
    <row r="3156" spans="1:12">
      <c r="A3156" s="3" t="s">
        <v>2194</v>
      </c>
      <c r="B3156" s="3" t="s">
        <v>2526</v>
      </c>
      <c r="C3156" s="3" t="s">
        <v>653</v>
      </c>
      <c r="D3156" s="3"/>
      <c r="E3156" s="2" t="str">
        <f>HYPERLINK("https://old.ukr-mobil.com/displej_samsung_n950_galaxy_note_8_s_tachskrinom_ramkoj_gh97-21066a_original_black_11800", "Перейти")</f>
        <v>Перейти</v>
      </c>
      <c r="F3156" s="2">
        <v>11800</v>
      </c>
      <c r="G3156" s="4" t="s">
        <v>3292</v>
      </c>
      <c r="H3156" s="1">
        <v>1</v>
      </c>
      <c r="I3156" s="1">
        <v>0</v>
      </c>
      <c r="J3156" s="1">
        <v>0</v>
      </c>
      <c r="K3156" s="2">
        <v>170.0</v>
      </c>
    </row>
    <row r="3157" spans="1:12">
      <c r="A3157" s="3" t="s">
        <v>2194</v>
      </c>
      <c r="B3157" s="3" t="s">
        <v>2526</v>
      </c>
      <c r="C3157" s="3" t="s">
        <v>653</v>
      </c>
      <c r="D3157" s="3"/>
      <c r="E3157" s="2" t="str">
        <f>HYPERLINK("https://old.ukr-mobil.com/displej_samsung_n950_galaxy_note_8_s_tachskrinom_ramkoj_original_prc_black_9906", "Перейти")</f>
        <v>Перейти</v>
      </c>
      <c r="F3157" s="2">
        <v>9906</v>
      </c>
      <c r="G3157" s="4" t="s">
        <v>3293</v>
      </c>
      <c r="H3157" s="1">
        <v>0</v>
      </c>
      <c r="I3157" s="1">
        <v>0</v>
      </c>
      <c r="J3157" s="1">
        <v>0</v>
      </c>
      <c r="K3157" s="2">
        <v>146.0</v>
      </c>
    </row>
    <row r="3158" spans="1:12">
      <c r="A3158" s="3" t="s">
        <v>2194</v>
      </c>
      <c r="B3158" s="3" t="s">
        <v>2526</v>
      </c>
      <c r="C3158" s="3" t="s">
        <v>653</v>
      </c>
      <c r="D3158" s="3"/>
      <c r="E3158" s="2" t="str">
        <f>HYPERLINK("https://old.ukr-mobil.com/displej_samsung_n950_galaxy_note_8_s_tachskrinom_ramkoj_original_prc_blue_10000468", "Перейти")</f>
        <v>Перейти</v>
      </c>
      <c r="F3158" s="2">
        <v>10000468</v>
      </c>
      <c r="G3158" s="4" t="s">
        <v>3294</v>
      </c>
      <c r="H3158" s="1">
        <v>0</v>
      </c>
      <c r="I3158" s="1">
        <v>0</v>
      </c>
      <c r="J3158" s="1">
        <v>0</v>
      </c>
      <c r="K3158" s="2">
        <v>128.0</v>
      </c>
    </row>
    <row r="3159" spans="1:12">
      <c r="A3159" s="3" t="s">
        <v>2194</v>
      </c>
      <c r="B3159" s="3" t="s">
        <v>2526</v>
      </c>
      <c r="C3159" s="3" t="s">
        <v>653</v>
      </c>
      <c r="D3159" s="3"/>
      <c r="E3159" s="2" t="str">
        <f>HYPERLINK("https://old.ukr-mobil.com/displej_samsung_n950_galaxy_note_8_s_tachskrinom_ramkoj_original_prc_gold_10000469", "Перейти")</f>
        <v>Перейти</v>
      </c>
      <c r="F3159" s="2">
        <v>10000469</v>
      </c>
      <c r="G3159" s="4" t="s">
        <v>3295</v>
      </c>
      <c r="H3159" s="1">
        <v>0</v>
      </c>
      <c r="I3159" s="1">
        <v>0</v>
      </c>
      <c r="J3159" s="1">
        <v>0</v>
      </c>
      <c r="K3159" s="2">
        <v>146.0</v>
      </c>
    </row>
    <row r="3160" spans="1:12">
      <c r="A3160" s="3" t="s">
        <v>2194</v>
      </c>
      <c r="B3160" s="3" t="s">
        <v>2526</v>
      </c>
      <c r="C3160" s="3" t="s">
        <v>653</v>
      </c>
      <c r="D3160" s="3"/>
      <c r="E3160" s="2" t="str">
        <f>HYPERLINK("https://old.ukr-mobil.com/displej_samsung_n950_galaxy_note_8_s_tachskrinom_ramkoj_original_prc_purple_10000470", "Перейти")</f>
        <v>Перейти</v>
      </c>
      <c r="F3160" s="2">
        <v>10000470</v>
      </c>
      <c r="G3160" s="4" t="s">
        <v>3296</v>
      </c>
      <c r="H3160" s="1">
        <v>0</v>
      </c>
      <c r="I3160" s="1">
        <v>0</v>
      </c>
      <c r="J3160" s="1">
        <v>0</v>
      </c>
      <c r="K3160" s="2">
        <v>146.0</v>
      </c>
    </row>
    <row r="3161" spans="1:12">
      <c r="A3161" s="3" t="s">
        <v>2194</v>
      </c>
      <c r="B3161" s="3" t="s">
        <v>2526</v>
      </c>
      <c r="C3161" s="3" t="s">
        <v>653</v>
      </c>
      <c r="D3161" s="3"/>
      <c r="E3161" s="2" t="str">
        <f>HYPERLINK("https://old.ukr-mobil.com/displej_samsung_n960_galaxy_note_9_original_s_tachskrinom_ramkoj_black_11153", "Перейти")</f>
        <v>Перейти</v>
      </c>
      <c r="F3161" s="2">
        <v>11153</v>
      </c>
      <c r="G3161" s="4" t="s">
        <v>3297</v>
      </c>
      <c r="H3161" s="1">
        <v>0</v>
      </c>
      <c r="I3161" s="1">
        <v>0</v>
      </c>
      <c r="J3161" s="1">
        <v>0</v>
      </c>
      <c r="K3161" s="2">
        <v>144.0</v>
      </c>
    </row>
    <row r="3162" spans="1:12">
      <c r="A3162" s="3" t="s">
        <v>2194</v>
      </c>
      <c r="B3162" s="3" t="s">
        <v>2526</v>
      </c>
      <c r="C3162" s="3" t="s">
        <v>653</v>
      </c>
      <c r="D3162" s="3"/>
      <c r="E3162" s="2" t="str">
        <f>HYPERLINK("https://old.ukr-mobil.com/displej_samsung_n960_galaxy_note_9_original_s_tachskrinom_ramkoj_blue_10000465", "Перейти")</f>
        <v>Перейти</v>
      </c>
      <c r="F3162" s="2">
        <v>10000465</v>
      </c>
      <c r="G3162" s="4" t="s">
        <v>3298</v>
      </c>
      <c r="H3162" s="1">
        <v>0</v>
      </c>
      <c r="I3162" s="1">
        <v>0</v>
      </c>
      <c r="J3162" s="1">
        <v>0</v>
      </c>
      <c r="K3162" s="2">
        <v>146.0</v>
      </c>
    </row>
    <row r="3163" spans="1:12">
      <c r="A3163" s="3" t="s">
        <v>2194</v>
      </c>
      <c r="B3163" s="3" t="s">
        <v>2526</v>
      </c>
      <c r="C3163" s="3" t="s">
        <v>653</v>
      </c>
      <c r="D3163" s="3"/>
      <c r="E3163" s="2" t="str">
        <f>HYPERLINK("https://old.ukr-mobil.com/displej_samsung_n960_galaxy_note_9_original_s_tachskrinom_ramkoj_copper_gold_10000467", "Перейти")</f>
        <v>Перейти</v>
      </c>
      <c r="F3163" s="2">
        <v>10000467</v>
      </c>
      <c r="G3163" s="4" t="s">
        <v>3299</v>
      </c>
      <c r="H3163" s="1">
        <v>0</v>
      </c>
      <c r="I3163" s="1">
        <v>0</v>
      </c>
      <c r="J3163" s="1">
        <v>0</v>
      </c>
      <c r="K3163" s="2">
        <v>143.0</v>
      </c>
    </row>
    <row r="3164" spans="1:12">
      <c r="A3164" s="3" t="s">
        <v>2194</v>
      </c>
      <c r="B3164" s="3" t="s">
        <v>2526</v>
      </c>
      <c r="C3164" s="3" t="s">
        <v>653</v>
      </c>
      <c r="D3164" s="3"/>
      <c r="E3164" s="2" t="str">
        <f>HYPERLINK("https://old.ukr-mobil.com/displej_samsung_n960_galaxy_note_9_original_s_tachskrinom_ramkoj_purple_10000466", "Перейти")</f>
        <v>Перейти</v>
      </c>
      <c r="F3164" s="2">
        <v>10000466</v>
      </c>
      <c r="G3164" s="4" t="s">
        <v>3300</v>
      </c>
      <c r="H3164" s="1">
        <v>0</v>
      </c>
      <c r="I3164" s="1">
        <v>0</v>
      </c>
      <c r="J3164" s="1">
        <v>0</v>
      </c>
      <c r="K3164" s="2">
        <v>144.0</v>
      </c>
    </row>
    <row r="3165" spans="1:12">
      <c r="A3165" s="3" t="s">
        <v>2194</v>
      </c>
      <c r="B3165" s="3" t="s">
        <v>2526</v>
      </c>
      <c r="C3165" s="3" t="s">
        <v>653</v>
      </c>
      <c r="D3165" s="3"/>
      <c r="E3165" s="2" t="str">
        <f>HYPERLINK("https://old.ukr-mobil.com/displej_samsung_n970_galaxy_note_10_s_tachskrinom_ramkoj_gh82-20818a_service_pack_original_aura_black_10002002", "Перейти")</f>
        <v>Перейти</v>
      </c>
      <c r="F3165" s="2">
        <v>10002002</v>
      </c>
      <c r="G3165" s="4" t="s">
        <v>3301</v>
      </c>
      <c r="H3165" s="1">
        <v>0</v>
      </c>
      <c r="I3165" s="1">
        <v>0</v>
      </c>
      <c r="J3165" s="1">
        <v>0</v>
      </c>
      <c r="K3165" s="2">
        <v>220.0</v>
      </c>
    </row>
    <row r="3166" spans="1:12">
      <c r="A3166" s="3" t="s">
        <v>2194</v>
      </c>
      <c r="B3166" s="3" t="s">
        <v>2526</v>
      </c>
      <c r="C3166" s="3" t="s">
        <v>653</v>
      </c>
      <c r="D3166" s="3"/>
      <c r="E3166" s="2" t="str">
        <f>HYPERLINK("https://old.ukr-mobil.com/displej_samsung_n970_galaxy_note_10_s_tachskrinom_ramkoj_gh82-20818b_service_pack_original_aura_white_10002003", "Перейти")</f>
        <v>Перейти</v>
      </c>
      <c r="F3166" s="2">
        <v>10002003</v>
      </c>
      <c r="G3166" s="4" t="s">
        <v>3302</v>
      </c>
      <c r="H3166" s="1">
        <v>1</v>
      </c>
      <c r="I3166" s="1">
        <v>0</v>
      </c>
      <c r="J3166" s="1">
        <v>0</v>
      </c>
      <c r="K3166" s="2">
        <v>220.0</v>
      </c>
    </row>
    <row r="3167" spans="1:12">
      <c r="A3167" s="3" t="s">
        <v>2194</v>
      </c>
      <c r="B3167" s="3" t="s">
        <v>2526</v>
      </c>
      <c r="C3167" s="3" t="s">
        <v>653</v>
      </c>
      <c r="D3167" s="3"/>
      <c r="E3167" s="2" t="str">
        <f>HYPERLINK("https://old.ukr-mobil.com/displej_samsung_n970_galaxy_note_10_s_tachskrinom_ramkoj_gh82-20818c_service_pack_original_aura_silver_10002004", "Перейти")</f>
        <v>Перейти</v>
      </c>
      <c r="F3167" s="2">
        <v>10002004</v>
      </c>
      <c r="G3167" s="4" t="s">
        <v>3303</v>
      </c>
      <c r="H3167" s="1">
        <v>0</v>
      </c>
      <c r="I3167" s="1">
        <v>0</v>
      </c>
      <c r="J3167" s="1">
        <v>0</v>
      </c>
      <c r="K3167" s="2">
        <v>257.0</v>
      </c>
    </row>
    <row r="3168" spans="1:12">
      <c r="A3168" s="3" t="s">
        <v>2194</v>
      </c>
      <c r="B3168" s="3" t="s">
        <v>2526</v>
      </c>
      <c r="C3168" s="3" t="s">
        <v>653</v>
      </c>
      <c r="D3168" s="3"/>
      <c r="E3168" s="2" t="str">
        <f>HYPERLINK("https://old.ukr-mobil.com/displej_samsung_n970_galaxy_note_10_s_tachskrinom_ramkoj_original_black_10000687", "Перейти")</f>
        <v>Перейти</v>
      </c>
      <c r="F3168" s="2">
        <v>10000687</v>
      </c>
      <c r="G3168" s="4" t="s">
        <v>3304</v>
      </c>
      <c r="H3168" s="1">
        <v>0</v>
      </c>
      <c r="I3168" s="1">
        <v>0</v>
      </c>
      <c r="J3168" s="1">
        <v>0</v>
      </c>
      <c r="K3168" s="2">
        <v>176.0</v>
      </c>
    </row>
    <row r="3169" spans="1:12">
      <c r="A3169" s="3" t="s">
        <v>2194</v>
      </c>
      <c r="B3169" s="3" t="s">
        <v>2526</v>
      </c>
      <c r="C3169" s="3" t="s">
        <v>653</v>
      </c>
      <c r="D3169" s="3"/>
      <c r="E3169" s="2" t="str">
        <f>HYPERLINK("https://old.ukr-mobil.com/displej_samsung_n970_galaxy_note_10_s_tachskrinom_ramkoj_original_silver_10000464", "Перейти")</f>
        <v>Перейти</v>
      </c>
      <c r="F3169" s="2">
        <v>10000464</v>
      </c>
      <c r="G3169" s="4" t="s">
        <v>3305</v>
      </c>
      <c r="H3169" s="1">
        <v>0</v>
      </c>
      <c r="I3169" s="1">
        <v>0</v>
      </c>
      <c r="J3169" s="1">
        <v>0</v>
      </c>
      <c r="K3169" s="2">
        <v>248.0</v>
      </c>
    </row>
    <row r="3170" spans="1:12">
      <c r="A3170" s="3" t="s">
        <v>2194</v>
      </c>
      <c r="B3170" s="3" t="s">
        <v>2526</v>
      </c>
      <c r="C3170" s="3" t="s">
        <v>653</v>
      </c>
      <c r="D3170" s="3"/>
      <c r="E3170" s="2" t="str">
        <f>HYPERLINK("https://old.ukr-mobil.com/displej_samsung_n975_galaxy_note_10_plus_s_tachskrinom_ramkoj_original_black_10000521", "Перейти")</f>
        <v>Перейти</v>
      </c>
      <c r="F3170" s="2">
        <v>10000521</v>
      </c>
      <c r="G3170" s="4" t="s">
        <v>3306</v>
      </c>
      <c r="H3170" s="1">
        <v>0</v>
      </c>
      <c r="I3170" s="1">
        <v>0</v>
      </c>
      <c r="J3170" s="1">
        <v>0</v>
      </c>
      <c r="K3170" s="2">
        <v>266.0</v>
      </c>
    </row>
    <row r="3171" spans="1:12">
      <c r="A3171" s="3" t="s">
        <v>2194</v>
      </c>
      <c r="B3171" s="3" t="s">
        <v>2526</v>
      </c>
      <c r="C3171" s="3" t="s">
        <v>653</v>
      </c>
      <c r="D3171" s="3"/>
      <c r="E3171" s="2" t="str">
        <f>HYPERLINK("https://old.ukr-mobil.com/displej_samsung_n975_galaxy_note_10_plus_s_tachskrinom_ramkoj_original_silver_10000524", "Перейти")</f>
        <v>Перейти</v>
      </c>
      <c r="F3171" s="2">
        <v>10000524</v>
      </c>
      <c r="G3171" s="4" t="s">
        <v>3307</v>
      </c>
      <c r="H3171" s="1">
        <v>1</v>
      </c>
      <c r="I3171" s="1">
        <v>2</v>
      </c>
      <c r="J3171" s="1">
        <v>0</v>
      </c>
      <c r="K3171" s="2">
        <v>230.0</v>
      </c>
    </row>
    <row r="3172" spans="1:12">
      <c r="A3172" s="3" t="s">
        <v>2194</v>
      </c>
      <c r="B3172" s="3" t="s">
        <v>2526</v>
      </c>
      <c r="C3172" s="3" t="s">
        <v>653</v>
      </c>
      <c r="D3172" s="3"/>
      <c r="E3172" s="2" t="str">
        <f>HYPERLINK("https://old.ukr-mobil.com/displej_samsung_n980_galaxy_note_20_n981_galaxy_note_20_5g_s_tachskrinom_original_grey_10001946", "Перейти")</f>
        <v>Перейти</v>
      </c>
      <c r="F3172" s="2">
        <v>10001946</v>
      </c>
      <c r="G3172" s="4" t="s">
        <v>3308</v>
      </c>
      <c r="H3172" s="1">
        <v>0</v>
      </c>
      <c r="I3172" s="1">
        <v>0</v>
      </c>
      <c r="J3172" s="1">
        <v>0</v>
      </c>
      <c r="K3172" s="2">
        <v>181.0</v>
      </c>
    </row>
    <row r="3173" spans="1:12">
      <c r="A3173" s="3" t="s">
        <v>2194</v>
      </c>
      <c r="B3173" s="3" t="s">
        <v>2526</v>
      </c>
      <c r="C3173" s="3" t="s">
        <v>653</v>
      </c>
      <c r="D3173" s="3"/>
      <c r="E3173" s="2" t="str">
        <f>HYPERLINK("https://old.ukr-mobil.com/displej_samsung_n980_galaxy_note_20_n981_galaxy_note_20_5g_s_tachskrinom_ramkoj_original_grey_10001947", "Перейти")</f>
        <v>Перейти</v>
      </c>
      <c r="F3173" s="2">
        <v>10001947</v>
      </c>
      <c r="G3173" s="4" t="s">
        <v>3309</v>
      </c>
      <c r="H3173" s="1">
        <v>2</v>
      </c>
      <c r="I3173" s="1">
        <v>0</v>
      </c>
      <c r="J3173" s="1">
        <v>0</v>
      </c>
      <c r="K3173" s="2">
        <v>170.0</v>
      </c>
    </row>
    <row r="3174" spans="1:12">
      <c r="A3174" s="3" t="s">
        <v>2194</v>
      </c>
      <c r="B3174" s="3" t="s">
        <v>2526</v>
      </c>
      <c r="C3174" s="3" t="s">
        <v>653</v>
      </c>
      <c r="D3174" s="3"/>
      <c r="E3174" s="2" t="str">
        <f>HYPERLINK("https://old.ukr-mobil.com/displej_samsung_n980_galaxy_note_20_s_tachskrinom_ramkoj_gh82-23495a_service_pack_original_aura_grey_10002224", "Перейти")</f>
        <v>Перейти</v>
      </c>
      <c r="F3174" s="2">
        <v>10002224</v>
      </c>
      <c r="G3174" s="4" t="s">
        <v>3310</v>
      </c>
      <c r="H3174" s="1">
        <v>1</v>
      </c>
      <c r="I3174" s="1">
        <v>1</v>
      </c>
      <c r="J3174" s="1">
        <v>0</v>
      </c>
      <c r="K3174" s="2">
        <v>205.0</v>
      </c>
    </row>
    <row r="3175" spans="1:12">
      <c r="A3175" s="3" t="s">
        <v>2194</v>
      </c>
      <c r="B3175" s="3" t="s">
        <v>2526</v>
      </c>
      <c r="C3175" s="3" t="s">
        <v>653</v>
      </c>
      <c r="D3175" s="3"/>
      <c r="E3175" s="2" t="str">
        <f>HYPERLINK("https://old.ukr-mobil.com/displej_samsung_n985_galaxy_note_20_ultra_s_tachskrinom_ramkoj_gh82-23622a_service_pack_original_aura_black_10002782", "Перейти")</f>
        <v>Перейти</v>
      </c>
      <c r="F3175" s="2">
        <v>10002782</v>
      </c>
      <c r="G3175" s="4" t="s">
        <v>3311</v>
      </c>
      <c r="H3175" s="1">
        <v>0</v>
      </c>
      <c r="I3175" s="1">
        <v>0</v>
      </c>
      <c r="J3175" s="1">
        <v>0</v>
      </c>
      <c r="K3175" s="2">
        <v>295.0</v>
      </c>
    </row>
    <row r="3176" spans="1:12">
      <c r="A3176" s="3" t="s">
        <v>2194</v>
      </c>
      <c r="B3176" s="3" t="s">
        <v>2526</v>
      </c>
      <c r="C3176" s="3" t="s">
        <v>653</v>
      </c>
      <c r="D3176" s="3"/>
      <c r="E3176" s="2" t="str">
        <f>HYPERLINK("https://old.ukr-mobil.com/displej_samsung_n985_galaxy_note_20_ultra_s_tachskrinom_ramkoj_gh82-31461c_service_pack_original_aura_white_10003708", "Перейти")</f>
        <v>Перейти</v>
      </c>
      <c r="F3176" s="2">
        <v>10003708</v>
      </c>
      <c r="G3176" s="4" t="s">
        <v>3312</v>
      </c>
      <c r="H3176" s="1">
        <v>0</v>
      </c>
      <c r="I3176" s="1">
        <v>0</v>
      </c>
      <c r="J3176" s="1">
        <v>0</v>
      </c>
      <c r="K3176" s="2">
        <v>295.0</v>
      </c>
    </row>
    <row r="3177" spans="1:12">
      <c r="A3177" s="3" t="s">
        <v>2194</v>
      </c>
      <c r="B3177" s="3" t="s">
        <v>2526</v>
      </c>
      <c r="C3177" s="3" t="s">
        <v>653</v>
      </c>
      <c r="D3177" s="3"/>
      <c r="E3177" s="2" t="str">
        <f>HYPERLINK("https://old.ukr-mobil.com/displej_samsung_n985_galaxy_note_20_ultra_s_tachskrinom_ramkoj_original_black_10001854", "Перейти")</f>
        <v>Перейти</v>
      </c>
      <c r="F3177" s="2">
        <v>10001854</v>
      </c>
      <c r="G3177" s="4" t="s">
        <v>3313</v>
      </c>
      <c r="H3177" s="1">
        <v>0</v>
      </c>
      <c r="I3177" s="1">
        <v>0</v>
      </c>
      <c r="J3177" s="1">
        <v>0</v>
      </c>
      <c r="K3177" s="2">
        <v>286.0</v>
      </c>
    </row>
    <row r="3178" spans="1:12">
      <c r="A3178" s="3" t="s">
        <v>2194</v>
      </c>
      <c r="B3178" s="3" t="s">
        <v>2526</v>
      </c>
      <c r="C3178" s="3" t="s">
        <v>653</v>
      </c>
      <c r="D3178" s="3"/>
      <c r="E3178" s="2" t="str">
        <f>HYPERLINK("https://old.ukr-mobil.com/displej_samsung_n985_galaxy_note_20_ultra_s_tachskrinom_ramkoj_original_bronze_10001855", "Перейти")</f>
        <v>Перейти</v>
      </c>
      <c r="F3178" s="2">
        <v>10001855</v>
      </c>
      <c r="G3178" s="4" t="s">
        <v>3314</v>
      </c>
      <c r="H3178" s="1">
        <v>0</v>
      </c>
      <c r="I3178" s="1">
        <v>0</v>
      </c>
      <c r="J3178" s="1">
        <v>0</v>
      </c>
      <c r="K3178" s="2">
        <v>282.0</v>
      </c>
    </row>
    <row r="3179" spans="1:12">
      <c r="A3179" s="3" t="s">
        <v>2194</v>
      </c>
      <c r="B3179" s="3" t="s">
        <v>2526</v>
      </c>
      <c r="C3179" s="3" t="s">
        <v>653</v>
      </c>
      <c r="D3179" s="3"/>
      <c r="E3179" s="2" t="str">
        <f>HYPERLINK("https://old.ukr-mobil.com/displej_samsung_s901_galaxy_s22_gh82-27520a_s_tachskrinom_s_ramkoj_service_pack_original_phantom_black_10002712", "Перейти")</f>
        <v>Перейти</v>
      </c>
      <c r="F3179" s="2">
        <v>10002712</v>
      </c>
      <c r="G3179" s="4" t="s">
        <v>3315</v>
      </c>
      <c r="H3179" s="1">
        <v>0</v>
      </c>
      <c r="I3179" s="1">
        <v>1</v>
      </c>
      <c r="J3179" s="1">
        <v>0</v>
      </c>
      <c r="K3179" s="2">
        <v>171.0</v>
      </c>
    </row>
    <row r="3180" spans="1:12">
      <c r="A3180" s="3" t="s">
        <v>2194</v>
      </c>
      <c r="B3180" s="3" t="s">
        <v>2526</v>
      </c>
      <c r="C3180" s="3" t="s">
        <v>653</v>
      </c>
      <c r="D3180" s="3"/>
      <c r="E3180" s="2" t="str">
        <f>HYPERLINK("https://old.ukr-mobil.com/displej_samsung_s901_galaxy_s22_gh82-27520d_s_tachskrinom_s_ramkoj_service_pack_original_pink_gold_10002713", "Перейти")</f>
        <v>Перейти</v>
      </c>
      <c r="F3180" s="2">
        <v>10002713</v>
      </c>
      <c r="G3180" s="4" t="s">
        <v>3316</v>
      </c>
      <c r="H3180" s="1">
        <v>2</v>
      </c>
      <c r="I3180" s="1">
        <v>0</v>
      </c>
      <c r="J3180" s="1">
        <v>0</v>
      </c>
      <c r="K3180" s="2">
        <v>160.0</v>
      </c>
    </row>
    <row r="3181" spans="1:12">
      <c r="A3181" s="3" t="s">
        <v>2194</v>
      </c>
      <c r="B3181" s="3" t="s">
        <v>2526</v>
      </c>
      <c r="C3181" s="3" t="s">
        <v>653</v>
      </c>
      <c r="D3181" s="3"/>
      <c r="E3181" s="2" t="str">
        <f>HYPERLINK("https://old.ukr-mobil.com/displej_samsung_s908_galaxy_s22_ultra_gh82-27489a_s_tachskrinom_s_ramkoj_service_pack_original_phantom_black_10003698", "Перейти")</f>
        <v>Перейти</v>
      </c>
      <c r="F3181" s="2">
        <v>10003698</v>
      </c>
      <c r="G3181" s="4" t="s">
        <v>3317</v>
      </c>
      <c r="H3181" s="1">
        <v>0</v>
      </c>
      <c r="I3181" s="1">
        <v>0</v>
      </c>
      <c r="J3181" s="1">
        <v>0</v>
      </c>
      <c r="K3181" s="2">
        <v>315.0</v>
      </c>
    </row>
    <row r="3182" spans="1:12">
      <c r="A3182" s="3" t="s">
        <v>2194</v>
      </c>
      <c r="B3182" s="3" t="s">
        <v>2526</v>
      </c>
      <c r="C3182" s="3" t="s">
        <v>653</v>
      </c>
      <c r="D3182" s="3"/>
      <c r="E3182" s="2" t="str">
        <f>HYPERLINK("https://old.ukr-mobil.com/displej_samsung_s908_galaxy_s22_ultra_gh82-27489b_s_tachskrinom_s_ramkoj_service_pack_original_burgundy_10004423", "Перейти")</f>
        <v>Перейти</v>
      </c>
      <c r="F3182" s="2">
        <v>10004423</v>
      </c>
      <c r="G3182" s="4" t="s">
        <v>3318</v>
      </c>
      <c r="H3182" s="1">
        <v>0</v>
      </c>
      <c r="I3182" s="1">
        <v>0</v>
      </c>
      <c r="J3182" s="1">
        <v>0</v>
      </c>
      <c r="K3182" s="2">
        <v>308.0</v>
      </c>
    </row>
    <row r="3183" spans="1:12">
      <c r="A3183" s="3" t="s">
        <v>2194</v>
      </c>
      <c r="B3183" s="3" t="s">
        <v>2526</v>
      </c>
      <c r="C3183" s="3" t="s">
        <v>653</v>
      </c>
      <c r="D3183" s="3"/>
      <c r="E3183" s="2" t="str">
        <f>HYPERLINK("https://old.ukr-mobil.com/displej_samsung_s908_galaxy_s22_ultra_gh82-27489c_s_tachskrinom_s_ramkoj_service_pack_original_white_10004422", "Перейти")</f>
        <v>Перейти</v>
      </c>
      <c r="F3183" s="2">
        <v>10004422</v>
      </c>
      <c r="G3183" s="4" t="s">
        <v>3319</v>
      </c>
      <c r="H3183" s="1">
        <v>0</v>
      </c>
      <c r="I3183" s="1">
        <v>0</v>
      </c>
      <c r="J3183" s="1">
        <v>0</v>
      </c>
      <c r="K3183" s="2">
        <v>308.0</v>
      </c>
    </row>
    <row r="3184" spans="1:12">
      <c r="A3184" s="3" t="s">
        <v>2194</v>
      </c>
      <c r="B3184" s="3" t="s">
        <v>2526</v>
      </c>
      <c r="C3184" s="3" t="s">
        <v>653</v>
      </c>
      <c r="D3184" s="3"/>
      <c r="E3184" s="2" t="str">
        <f>HYPERLINK("https://old.ukr-mobil.com/displej_samsung_s911_galaxy_s23_2023_gh82-30480a_s_tachskrinom_s_ramkoj_service_pack_original_black_10004424", "Перейти")</f>
        <v>Перейти</v>
      </c>
      <c r="F3184" s="2">
        <v>10004424</v>
      </c>
      <c r="G3184" s="4" t="s">
        <v>3320</v>
      </c>
      <c r="H3184" s="1">
        <v>3</v>
      </c>
      <c r="I3184" s="1">
        <v>1</v>
      </c>
      <c r="J3184" s="1">
        <v>1</v>
      </c>
      <c r="K3184" s="2">
        <v>169.0</v>
      </c>
    </row>
    <row r="3185" spans="1:12">
      <c r="A3185" s="3" t="s">
        <v>2194</v>
      </c>
      <c r="B3185" s="3" t="s">
        <v>2526</v>
      </c>
      <c r="C3185" s="3" t="s">
        <v>653</v>
      </c>
      <c r="D3185" s="3"/>
      <c r="E3185" s="2" t="str">
        <f>HYPERLINK("https://old.ukr-mobil.com/displej_samsung_s911_galaxy_s23_2023_gh82-30480b_s_tachskrinom_s_ramkoj_service_pack_original_beige_10004425", "Перейти")</f>
        <v>Перейти</v>
      </c>
      <c r="F3185" s="2">
        <v>10004425</v>
      </c>
      <c r="G3185" s="4" t="s">
        <v>3321</v>
      </c>
      <c r="H3185" s="1">
        <v>3</v>
      </c>
      <c r="I3185" s="1">
        <v>1</v>
      </c>
      <c r="J3185" s="1">
        <v>1</v>
      </c>
      <c r="K3185" s="2">
        <v>166.4</v>
      </c>
    </row>
    <row r="3186" spans="1:12">
      <c r="A3186" s="3" t="s">
        <v>2194</v>
      </c>
      <c r="B3186" s="3" t="s">
        <v>2526</v>
      </c>
      <c r="C3186" s="3" t="s">
        <v>653</v>
      </c>
      <c r="D3186" s="3"/>
      <c r="E3186" s="2" t="str">
        <f>HYPERLINK("https://old.ukr-mobil.com/displej_samsung_s911_galaxy_s23_2023_gh82-30480c_s_tachskrinom_s_ramkoj_service_pack_original_creen_10004427", "Перейти")</f>
        <v>Перейти</v>
      </c>
      <c r="F3186" s="2">
        <v>10004427</v>
      </c>
      <c r="G3186" s="4" t="s">
        <v>3322</v>
      </c>
      <c r="H3186" s="1">
        <v>0</v>
      </c>
      <c r="I3186" s="1">
        <v>0</v>
      </c>
      <c r="J3186" s="1">
        <v>0</v>
      </c>
      <c r="K3186" s="2">
        <v>166.0</v>
      </c>
    </row>
    <row r="3187" spans="1:12">
      <c r="A3187" s="3" t="s">
        <v>2194</v>
      </c>
      <c r="B3187" s="3" t="s">
        <v>2526</v>
      </c>
      <c r="C3187" s="3" t="s">
        <v>653</v>
      </c>
      <c r="D3187" s="3"/>
      <c r="E3187" s="2" t="str">
        <f>HYPERLINK("https://old.ukr-mobil.com/displej_samsung_s911_galaxy_s23_2023_gh82-30480d_s_tachskrinom_s_ramkoj_service_pack_original_light_pink_10004426", "Перейти")</f>
        <v>Перейти</v>
      </c>
      <c r="F3187" s="2">
        <v>10004426</v>
      </c>
      <c r="G3187" s="4" t="s">
        <v>3323</v>
      </c>
      <c r="H3187" s="1">
        <v>1</v>
      </c>
      <c r="I3187" s="1">
        <v>1</v>
      </c>
      <c r="J3187" s="1">
        <v>1</v>
      </c>
      <c r="K3187" s="2">
        <v>154.0</v>
      </c>
    </row>
    <row r="3188" spans="1:12">
      <c r="A3188" s="3" t="s">
        <v>2194</v>
      </c>
      <c r="B3188" s="3" t="s">
        <v>2526</v>
      </c>
      <c r="C3188" s="3" t="s">
        <v>653</v>
      </c>
      <c r="D3188" s="3"/>
      <c r="E3188" s="2" t="str">
        <f>HYPERLINK("https://old.ukr-mobil.com/displej_samsung_s916_galaxy_s23_plus_gh82-30480a_s_tachskrinom_s_ramkoj_service_pack_original_black_10004551", "Перейти")</f>
        <v>Перейти</v>
      </c>
      <c r="F3188" s="2">
        <v>10004551</v>
      </c>
      <c r="G3188" s="4" t="s">
        <v>3324</v>
      </c>
      <c r="H3188" s="1">
        <v>3</v>
      </c>
      <c r="I3188" s="1">
        <v>2</v>
      </c>
      <c r="J3188" s="1">
        <v>1</v>
      </c>
      <c r="K3188" s="2">
        <v>175.0</v>
      </c>
    </row>
    <row r="3189" spans="1:12">
      <c r="A3189" s="3" t="s">
        <v>2194</v>
      </c>
      <c r="B3189" s="3" t="s">
        <v>2526</v>
      </c>
      <c r="C3189" s="3" t="s">
        <v>653</v>
      </c>
      <c r="D3189" s="3"/>
      <c r="E3189" s="2" t="str">
        <f>HYPERLINK("https://old.ukr-mobil.com/displej_samsung_s916_galaxy_s23_plus_gh82-30480a_s_tachskrinom_s_ramkoj_service_pack_original_green_10004552", "Перейти")</f>
        <v>Перейти</v>
      </c>
      <c r="F3189" s="2">
        <v>10004552</v>
      </c>
      <c r="G3189" s="4" t="s">
        <v>3325</v>
      </c>
      <c r="H3189" s="1">
        <v>0</v>
      </c>
      <c r="I3189" s="1">
        <v>0</v>
      </c>
      <c r="J3189" s="1">
        <v>0</v>
      </c>
      <c r="K3189" s="2">
        <v>224.0</v>
      </c>
    </row>
    <row r="3190" spans="1:12">
      <c r="A3190" s="3" t="s">
        <v>2194</v>
      </c>
      <c r="B3190" s="3" t="s">
        <v>2526</v>
      </c>
      <c r="C3190" s="3" t="s">
        <v>653</v>
      </c>
      <c r="D3190" s="3"/>
      <c r="E3190" s="2" t="str">
        <f>HYPERLINK("https://old.ukr-mobil.com/displej_samsung_s916_galaxy_s23_plus_gh82-30480a_s_tachskrinom_s_ramkoj_service_pack_original_pink_10004553", "Перейти")</f>
        <v>Перейти</v>
      </c>
      <c r="F3190" s="2">
        <v>10004553</v>
      </c>
      <c r="G3190" s="4" t="s">
        <v>3326</v>
      </c>
      <c r="H3190" s="1">
        <v>1</v>
      </c>
      <c r="I3190" s="1">
        <v>1</v>
      </c>
      <c r="J3190" s="1">
        <v>1</v>
      </c>
      <c r="K3190" s="2">
        <v>166.0</v>
      </c>
    </row>
    <row r="3191" spans="1:12">
      <c r="A3191" s="3" t="s">
        <v>2194</v>
      </c>
      <c r="B3191" s="3" t="s">
        <v>2526</v>
      </c>
      <c r="C3191" s="3" t="s">
        <v>3327</v>
      </c>
      <c r="D3191" s="3"/>
      <c r="E3191" s="2" t="str">
        <f>HYPERLINK("https://old.ukr-mobil.com/displej_sigma_pq24_x-treme_s_tachskrinom_original_prc_black_10004452", "Перейти")</f>
        <v>Перейти</v>
      </c>
      <c r="F3191" s="2">
        <v>10004452</v>
      </c>
      <c r="G3191" s="4" t="s">
        <v>3328</v>
      </c>
      <c r="H3191" s="1">
        <v>3</v>
      </c>
      <c r="I3191" s="1">
        <v>0</v>
      </c>
      <c r="J3191" s="1">
        <v>0</v>
      </c>
      <c r="K3191" s="2">
        <v>25.0</v>
      </c>
    </row>
    <row r="3192" spans="1:12">
      <c r="A3192" s="3" t="s">
        <v>2194</v>
      </c>
      <c r="B3192" s="3" t="s">
        <v>2526</v>
      </c>
      <c r="C3192" s="3" t="s">
        <v>3327</v>
      </c>
      <c r="D3192" s="3"/>
      <c r="E3192" s="2" t="str">
        <f>HYPERLINK("https://old.ukr-mobil.com/displej_sigma_pq36_x-treme_s_tachskrinom_original_prc_black_10004451", "Перейти")</f>
        <v>Перейти</v>
      </c>
      <c r="F3192" s="2">
        <v>10004451</v>
      </c>
      <c r="G3192" s="4" t="s">
        <v>3329</v>
      </c>
      <c r="H3192" s="1">
        <v>0</v>
      </c>
      <c r="I3192" s="1">
        <v>0</v>
      </c>
      <c r="J3192" s="1">
        <v>0</v>
      </c>
      <c r="K3192" s="2">
        <v>34.0</v>
      </c>
    </row>
    <row r="3193" spans="1:12">
      <c r="A3193" s="3" t="s">
        <v>2194</v>
      </c>
      <c r="B3193" s="3" t="s">
        <v>2526</v>
      </c>
      <c r="C3193" s="3" t="s">
        <v>3327</v>
      </c>
      <c r="D3193" s="3"/>
      <c r="E3193" s="2" t="str">
        <f>HYPERLINK("https://old.ukr-mobil.com/displej_sigma_pq38_x-treme_s_tachskrinom_original_prc_black_10004450", "Перейти")</f>
        <v>Перейти</v>
      </c>
      <c r="F3193" s="2">
        <v>10004450</v>
      </c>
      <c r="G3193" s="4" t="s">
        <v>3330</v>
      </c>
      <c r="H3193" s="1">
        <v>0</v>
      </c>
      <c r="I3193" s="1">
        <v>0</v>
      </c>
      <c r="J3193" s="1">
        <v>0</v>
      </c>
      <c r="K3193" s="2">
        <v>23.0</v>
      </c>
    </row>
    <row r="3194" spans="1:12">
      <c r="A3194" s="3" t="s">
        <v>2194</v>
      </c>
      <c r="B3194" s="3" t="s">
        <v>2526</v>
      </c>
      <c r="C3194" s="3" t="s">
        <v>676</v>
      </c>
      <c r="D3194" s="3"/>
      <c r="E3194" s="2" t="str">
        <f>HYPERLINK("https://old.ukr-mobil.com/displej_sony_c6802_xl39h_xperia_z_ultra_s_tachskrinom_4768", "Перейти")</f>
        <v>Перейти</v>
      </c>
      <c r="F3194" s="2">
        <v>4768</v>
      </c>
      <c r="G3194" s="4" t="s">
        <v>3331</v>
      </c>
      <c r="H3194" s="1">
        <v>0</v>
      </c>
      <c r="I3194" s="1">
        <v>0</v>
      </c>
      <c r="J3194" s="1">
        <v>0</v>
      </c>
      <c r="K3194" s="2">
        <v>23.0</v>
      </c>
    </row>
    <row r="3195" spans="1:12">
      <c r="A3195" s="3" t="s">
        <v>2194</v>
      </c>
      <c r="B3195" s="3" t="s">
        <v>2526</v>
      </c>
      <c r="C3195" s="3" t="s">
        <v>676</v>
      </c>
      <c r="D3195" s="3"/>
      <c r="E3195" s="2" t="str">
        <f>HYPERLINK("https://old.ukr-mobil.com/displej_sony_e6533_xperia_z3_ds_e6553_xperia_z3_xperia_z4_s_tachskrinom_black_6128", "Перейти")</f>
        <v>Перейти</v>
      </c>
      <c r="F3195" s="2">
        <v>6128</v>
      </c>
      <c r="G3195" s="4" t="s">
        <v>3332</v>
      </c>
      <c r="H3195" s="1">
        <v>0</v>
      </c>
      <c r="I3195" s="1">
        <v>3</v>
      </c>
      <c r="J3195" s="1">
        <v>2</v>
      </c>
      <c r="K3195" s="2">
        <v>12.5</v>
      </c>
    </row>
    <row r="3196" spans="1:12">
      <c r="A3196" s="3" t="s">
        <v>2194</v>
      </c>
      <c r="B3196" s="3" t="s">
        <v>2526</v>
      </c>
      <c r="C3196" s="3" t="s">
        <v>676</v>
      </c>
      <c r="D3196" s="3"/>
      <c r="E3196" s="2" t="str">
        <f>HYPERLINK("https://old.ukr-mobil.com/displej_sony_f3111_xperia_xa_f3112_xperia_xa_dual_f3113_xperia_xa_f3115_xperia_xa_f3116_xperia_xa_dual_s_tachskrinom_black_6817", "Перейти")</f>
        <v>Перейти</v>
      </c>
      <c r="F3196" s="2">
        <v>6817</v>
      </c>
      <c r="G3196" s="4" t="s">
        <v>3333</v>
      </c>
      <c r="H3196" s="1">
        <v>5</v>
      </c>
      <c r="I3196" s="1">
        <v>4</v>
      </c>
      <c r="J3196" s="1">
        <v>2</v>
      </c>
      <c r="K3196" s="2">
        <v>12.0</v>
      </c>
    </row>
    <row r="3197" spans="1:12">
      <c r="A3197" s="3" t="s">
        <v>2194</v>
      </c>
      <c r="B3197" s="3" t="s">
        <v>2526</v>
      </c>
      <c r="C3197" s="3" t="s">
        <v>676</v>
      </c>
      <c r="D3197" s="3"/>
      <c r="E3197" s="2" t="str">
        <f>HYPERLINK("https://old.ukr-mobil.com/displej_sony_f3212_xperia_xa_ultra_dual_f3215_xperia_xa_ultra_dual_f3216_xperia_xa_ultra_dual_s_tachskrinom_grey_9034", "Перейти")</f>
        <v>Перейти</v>
      </c>
      <c r="F3197" s="2">
        <v>9034</v>
      </c>
      <c r="G3197" s="4" t="s">
        <v>3334</v>
      </c>
      <c r="H3197" s="1">
        <v>23</v>
      </c>
      <c r="I3197" s="1">
        <v>3</v>
      </c>
      <c r="J3197" s="1">
        <v>3</v>
      </c>
      <c r="K3197" s="2">
        <v>16.0</v>
      </c>
    </row>
    <row r="3198" spans="1:12">
      <c r="A3198" s="3" t="s">
        <v>2194</v>
      </c>
      <c r="B3198" s="3" t="s">
        <v>2526</v>
      </c>
      <c r="C3198" s="3" t="s">
        <v>676</v>
      </c>
      <c r="D3198" s="3"/>
      <c r="E3198" s="2" t="str">
        <f>HYPERLINK("https://old.ukr-mobil.com/displej_sony_f5121_xperia_x_f5122_xperia_x_dual_f8131_xperia_x_performance_f8132_xperia_x_performance_dual_s_tachskrinom_black_9031", "Перейти")</f>
        <v>Перейти</v>
      </c>
      <c r="F3198" s="2">
        <v>9031</v>
      </c>
      <c r="G3198" s="4" t="s">
        <v>3335</v>
      </c>
      <c r="H3198" s="1">
        <v>0</v>
      </c>
      <c r="I3198" s="1">
        <v>2</v>
      </c>
      <c r="J3198" s="1">
        <v>0</v>
      </c>
      <c r="K3198" s="2">
        <v>19.0</v>
      </c>
    </row>
    <row r="3199" spans="1:12">
      <c r="A3199" s="3" t="s">
        <v>2194</v>
      </c>
      <c r="B3199" s="3" t="s">
        <v>2526</v>
      </c>
      <c r="C3199" s="3" t="s">
        <v>676</v>
      </c>
      <c r="D3199" s="3"/>
      <c r="E3199" s="2" t="str">
        <f>HYPERLINK("https://old.ukr-mobil.com/displej_sony_f5121_xperia_x_f5122_xperia_x_dual_f8131_xperia_x_performance_f8132_xperia_x_performance_dual_s_tachskrinom_white_11469", "Перейти")</f>
        <v>Перейти</v>
      </c>
      <c r="F3199" s="2">
        <v>11469</v>
      </c>
      <c r="G3199" s="4" t="s">
        <v>3336</v>
      </c>
      <c r="H3199" s="1">
        <v>9</v>
      </c>
      <c r="I3199" s="1">
        <v>2</v>
      </c>
      <c r="J3199" s="1">
        <v>3</v>
      </c>
      <c r="K3199" s="2">
        <v>19.0</v>
      </c>
    </row>
    <row r="3200" spans="1:12">
      <c r="A3200" s="3" t="s">
        <v>2194</v>
      </c>
      <c r="B3200" s="3" t="s">
        <v>2526</v>
      </c>
      <c r="C3200" s="3" t="s">
        <v>676</v>
      </c>
      <c r="D3200" s="3"/>
      <c r="E3200" s="2" t="str">
        <f>HYPERLINK("https://old.ukr-mobil.com/displej_sony_f8331_f8332_xperia_xz_s_tachskrinom_original_prc_black_9036", "Перейти")</f>
        <v>Перейти</v>
      </c>
      <c r="F3200" s="2">
        <v>9036</v>
      </c>
      <c r="G3200" s="4" t="s">
        <v>3337</v>
      </c>
      <c r="H3200" s="1">
        <v>0</v>
      </c>
      <c r="I3200" s="1">
        <v>0</v>
      </c>
      <c r="J3200" s="1">
        <v>0</v>
      </c>
      <c r="K3200" s="2">
        <v>17.0</v>
      </c>
    </row>
    <row r="3201" spans="1:12">
      <c r="A3201" s="3" t="s">
        <v>2194</v>
      </c>
      <c r="B3201" s="3" t="s">
        <v>2526</v>
      </c>
      <c r="C3201" s="3" t="s">
        <v>676</v>
      </c>
      <c r="D3201" s="3"/>
      <c r="E3201" s="2" t="str">
        <f>HYPERLINK("https://old.ukr-mobil.com/displej_sony_g3112_xperia_xa1_dual_g3116_xperia_xa1_g3121_xperia_xa1_g3125_xperia_xa1_s_tachskrinom_black_9033", "Перейти")</f>
        <v>Перейти</v>
      </c>
      <c r="F3201" s="2">
        <v>9033</v>
      </c>
      <c r="G3201" s="4" t="s">
        <v>3338</v>
      </c>
      <c r="H3201" s="1">
        <v>3</v>
      </c>
      <c r="I3201" s="1">
        <v>2</v>
      </c>
      <c r="J3201" s="1">
        <v>2</v>
      </c>
      <c r="K3201" s="2">
        <v>9.0</v>
      </c>
    </row>
    <row r="3202" spans="1:12">
      <c r="A3202" s="3" t="s">
        <v>2194</v>
      </c>
      <c r="B3202" s="3" t="s">
        <v>2526</v>
      </c>
      <c r="C3202" s="3" t="s">
        <v>676</v>
      </c>
      <c r="D3202" s="3"/>
      <c r="E3202" s="2" t="str">
        <f>HYPERLINK("https://old.ukr-mobil.com/displej_sony_g3212_xperia_xa1_ultra_dual_g3221_xperia_xa1_ultra_g3223_xperia_xa1_ultra_g3226_xperia_xa1_ultra_dual_s_tachskrinom_original_black_11523", "Перейти")</f>
        <v>Перейти</v>
      </c>
      <c r="F3202" s="2">
        <v>11523</v>
      </c>
      <c r="G3202" s="4" t="s">
        <v>3339</v>
      </c>
      <c r="H3202" s="1">
        <v>2</v>
      </c>
      <c r="I3202" s="1">
        <v>2</v>
      </c>
      <c r="J3202" s="1">
        <v>0</v>
      </c>
      <c r="K3202" s="2">
        <v>23.0</v>
      </c>
    </row>
    <row r="3203" spans="1:12">
      <c r="A3203" s="3" t="s">
        <v>2194</v>
      </c>
      <c r="B3203" s="3" t="s">
        <v>2526</v>
      </c>
      <c r="C3203" s="3" t="s">
        <v>676</v>
      </c>
      <c r="D3203" s="3"/>
      <c r="E3203" s="2" t="str">
        <f>HYPERLINK("https://old.ukr-mobil.com/displej_sony_g3311_xperia_l1_g3312_xperia_l1_g3313_xperia_l1_s_tachskrinom_high_copy_black_9032", "Перейти")</f>
        <v>Перейти</v>
      </c>
      <c r="F3203" s="2">
        <v>9032</v>
      </c>
      <c r="G3203" s="4" t="s">
        <v>3340</v>
      </c>
      <c r="H3203" s="1">
        <v>1</v>
      </c>
      <c r="I3203" s="1">
        <v>1</v>
      </c>
      <c r="J3203" s="1">
        <v>1</v>
      </c>
      <c r="K3203" s="2">
        <v>14.0</v>
      </c>
    </row>
    <row r="3204" spans="1:12">
      <c r="A3204" s="3" t="s">
        <v>2194</v>
      </c>
      <c r="B3204" s="3" t="s">
        <v>2526</v>
      </c>
      <c r="C3204" s="3" t="s">
        <v>676</v>
      </c>
      <c r="D3204" s="3"/>
      <c r="E3204" s="2" t="str">
        <f>HYPERLINK("https://old.ukr-mobil.com/displej_sony_g3412_xperia_xa1_plus_dual_s_tachskrinom_black_10764", "Перейти")</f>
        <v>Перейти</v>
      </c>
      <c r="F3204" s="2">
        <v>10764</v>
      </c>
      <c r="G3204" s="4" t="s">
        <v>3341</v>
      </c>
      <c r="H3204" s="1">
        <v>0</v>
      </c>
      <c r="I3204" s="1">
        <v>0</v>
      </c>
      <c r="J3204" s="1">
        <v>0</v>
      </c>
      <c r="K3204" s="2">
        <v>26.0</v>
      </c>
    </row>
    <row r="3205" spans="1:12">
      <c r="A3205" s="3" t="s">
        <v>2194</v>
      </c>
      <c r="B3205" s="3" t="s">
        <v>2526</v>
      </c>
      <c r="C3205" s="3" t="s">
        <v>676</v>
      </c>
      <c r="D3205" s="3"/>
      <c r="E3205" s="2" t="str">
        <f>HYPERLINK("https://old.ukr-mobil.com/displej_sony_g8341_xperia_xz1_g8342_xperia_xz1_dual_s_tachskrinom_black_11519", "Перейти")</f>
        <v>Перейти</v>
      </c>
      <c r="F3205" s="2">
        <v>11519</v>
      </c>
      <c r="G3205" s="4" t="s">
        <v>3342</v>
      </c>
      <c r="H3205" s="1">
        <v>0</v>
      </c>
      <c r="I3205" s="1">
        <v>0</v>
      </c>
      <c r="J3205" s="1">
        <v>0</v>
      </c>
      <c r="K3205" s="2">
        <v>26.0</v>
      </c>
    </row>
    <row r="3206" spans="1:12">
      <c r="A3206" s="3" t="s">
        <v>2194</v>
      </c>
      <c r="B3206" s="3" t="s">
        <v>2526</v>
      </c>
      <c r="C3206" s="3" t="s">
        <v>676</v>
      </c>
      <c r="D3206" s="3"/>
      <c r="E3206" s="2" t="str">
        <f>HYPERLINK("https://old.ukr-mobil.com/displej_sony_h3113_xperia_xa2_h3123_xperia_xa2_h3133_xperia_xa2_h4113_xperia_xa2_h4133_xperia_xa2_s_tachskrinom_black_10002044", "Перейти")</f>
        <v>Перейти</v>
      </c>
      <c r="F3206" s="2">
        <v>10002044</v>
      </c>
      <c r="G3206" s="4" t="s">
        <v>3343</v>
      </c>
      <c r="H3206" s="1">
        <v>1</v>
      </c>
      <c r="I3206" s="1">
        <v>0</v>
      </c>
      <c r="J3206" s="1">
        <v>0</v>
      </c>
      <c r="K3206" s="2">
        <v>15.5</v>
      </c>
    </row>
    <row r="3207" spans="1:12">
      <c r="A3207" s="3" t="s">
        <v>2194</v>
      </c>
      <c r="B3207" s="3" t="s">
        <v>2526</v>
      </c>
      <c r="C3207" s="3" t="s">
        <v>676</v>
      </c>
      <c r="D3207" s="3"/>
      <c r="E3207" s="2" t="str">
        <f>HYPERLINK("https://old.ukr-mobil.com/displej_sony_h3113_xperia_xa2_h3123_xperia_xa2_h3133_xperia_xa2_h4113_xperia_xa2_h4133_xperia_xa2_s_tachskrinom_black_11293", "Перейти")</f>
        <v>Перейти</v>
      </c>
      <c r="F3207" s="2">
        <v>11293</v>
      </c>
      <c r="G3207" s="4" t="s">
        <v>3344</v>
      </c>
      <c r="H3207" s="1">
        <v>1</v>
      </c>
      <c r="I3207" s="1">
        <v>0</v>
      </c>
      <c r="J3207" s="1">
        <v>0</v>
      </c>
      <c r="K3207" s="2">
        <v>14.0</v>
      </c>
    </row>
    <row r="3208" spans="1:12">
      <c r="A3208" s="3" t="s">
        <v>2194</v>
      </c>
      <c r="B3208" s="3" t="s">
        <v>2526</v>
      </c>
      <c r="C3208" s="3" t="s">
        <v>676</v>
      </c>
      <c r="D3208" s="3"/>
      <c r="E3208" s="2" t="str">
        <f>HYPERLINK("https://old.ukr-mobil.com/displej_sony_h8266_xperia_xz2_s_tachskrinom_original_black_11521", "Перейти")</f>
        <v>Перейти</v>
      </c>
      <c r="F3208" s="2">
        <v>11521</v>
      </c>
      <c r="G3208" s="4" t="s">
        <v>3345</v>
      </c>
      <c r="H3208" s="1">
        <v>0</v>
      </c>
      <c r="I3208" s="1">
        <v>0</v>
      </c>
      <c r="J3208" s="1">
        <v>0</v>
      </c>
      <c r="K3208" s="2">
        <v>18.5</v>
      </c>
    </row>
    <row r="3209" spans="1:12">
      <c r="A3209" s="3" t="s">
        <v>2194</v>
      </c>
      <c r="B3209" s="3" t="s">
        <v>2526</v>
      </c>
      <c r="C3209" s="3" t="s">
        <v>676</v>
      </c>
      <c r="D3209" s="3"/>
      <c r="E3209" s="2" t="str">
        <f>HYPERLINK("https://old.ukr-mobil.com/displej_sony_i3113_xperia_10_i3123_xperia_10_l4113_xperia_10_l4193_xperia_10_s_tachskrinom_high_copy_black_11888", "Перейти")</f>
        <v>Перейти</v>
      </c>
      <c r="F3209" s="2">
        <v>11888</v>
      </c>
      <c r="G3209" s="4" t="s">
        <v>3346</v>
      </c>
      <c r="H3209" s="1">
        <v>2</v>
      </c>
      <c r="I3209" s="1">
        <v>2</v>
      </c>
      <c r="J3209" s="1">
        <v>0</v>
      </c>
      <c r="K3209" s="2">
        <v>16.0</v>
      </c>
    </row>
    <row r="3210" spans="1:12">
      <c r="A3210" s="3" t="s">
        <v>2194</v>
      </c>
      <c r="B3210" s="3" t="s">
        <v>2526</v>
      </c>
      <c r="C3210" s="3" t="s">
        <v>676</v>
      </c>
      <c r="D3210" s="3"/>
      <c r="E3210" s="2" t="str">
        <f>HYPERLINK("https://old.ukr-mobil.com/displej_sony_i3312_xperia_l3_s_tachskrinom_black_11890", "Перейти")</f>
        <v>Перейти</v>
      </c>
      <c r="F3210" s="2">
        <v>11890</v>
      </c>
      <c r="G3210" s="4" t="s">
        <v>3347</v>
      </c>
      <c r="H3210" s="1">
        <v>2</v>
      </c>
      <c r="I3210" s="1">
        <v>2</v>
      </c>
      <c r="J3210" s="1">
        <v>2</v>
      </c>
      <c r="K3210" s="2">
        <v>16.0</v>
      </c>
    </row>
    <row r="3211" spans="1:12">
      <c r="A3211" s="3" t="s">
        <v>2194</v>
      </c>
      <c r="B3211" s="3" t="s">
        <v>2526</v>
      </c>
      <c r="C3211" s="3" t="s">
        <v>676</v>
      </c>
      <c r="D3211" s="3"/>
      <c r="E3211" s="2" t="str">
        <f>HYPERLINK("https://old.ukr-mobil.com/displej_sony_l3213_xperia_10_plus_l4213_xperia_10_plus_s_tachskrinom_black_11889", "Перейти")</f>
        <v>Перейти</v>
      </c>
      <c r="F3211" s="2">
        <v>11889</v>
      </c>
      <c r="G3211" s="4" t="s">
        <v>3348</v>
      </c>
      <c r="H3211" s="1">
        <v>4</v>
      </c>
      <c r="I3211" s="1">
        <v>2</v>
      </c>
      <c r="J3211" s="1">
        <v>0</v>
      </c>
      <c r="K3211" s="2">
        <v>20.0</v>
      </c>
    </row>
    <row r="3212" spans="1:12">
      <c r="A3212" s="3" t="s">
        <v>2194</v>
      </c>
      <c r="B3212" s="3" t="s">
        <v>2526</v>
      </c>
      <c r="C3212" s="3" t="s">
        <v>1314</v>
      </c>
      <c r="D3212" s="3"/>
      <c r="E3212" s="2" t="str">
        <f>HYPERLINK("https://old.ukr-mobil.com/displej_tecno_camon_12_cc7_spark_4_kc8_s_tachskrinom_original_black_10002024", "Перейти")</f>
        <v>Перейти</v>
      </c>
      <c r="F3212" s="2">
        <v>10002024</v>
      </c>
      <c r="G3212" s="4" t="s">
        <v>3349</v>
      </c>
      <c r="H3212" s="1">
        <v>0</v>
      </c>
      <c r="I3212" s="1">
        <v>0</v>
      </c>
      <c r="J3212" s="1">
        <v>0</v>
      </c>
      <c r="K3212" s="2">
        <v>12.85</v>
      </c>
    </row>
    <row r="3213" spans="1:12">
      <c r="A3213" s="3" t="s">
        <v>2194</v>
      </c>
      <c r="B3213" s="3" t="s">
        <v>2526</v>
      </c>
      <c r="C3213" s="3" t="s">
        <v>1314</v>
      </c>
      <c r="D3213" s="3"/>
      <c r="E3213" s="2" t="str">
        <f>HYPERLINK("https://old.ukr-mobil.com/displej_tecno_camon_12_air_cc6_s_tachskrinom_original_black_10002258", "Перейти")</f>
        <v>Перейти</v>
      </c>
      <c r="F3213" s="2">
        <v>10002258</v>
      </c>
      <c r="G3213" s="4" t="s">
        <v>3350</v>
      </c>
      <c r="H3213" s="1">
        <v>1</v>
      </c>
      <c r="I3213" s="1">
        <v>0</v>
      </c>
      <c r="J3213" s="1">
        <v>0</v>
      </c>
      <c r="K3213" s="2">
        <v>10.3</v>
      </c>
    </row>
    <row r="3214" spans="1:12">
      <c r="A3214" s="3" t="s">
        <v>2194</v>
      </c>
      <c r="B3214" s="3" t="s">
        <v>2526</v>
      </c>
      <c r="C3214" s="3" t="s">
        <v>1314</v>
      </c>
      <c r="D3214" s="3"/>
      <c r="E3214" s="2" t="str">
        <f>HYPERLINK("https://old.ukr-mobil.com/displej_tecno_spark_5_pro_kd7_s_tachskrinom_original_black_10001896", "Перейти")</f>
        <v>Перейти</v>
      </c>
      <c r="F3214" s="2">
        <v>10001896</v>
      </c>
      <c r="G3214" s="4" t="s">
        <v>3351</v>
      </c>
      <c r="H3214" s="1">
        <v>0</v>
      </c>
      <c r="I3214" s="1">
        <v>0</v>
      </c>
      <c r="J3214" s="1">
        <v>0</v>
      </c>
      <c r="K3214" s="2">
        <v>13.25</v>
      </c>
    </row>
    <row r="3215" spans="1:12">
      <c r="A3215" s="3" t="s">
        <v>2194</v>
      </c>
      <c r="B3215" s="3" t="s">
        <v>2526</v>
      </c>
      <c r="C3215" s="3" t="s">
        <v>1314</v>
      </c>
      <c r="D3215" s="3"/>
      <c r="E3215" s="2" t="str">
        <f>HYPERLINK("https://old.ukr-mobil.com/displej_tecno_camon_17_pro_cg8_s_tachskrinom_original_black_10002932", "Перейти")</f>
        <v>Перейти</v>
      </c>
      <c r="F3215" s="2">
        <v>10002932</v>
      </c>
      <c r="G3215" s="4" t="s">
        <v>3352</v>
      </c>
      <c r="H3215" s="1">
        <v>64</v>
      </c>
      <c r="I3215" s="1">
        <v>19</v>
      </c>
      <c r="J3215" s="1">
        <v>14</v>
      </c>
      <c r="K3215" s="2">
        <v>12.7</v>
      </c>
    </row>
    <row r="3216" spans="1:12">
      <c r="A3216" s="3" t="s">
        <v>2194</v>
      </c>
      <c r="B3216" s="3" t="s">
        <v>2526</v>
      </c>
      <c r="C3216" s="3" t="s">
        <v>1314</v>
      </c>
      <c r="D3216" s="3"/>
      <c r="E3216" s="2" t="str">
        <f>HYPERLINK("https://old.ukr-mobil.com/displej_tecno_camon_17_pro_cg8_s_tachskrinom_original_black_10002025", "Перейти")</f>
        <v>Перейти</v>
      </c>
      <c r="F3216" s="2">
        <v>10002025</v>
      </c>
      <c r="G3216" s="4" t="s">
        <v>3353</v>
      </c>
      <c r="H3216" s="1">
        <v>0</v>
      </c>
      <c r="I3216" s="1">
        <v>0</v>
      </c>
      <c r="J3216" s="1">
        <v>0</v>
      </c>
      <c r="K3216" s="2">
        <v>18.0</v>
      </c>
    </row>
    <row r="3217" spans="1:12">
      <c r="A3217" s="3" t="s">
        <v>2194</v>
      </c>
      <c r="B3217" s="3" t="s">
        <v>2526</v>
      </c>
      <c r="C3217" s="3" t="s">
        <v>1314</v>
      </c>
      <c r="D3217" s="3"/>
      <c r="E3217" s="2" t="str">
        <f>HYPERLINK("https://old.ukr-mobil.com/displej_tecno_camon_18_ch6_camon_18p_ch7n_camon_18t_s_tachskrinom_original_black_10002931", "Перейти")</f>
        <v>Перейти</v>
      </c>
      <c r="F3217" s="2">
        <v>10002931</v>
      </c>
      <c r="G3217" s="4" t="s">
        <v>3354</v>
      </c>
      <c r="H3217" s="1">
        <v>0</v>
      </c>
      <c r="I3217" s="1">
        <v>0</v>
      </c>
      <c r="J3217" s="1">
        <v>0</v>
      </c>
      <c r="K3217" s="2">
        <v>15.2</v>
      </c>
    </row>
    <row r="3218" spans="1:12">
      <c r="A3218" s="3" t="s">
        <v>2194</v>
      </c>
      <c r="B3218" s="3" t="s">
        <v>2526</v>
      </c>
      <c r="C3218" s="3" t="s">
        <v>1314</v>
      </c>
      <c r="D3218" s="3"/>
      <c r="E3218" s="2" t="str">
        <f>HYPERLINK("https://old.ukr-mobil.com/displej_tecno_camon_19_ci6n_s_tachskrinom_original_black_10003175", "Перейти")</f>
        <v>Перейти</v>
      </c>
      <c r="F3218" s="2">
        <v>10003175</v>
      </c>
      <c r="G3218" s="4" t="s">
        <v>3355</v>
      </c>
      <c r="H3218" s="1">
        <v>6</v>
      </c>
      <c r="I3218" s="1">
        <v>2</v>
      </c>
      <c r="J3218" s="1">
        <v>2</v>
      </c>
      <c r="K3218" s="2">
        <v>14.5</v>
      </c>
    </row>
    <row r="3219" spans="1:12">
      <c r="A3219" s="3" t="s">
        <v>2194</v>
      </c>
      <c r="B3219" s="3" t="s">
        <v>2526</v>
      </c>
      <c r="C3219" s="3" t="s">
        <v>1314</v>
      </c>
      <c r="D3219" s="3"/>
      <c r="E3219" s="2" t="str">
        <f>HYPERLINK("https://old.ukr-mobil.com/displej_tecno_pop_4_bc2_s_tachskrinom_original_black_10001897", "Перейти")</f>
        <v>Перейти</v>
      </c>
      <c r="F3219" s="2">
        <v>10001897</v>
      </c>
      <c r="G3219" s="4" t="s">
        <v>3356</v>
      </c>
      <c r="H3219" s="1">
        <v>0</v>
      </c>
      <c r="I3219" s="1">
        <v>0</v>
      </c>
      <c r="J3219" s="1">
        <v>0</v>
      </c>
      <c r="K3219" s="2">
        <v>26.3</v>
      </c>
    </row>
    <row r="3220" spans="1:12">
      <c r="A3220" s="3" t="s">
        <v>2194</v>
      </c>
      <c r="B3220" s="3" t="s">
        <v>2526</v>
      </c>
      <c r="C3220" s="3" t="s">
        <v>1314</v>
      </c>
      <c r="D3220" s="3"/>
      <c r="E3220" s="2" t="str">
        <f>HYPERLINK("https://old.ukr-mobil.com/displej_tecno_pova_2_le7n_s_tachskrinom_original_black_10002446", "Перейти")</f>
        <v>Перейти</v>
      </c>
      <c r="F3220" s="2">
        <v>10002446</v>
      </c>
      <c r="G3220" s="4" t="s">
        <v>3357</v>
      </c>
      <c r="H3220" s="1">
        <v>0</v>
      </c>
      <c r="I3220" s="1">
        <v>0</v>
      </c>
      <c r="J3220" s="1">
        <v>0</v>
      </c>
      <c r="K3220" s="2">
        <v>13.85</v>
      </c>
    </row>
    <row r="3221" spans="1:12">
      <c r="A3221" s="3" t="s">
        <v>2194</v>
      </c>
      <c r="B3221" s="3" t="s">
        <v>2526</v>
      </c>
      <c r="C3221" s="3" t="s">
        <v>1314</v>
      </c>
      <c r="D3221" s="3"/>
      <c r="E3221" s="2" t="str">
        <f>HYPERLINK("https://old.ukr-mobil.com/index.php?route=product&amp;product_id=10005097", "Перейти")</f>
        <v>Перейти</v>
      </c>
      <c r="F3221" s="2">
        <v>10005097</v>
      </c>
      <c r="G3221" s="4" t="s">
        <v>3358</v>
      </c>
      <c r="H3221" s="1">
        <v>0</v>
      </c>
      <c r="I3221" s="1">
        <v>0</v>
      </c>
      <c r="J3221" s="1">
        <v>0</v>
      </c>
      <c r="K3221" s="2">
        <v>10.8</v>
      </c>
    </row>
    <row r="3222" spans="1:12">
      <c r="A3222" s="3" t="s">
        <v>2194</v>
      </c>
      <c r="B3222" s="3" t="s">
        <v>2526</v>
      </c>
      <c r="C3222" s="3" t="s">
        <v>1314</v>
      </c>
      <c r="D3222" s="3"/>
      <c r="E3222" s="2" t="str">
        <f>HYPERLINK("https://old.ukr-mobil.com/displej_tecno_spark_10_pro_ki7_s_tachskrinom_original_black_10004317", "Перейти")</f>
        <v>Перейти</v>
      </c>
      <c r="F3222" s="2">
        <v>10004317</v>
      </c>
      <c r="G3222" s="4" t="s">
        <v>3359</v>
      </c>
      <c r="H3222" s="1">
        <v>7</v>
      </c>
      <c r="I3222" s="1">
        <v>0</v>
      </c>
      <c r="J3222" s="1">
        <v>3</v>
      </c>
      <c r="K3222" s="2">
        <v>18.9</v>
      </c>
    </row>
    <row r="3223" spans="1:12">
      <c r="A3223" s="3" t="s">
        <v>2194</v>
      </c>
      <c r="B3223" s="3" t="s">
        <v>2526</v>
      </c>
      <c r="C3223" s="3" t="s">
        <v>1314</v>
      </c>
      <c r="D3223" s="3"/>
      <c r="E3223" s="2" t="str">
        <f>HYPERLINK("https://old.ukr-mobil.com/displej_tecno_spark_6_ke7_camon_16_se_ce7j_s_tachskrinom_original_prc_black_10002724", "Перейти")</f>
        <v>Перейти</v>
      </c>
      <c r="F3223" s="2">
        <v>10002724</v>
      </c>
      <c r="G3223" s="4" t="s">
        <v>3360</v>
      </c>
      <c r="H3223" s="1">
        <v>0</v>
      </c>
      <c r="I3223" s="1">
        <v>0</v>
      </c>
      <c r="J3223" s="1">
        <v>0</v>
      </c>
      <c r="K3223" s="2">
        <v>11.0</v>
      </c>
    </row>
    <row r="3224" spans="1:12">
      <c r="A3224" s="3" t="s">
        <v>2194</v>
      </c>
      <c r="B3224" s="3" t="s">
        <v>2526</v>
      </c>
      <c r="C3224" s="3" t="s">
        <v>1314</v>
      </c>
      <c r="D3224" s="3"/>
      <c r="E3224" s="2" t="str">
        <f>HYPERLINK("https://old.ukr-mobil.com/displej_tecno_spark_6_go_ke5_s_tachskrinom_high_quality_black_10003287", "Перейти")</f>
        <v>Перейти</v>
      </c>
      <c r="F3224" s="2">
        <v>10003287</v>
      </c>
      <c r="G3224" s="4" t="s">
        <v>3361</v>
      </c>
      <c r="H3224" s="1">
        <v>0</v>
      </c>
      <c r="I3224" s="1">
        <v>0</v>
      </c>
      <c r="J3224" s="1">
        <v>0</v>
      </c>
      <c r="K3224" s="2">
        <v>12.5</v>
      </c>
    </row>
    <row r="3225" spans="1:12">
      <c r="A3225" s="3" t="s">
        <v>2194</v>
      </c>
      <c r="B3225" s="3" t="s">
        <v>2526</v>
      </c>
      <c r="C3225" s="3" t="s">
        <v>1314</v>
      </c>
      <c r="D3225" s="3"/>
      <c r="E3225" s="2" t="str">
        <f>HYPERLINK("https://old.ukr-mobil.com/displej_tecno_spark_6_go_ke5_s_tachskrinom_original_black_10002026", "Перейти")</f>
        <v>Перейти</v>
      </c>
      <c r="F3225" s="2">
        <v>10002026</v>
      </c>
      <c r="G3225" s="4" t="s">
        <v>3362</v>
      </c>
      <c r="H3225" s="1">
        <v>0</v>
      </c>
      <c r="I3225" s="1">
        <v>0</v>
      </c>
      <c r="J3225" s="1">
        <v>0</v>
      </c>
      <c r="K3225" s="2">
        <v>13.5</v>
      </c>
    </row>
    <row r="3226" spans="1:12">
      <c r="A3226" s="3" t="s">
        <v>2194</v>
      </c>
      <c r="B3226" s="3" t="s">
        <v>2526</v>
      </c>
      <c r="C3226" s="3" t="s">
        <v>1314</v>
      </c>
      <c r="D3226" s="3"/>
      <c r="E3226" s="2" t="str">
        <f>HYPERLINK("https://old.ukr-mobil.com/displej_tecno_spark_7_kf6n_s_tachskrinom_high_quality_black_10003309", "Перейти")</f>
        <v>Перейти</v>
      </c>
      <c r="F3226" s="2">
        <v>10003309</v>
      </c>
      <c r="G3226" s="4" t="s">
        <v>3363</v>
      </c>
      <c r="H3226" s="1">
        <v>0</v>
      </c>
      <c r="I3226" s="1">
        <v>0</v>
      </c>
      <c r="J3226" s="1">
        <v>0</v>
      </c>
      <c r="K3226" s="2">
        <v>12.0</v>
      </c>
    </row>
    <row r="3227" spans="1:12">
      <c r="A3227" s="3" t="s">
        <v>2194</v>
      </c>
      <c r="B3227" s="3" t="s">
        <v>2526</v>
      </c>
      <c r="C3227" s="3" t="s">
        <v>1314</v>
      </c>
      <c r="D3227" s="3"/>
      <c r="E3227" s="2" t="str">
        <f>HYPERLINK("https://old.ukr-mobil.com/displej_tecno_spark_7_kf6n_s_tachskrinom_original_black_10002071", "Перейти")</f>
        <v>Перейти</v>
      </c>
      <c r="F3227" s="2">
        <v>10002071</v>
      </c>
      <c r="G3227" s="4" t="s">
        <v>3364</v>
      </c>
      <c r="H3227" s="1">
        <v>0</v>
      </c>
      <c r="I3227" s="1">
        <v>0</v>
      </c>
      <c r="J3227" s="1">
        <v>0</v>
      </c>
      <c r="K3227" s="2">
        <v>9.85</v>
      </c>
    </row>
    <row r="3228" spans="1:12">
      <c r="A3228" s="3" t="s">
        <v>2194</v>
      </c>
      <c r="B3228" s="3" t="s">
        <v>2526</v>
      </c>
      <c r="C3228" s="3" t="s">
        <v>1314</v>
      </c>
      <c r="D3228" s="3"/>
      <c r="E3228" s="2" t="str">
        <f>HYPERLINK("https://old.ukr-mobil.com/displej_tecno_spark_7_pro_kf8_camon_17_cg6_s_tachskrinom_original_black_10002114", "Перейти")</f>
        <v>Перейти</v>
      </c>
      <c r="F3228" s="2">
        <v>10002114</v>
      </c>
      <c r="G3228" s="4" t="s">
        <v>3365</v>
      </c>
      <c r="H3228" s="1">
        <v>21</v>
      </c>
      <c r="I3228" s="1">
        <v>8</v>
      </c>
      <c r="J3228" s="1">
        <v>4</v>
      </c>
      <c r="K3228" s="2">
        <v>10.5</v>
      </c>
    </row>
    <row r="3229" spans="1:12">
      <c r="A3229" s="3" t="s">
        <v>2194</v>
      </c>
      <c r="B3229" s="3" t="s">
        <v>2526</v>
      </c>
      <c r="C3229" s="3" t="s">
        <v>1314</v>
      </c>
      <c r="D3229" s="3"/>
      <c r="E3229" s="2" t="str">
        <f>HYPERLINK("https://old.ukr-mobil.com/displej_tecno_spark_6_go_2022_spark_8c_kg5n_kg5k_kg5j_s_tachskrinom_original_black_10003263", "Перейти")</f>
        <v>Перейти</v>
      </c>
      <c r="F3229" s="2">
        <v>10003263</v>
      </c>
      <c r="G3229" s="4" t="s">
        <v>3366</v>
      </c>
      <c r="H3229" s="1">
        <v>4</v>
      </c>
      <c r="I3229" s="1">
        <v>1</v>
      </c>
      <c r="J3229" s="1">
        <v>2</v>
      </c>
      <c r="K3229" s="2">
        <v>12.5</v>
      </c>
    </row>
    <row r="3230" spans="1:12">
      <c r="A3230" s="3" t="s">
        <v>2194</v>
      </c>
      <c r="B3230" s="3" t="s">
        <v>2526</v>
      </c>
      <c r="C3230" s="3" t="s">
        <v>1314</v>
      </c>
      <c r="D3230" s="3"/>
      <c r="E3230" s="2" t="str">
        <f>HYPERLINK("https://old.ukr-mobil.com/displej_tecno_spark_8p_kg7n_s_tachskrinom_original_black_10002445", "Перейти")</f>
        <v>Перейти</v>
      </c>
      <c r="F3230" s="2">
        <v>10002445</v>
      </c>
      <c r="G3230" s="4" t="s">
        <v>3367</v>
      </c>
      <c r="H3230" s="1">
        <v>0</v>
      </c>
      <c r="I3230" s="1">
        <v>0</v>
      </c>
      <c r="J3230" s="1">
        <v>0</v>
      </c>
      <c r="K3230" s="2">
        <v>9.3</v>
      </c>
    </row>
    <row r="3231" spans="1:12">
      <c r="A3231" s="3" t="s">
        <v>2194</v>
      </c>
      <c r="B3231" s="3" t="s">
        <v>2526</v>
      </c>
      <c r="C3231" s="3" t="s">
        <v>1314</v>
      </c>
      <c r="D3231" s="3"/>
      <c r="E3231" s="2" t="str">
        <f>HYPERLINK("https://old.ukr-mobil.com/displej_tecno_spark_9_pro_kh7n_s_tachskrinom_original_black_10003262", "Перейти")</f>
        <v>Перейти</v>
      </c>
      <c r="F3231" s="2">
        <v>10003262</v>
      </c>
      <c r="G3231" s="4" t="s">
        <v>3368</v>
      </c>
      <c r="H3231" s="1">
        <v>0</v>
      </c>
      <c r="I3231" s="1">
        <v>0</v>
      </c>
      <c r="J3231" s="1">
        <v>0</v>
      </c>
      <c r="K3231" s="2">
        <v>10.5</v>
      </c>
    </row>
    <row r="3232" spans="1:12">
      <c r="A3232" s="3" t="s">
        <v>2194</v>
      </c>
      <c r="B3232" s="3" t="s">
        <v>2526</v>
      </c>
      <c r="C3232" s="3" t="s">
        <v>1314</v>
      </c>
      <c r="D3232" s="3"/>
      <c r="E3232" s="2" t="str">
        <f>HYPERLINK("https://old.ukr-mobil.com/index.php?route=product&amp;product_id=10004571", "Перейти")</f>
        <v>Перейти</v>
      </c>
      <c r="F3232" s="2">
        <v>10004571</v>
      </c>
      <c r="G3232" s="4" t="s">
        <v>3369</v>
      </c>
      <c r="H3232" s="1">
        <v>46</v>
      </c>
      <c r="I3232" s="1">
        <v>10</v>
      </c>
      <c r="J3232" s="1">
        <v>7</v>
      </c>
      <c r="K3232" s="2">
        <v>9.15</v>
      </c>
    </row>
    <row r="3233" spans="1:12">
      <c r="A3233" s="3" t="s">
        <v>2194</v>
      </c>
      <c r="B3233" s="3" t="s">
        <v>2526</v>
      </c>
      <c r="C3233" s="3" t="s">
        <v>1314</v>
      </c>
      <c r="D3233" s="3"/>
      <c r="E3233" s="2" t="str">
        <f>HYPERLINK("https://old.ukr-mobil.com/displej_tecno_spark_go_2023_pop_7_bf6_s_tachskrinom_original_black_10004315", "Перейти")</f>
        <v>Перейти</v>
      </c>
      <c r="F3233" s="2">
        <v>10004315</v>
      </c>
      <c r="G3233" s="4" t="s">
        <v>3370</v>
      </c>
      <c r="H3233" s="1">
        <v>6</v>
      </c>
      <c r="I3233" s="1">
        <v>2</v>
      </c>
      <c r="J3233" s="1">
        <v>2</v>
      </c>
      <c r="K3233" s="2">
        <v>10.2</v>
      </c>
    </row>
    <row r="3234" spans="1:12">
      <c r="A3234" s="3" t="s">
        <v>2194</v>
      </c>
      <c r="B3234" s="3" t="s">
        <v>2526</v>
      </c>
      <c r="C3234" s="3" t="s">
        <v>3371</v>
      </c>
      <c r="D3234" s="3"/>
      <c r="E3234" s="2" t="str">
        <f>HYPERLINK("https://old.ukr-mobil.com/displej_ulefone_armor_12_s_tachskrinom_original_black_10003904", "Перейти")</f>
        <v>Перейти</v>
      </c>
      <c r="F3234" s="2">
        <v>10003904</v>
      </c>
      <c r="G3234" s="4" t="s">
        <v>3372</v>
      </c>
      <c r="H3234" s="1">
        <v>6</v>
      </c>
      <c r="I3234" s="1">
        <v>2</v>
      </c>
      <c r="J3234" s="1">
        <v>3</v>
      </c>
      <c r="K3234" s="2">
        <v>28.0</v>
      </c>
    </row>
    <row r="3235" spans="1:12">
      <c r="A3235" s="3" t="s">
        <v>2194</v>
      </c>
      <c r="B3235" s="3" t="s">
        <v>2526</v>
      </c>
      <c r="C3235" s="3" t="s">
        <v>3371</v>
      </c>
      <c r="D3235" s="3"/>
      <c r="E3235" s="2" t="str">
        <f>HYPERLINK("https://old.ukr-mobil.com/displej_ulefone_armor_7_armor_7e_s_tachskrinom_original_black_10003905", "Перейти")</f>
        <v>Перейти</v>
      </c>
      <c r="F3235" s="2">
        <v>10003905</v>
      </c>
      <c r="G3235" s="4" t="s">
        <v>3373</v>
      </c>
      <c r="H3235" s="1">
        <v>1</v>
      </c>
      <c r="I3235" s="1">
        <v>1</v>
      </c>
      <c r="J3235" s="1">
        <v>0</v>
      </c>
      <c r="K3235" s="2">
        <v>26.0</v>
      </c>
    </row>
    <row r="3236" spans="1:12">
      <c r="A3236" s="3" t="s">
        <v>2194</v>
      </c>
      <c r="B3236" s="3" t="s">
        <v>2526</v>
      </c>
      <c r="C3236" s="3" t="s">
        <v>3374</v>
      </c>
      <c r="D3236" s="3"/>
      <c r="E3236" s="2" t="str">
        <f>HYPERLINK("https://old.ukr-mobil.com/displej_umidigi_a11_pro_max_s_tachskrinom_original_black_10003898", "Перейти")</f>
        <v>Перейти</v>
      </c>
      <c r="F3236" s="2">
        <v>10003898</v>
      </c>
      <c r="G3236" s="4" t="s">
        <v>3375</v>
      </c>
      <c r="H3236" s="1">
        <v>1</v>
      </c>
      <c r="I3236" s="1">
        <v>2</v>
      </c>
      <c r="J3236" s="1">
        <v>3</v>
      </c>
      <c r="K3236" s="2">
        <v>25.2</v>
      </c>
    </row>
    <row r="3237" spans="1:12">
      <c r="A3237" s="3" t="s">
        <v>2194</v>
      </c>
      <c r="B3237" s="3" t="s">
        <v>2526</v>
      </c>
      <c r="C3237" s="3" t="s">
        <v>3374</v>
      </c>
      <c r="D3237" s="3"/>
      <c r="E3237" s="2" t="str">
        <f>HYPERLINK("https://old.ukr-mobil.com/displej_umidigi_a11_a9_power_5_power_5s_s_tachskrinom_original_black_10003897", "Перейти")</f>
        <v>Перейти</v>
      </c>
      <c r="F3237" s="2">
        <v>10003897</v>
      </c>
      <c r="G3237" s="4" t="s">
        <v>3376</v>
      </c>
      <c r="H3237" s="1">
        <v>2</v>
      </c>
      <c r="I3237" s="1">
        <v>2</v>
      </c>
      <c r="J3237" s="1">
        <v>2</v>
      </c>
      <c r="K3237" s="2">
        <v>10.85</v>
      </c>
    </row>
    <row r="3238" spans="1:12">
      <c r="A3238" s="3" t="s">
        <v>2194</v>
      </c>
      <c r="B3238" s="3" t="s">
        <v>2526</v>
      </c>
      <c r="C3238" s="3" t="s">
        <v>3374</v>
      </c>
      <c r="D3238" s="3"/>
      <c r="E3238" s="2" t="str">
        <f>HYPERLINK("https://old.ukr-mobil.com/displej_umidigi_a9_pro_s_tachskrinom_original_black_10003900", "Перейти")</f>
        <v>Перейти</v>
      </c>
      <c r="F3238" s="2">
        <v>10003900</v>
      </c>
      <c r="G3238" s="4" t="s">
        <v>3377</v>
      </c>
      <c r="H3238" s="1">
        <v>5</v>
      </c>
      <c r="I3238" s="1">
        <v>3</v>
      </c>
      <c r="J3238" s="1">
        <v>1</v>
      </c>
      <c r="K3238" s="2">
        <v>26.0</v>
      </c>
    </row>
    <row r="3239" spans="1:12">
      <c r="A3239" s="3" t="s">
        <v>2194</v>
      </c>
      <c r="B3239" s="3" t="s">
        <v>2526</v>
      </c>
      <c r="C3239" s="3" t="s">
        <v>3374</v>
      </c>
      <c r="D3239" s="3"/>
      <c r="E3239" s="2" t="str">
        <f>HYPERLINK("https://old.ukr-mobil.com/displej_umidigi_bison_s_tachskrinom_original_black_10003901", "Перейти")</f>
        <v>Перейти</v>
      </c>
      <c r="F3239" s="2">
        <v>10003901</v>
      </c>
      <c r="G3239" s="4" t="s">
        <v>3378</v>
      </c>
      <c r="H3239" s="1">
        <v>3</v>
      </c>
      <c r="I3239" s="1">
        <v>4</v>
      </c>
      <c r="J3239" s="1">
        <v>5</v>
      </c>
      <c r="K3239" s="2">
        <v>20.95</v>
      </c>
    </row>
    <row r="3240" spans="1:12">
      <c r="A3240" s="3" t="s">
        <v>2194</v>
      </c>
      <c r="B3240" s="3" t="s">
        <v>2526</v>
      </c>
      <c r="C3240" s="3" t="s">
        <v>3374</v>
      </c>
      <c r="D3240" s="3"/>
      <c r="E3240" s="2" t="str">
        <f>HYPERLINK("https://old.ukr-mobil.com/displej_umidigi_x10g_x10s_s_tachskrinom_original_black_10003903", "Перейти")</f>
        <v>Перейти</v>
      </c>
      <c r="F3240" s="2">
        <v>10003903</v>
      </c>
      <c r="G3240" s="4" t="s">
        <v>3379</v>
      </c>
      <c r="H3240" s="1">
        <v>3</v>
      </c>
      <c r="I3240" s="1">
        <v>2</v>
      </c>
      <c r="J3240" s="1">
        <v>2</v>
      </c>
      <c r="K3240" s="2">
        <v>23.5</v>
      </c>
    </row>
    <row r="3241" spans="1:12">
      <c r="A3241" s="3" t="s">
        <v>2194</v>
      </c>
      <c r="B3241" s="3" t="s">
        <v>2526</v>
      </c>
      <c r="C3241" s="3" t="s">
        <v>812</v>
      </c>
      <c r="D3241" s="3"/>
      <c r="E3241" s="2" t="str">
        <f>HYPERLINK("https://old.ukr-mobil.com/displej_vivo_v21e_v2061_s_tachskrinom_oled_black_10002438", "Перейти")</f>
        <v>Перейти</v>
      </c>
      <c r="F3241" s="2">
        <v>10002438</v>
      </c>
      <c r="G3241" s="4" t="s">
        <v>3380</v>
      </c>
      <c r="H3241" s="1">
        <v>0</v>
      </c>
      <c r="I3241" s="1">
        <v>0</v>
      </c>
      <c r="J3241" s="1">
        <v>0</v>
      </c>
      <c r="K3241" s="2">
        <v>23.25</v>
      </c>
    </row>
    <row r="3242" spans="1:12">
      <c r="A3242" s="3" t="s">
        <v>2194</v>
      </c>
      <c r="B3242" s="3" t="s">
        <v>2526</v>
      </c>
      <c r="C3242" s="3" t="s">
        <v>812</v>
      </c>
      <c r="D3242" s="3"/>
      <c r="E3242" s="2" t="str">
        <f>HYPERLINK("https://old.ukr-mobil.com/displej_vivo_v20_v20_se_s_tachskrinom_original_prc_black_10001487", "Перейти")</f>
        <v>Перейти</v>
      </c>
      <c r="F3242" s="2">
        <v>10001487</v>
      </c>
      <c r="G3242" s="4" t="s">
        <v>3381</v>
      </c>
      <c r="H3242" s="1">
        <v>3</v>
      </c>
      <c r="I3242" s="1">
        <v>0</v>
      </c>
      <c r="J3242" s="1">
        <v>1</v>
      </c>
      <c r="K3242" s="2">
        <v>21.0</v>
      </c>
    </row>
    <row r="3243" spans="1:12">
      <c r="A3243" s="3" t="s">
        <v>2194</v>
      </c>
      <c r="B3243" s="3" t="s">
        <v>2526</v>
      </c>
      <c r="C3243" s="3" t="s">
        <v>812</v>
      </c>
      <c r="D3243" s="3"/>
      <c r="E3243" s="2" t="str">
        <f>HYPERLINK("https://old.ukr-mobil.com/displej_vivo_v21e_v2061_s_tachskrinom_incell_tft_black_10002384", "Перейти")</f>
        <v>Перейти</v>
      </c>
      <c r="F3243" s="2">
        <v>10002384</v>
      </c>
      <c r="G3243" s="4" t="s">
        <v>3382</v>
      </c>
      <c r="H3243" s="1">
        <v>12</v>
      </c>
      <c r="I3243" s="1">
        <v>2</v>
      </c>
      <c r="J3243" s="1">
        <v>2</v>
      </c>
      <c r="K3243" s="2">
        <v>12.2</v>
      </c>
    </row>
    <row r="3244" spans="1:12">
      <c r="A3244" s="3" t="s">
        <v>2194</v>
      </c>
      <c r="B3244" s="3" t="s">
        <v>2526</v>
      </c>
      <c r="C3244" s="3" t="s">
        <v>812</v>
      </c>
      <c r="D3244" s="3"/>
      <c r="E3244" s="2" t="str">
        <f>HYPERLINK("https://old.ukr-mobil.com/displej_vivo_v20_s_tachskrinom_oled_black_10003689", "Перейти")</f>
        <v>Перейти</v>
      </c>
      <c r="F3244" s="2">
        <v>10003689</v>
      </c>
      <c r="G3244" s="4" t="s">
        <v>3383</v>
      </c>
      <c r="H3244" s="1">
        <v>0</v>
      </c>
      <c r="I3244" s="1">
        <v>0</v>
      </c>
      <c r="J3244" s="1">
        <v>0</v>
      </c>
      <c r="K3244" s="2">
        <v>23.25</v>
      </c>
    </row>
    <row r="3245" spans="1:12">
      <c r="A3245" s="3" t="s">
        <v>2194</v>
      </c>
      <c r="B3245" s="3" t="s">
        <v>2526</v>
      </c>
      <c r="C3245" s="3" t="s">
        <v>812</v>
      </c>
      <c r="D3245" s="3"/>
      <c r="E3245" s="2" t="str">
        <f>HYPERLINK("https://old.ukr-mobil.com/displej_vivo_v21_v2050_v2066_v2108_s_tachskrinom_incell_tft_black_10002387", "Перейти")</f>
        <v>Перейти</v>
      </c>
      <c r="F3245" s="2">
        <v>10002387</v>
      </c>
      <c r="G3245" s="4" t="s">
        <v>3384</v>
      </c>
      <c r="H3245" s="1">
        <v>8</v>
      </c>
      <c r="I3245" s="1">
        <v>1</v>
      </c>
      <c r="J3245" s="1">
        <v>2</v>
      </c>
      <c r="K3245" s="2">
        <v>15.0</v>
      </c>
    </row>
    <row r="3246" spans="1:12">
      <c r="A3246" s="3" t="s">
        <v>2194</v>
      </c>
      <c r="B3246" s="3" t="s">
        <v>2526</v>
      </c>
      <c r="C3246" s="3" t="s">
        <v>812</v>
      </c>
      <c r="D3246" s="3"/>
      <c r="E3246" s="2" t="str">
        <f>HYPERLINK("https://old.ukr-mobil.com/displej_vivo_v21_v2050_v2066_v2108_s_tachskrinom_oled_black_10003607", "Перейти")</f>
        <v>Перейти</v>
      </c>
      <c r="F3246" s="2">
        <v>10003607</v>
      </c>
      <c r="G3246" s="4" t="s">
        <v>3385</v>
      </c>
      <c r="H3246" s="1">
        <v>0</v>
      </c>
      <c r="I3246" s="1">
        <v>2</v>
      </c>
      <c r="J3246" s="1">
        <v>2</v>
      </c>
      <c r="K3246" s="2">
        <v>35.0</v>
      </c>
    </row>
    <row r="3247" spans="1:12">
      <c r="A3247" s="3" t="s">
        <v>2194</v>
      </c>
      <c r="B3247" s="3" t="s">
        <v>2526</v>
      </c>
      <c r="C3247" s="3" t="s">
        <v>812</v>
      </c>
      <c r="D3247" s="3"/>
      <c r="E3247" s="2" t="str">
        <f>HYPERLINK("https://old.ukr-mobil.com/displej_vivo_y02_s_tachskrinom_high_quality_black_10003566", "Перейти")</f>
        <v>Перейти</v>
      </c>
      <c r="F3247" s="2">
        <v>10003566</v>
      </c>
      <c r="G3247" s="4" t="s">
        <v>3386</v>
      </c>
      <c r="H3247" s="1">
        <v>2</v>
      </c>
      <c r="I3247" s="1">
        <v>4</v>
      </c>
      <c r="J3247" s="1">
        <v>3</v>
      </c>
      <c r="K3247" s="2">
        <v>9.0</v>
      </c>
    </row>
    <row r="3248" spans="1:12">
      <c r="A3248" s="3" t="s">
        <v>2194</v>
      </c>
      <c r="B3248" s="3" t="s">
        <v>2526</v>
      </c>
      <c r="C3248" s="3" t="s">
        <v>812</v>
      </c>
      <c r="D3248" s="3"/>
      <c r="E3248" s="2" t="str">
        <f>HYPERLINK("https://old.ukr-mobil.com/displej_vivo_y33s_s_tachskrinom_original_prc_black_10004279", "Перейти")</f>
        <v>Перейти</v>
      </c>
      <c r="F3248" s="2">
        <v>10004279</v>
      </c>
      <c r="G3248" s="4" t="s">
        <v>3387</v>
      </c>
      <c r="H3248" s="1">
        <v>15</v>
      </c>
      <c r="I3248" s="1">
        <v>8</v>
      </c>
      <c r="J3248" s="1">
        <v>0</v>
      </c>
      <c r="K3248" s="2">
        <v>10.0</v>
      </c>
    </row>
    <row r="3249" spans="1:12">
      <c r="A3249" s="3" t="s">
        <v>2194</v>
      </c>
      <c r="B3249" s="3" t="s">
        <v>2526</v>
      </c>
      <c r="C3249" s="3" t="s">
        <v>812</v>
      </c>
      <c r="D3249" s="3"/>
      <c r="E3249" s="2" t="str">
        <f>HYPERLINK("https://old.ukr-mobil.com/displej_vivo_y15_y17_s_tachskrinom_original_prc_black_10000543", "Перейти")</f>
        <v>Перейти</v>
      </c>
      <c r="F3249" s="2">
        <v>10000543</v>
      </c>
      <c r="G3249" s="4" t="s">
        <v>3388</v>
      </c>
      <c r="H3249" s="1">
        <v>0</v>
      </c>
      <c r="I3249" s="1">
        <v>0</v>
      </c>
      <c r="J3249" s="1">
        <v>0</v>
      </c>
      <c r="K3249" s="2">
        <v>14.0</v>
      </c>
    </row>
    <row r="3250" spans="1:12">
      <c r="A3250" s="3" t="s">
        <v>2194</v>
      </c>
      <c r="B3250" s="3" t="s">
        <v>2526</v>
      </c>
      <c r="C3250" s="3" t="s">
        <v>812</v>
      </c>
      <c r="D3250" s="3"/>
      <c r="E3250" s="2" t="str">
        <f>HYPERLINK("https://old.ukr-mobil.com/displej_vivo_y15a_y15c_y15s_s_tachskrinom_original_prc_black_10003565", "Перейти")</f>
        <v>Перейти</v>
      </c>
      <c r="F3250" s="2">
        <v>10003565</v>
      </c>
      <c r="G3250" s="4" t="s">
        <v>3389</v>
      </c>
      <c r="H3250" s="1">
        <v>0</v>
      </c>
      <c r="I3250" s="1">
        <v>0</v>
      </c>
      <c r="J3250" s="1">
        <v>0</v>
      </c>
      <c r="K3250" s="2">
        <v>14.0</v>
      </c>
    </row>
    <row r="3251" spans="1:12">
      <c r="A3251" s="3" t="s">
        <v>2194</v>
      </c>
      <c r="B3251" s="3" t="s">
        <v>2526</v>
      </c>
      <c r="C3251" s="3" t="s">
        <v>812</v>
      </c>
      <c r="D3251" s="3"/>
      <c r="E3251" s="2" t="str">
        <f>HYPERLINK("https://old.ukr-mobil.com/displej_vivo_y19_s_tachskrinom_original_prc_black_10000544", "Перейти")</f>
        <v>Перейти</v>
      </c>
      <c r="F3251" s="2">
        <v>10000544</v>
      </c>
      <c r="G3251" s="4" t="s">
        <v>3390</v>
      </c>
      <c r="H3251" s="1">
        <v>1</v>
      </c>
      <c r="I3251" s="1">
        <v>0</v>
      </c>
      <c r="J3251" s="1">
        <v>0</v>
      </c>
      <c r="K3251" s="2">
        <v>10.6</v>
      </c>
    </row>
    <row r="3252" spans="1:12">
      <c r="A3252" s="3" t="s">
        <v>2194</v>
      </c>
      <c r="B3252" s="3" t="s">
        <v>2526</v>
      </c>
      <c r="C3252" s="3" t="s">
        <v>812</v>
      </c>
      <c r="D3252" s="3"/>
      <c r="E3252" s="2" t="str">
        <f>HYPERLINK("https://old.ukr-mobil.com/displej_vivo_y20_y20i_y20s_y01_s_tachskrinom_original_prc_black_10002383", "Перейти")</f>
        <v>Перейти</v>
      </c>
      <c r="F3252" s="2">
        <v>10002383</v>
      </c>
      <c r="G3252" s="4" t="s">
        <v>3391</v>
      </c>
      <c r="H3252" s="1">
        <v>0</v>
      </c>
      <c r="I3252" s="1">
        <v>0</v>
      </c>
      <c r="J3252" s="1">
        <v>0</v>
      </c>
      <c r="K3252" s="2">
        <v>13.5</v>
      </c>
    </row>
    <row r="3253" spans="1:12">
      <c r="A3253" s="3" t="s">
        <v>2194</v>
      </c>
      <c r="B3253" s="3" t="s">
        <v>2526</v>
      </c>
      <c r="C3253" s="3" t="s">
        <v>812</v>
      </c>
      <c r="D3253" s="3"/>
      <c r="E3253" s="2" t="str">
        <f>HYPERLINK("https://old.ukr-mobil.com/displej_vivo_y21_v2111_y21s_v2110_s_tachskrinom_original_prc_black_10002386", "Перейти")</f>
        <v>Перейти</v>
      </c>
      <c r="F3253" s="2">
        <v>10002386</v>
      </c>
      <c r="G3253" s="4" t="s">
        <v>3392</v>
      </c>
      <c r="H3253" s="1">
        <v>0</v>
      </c>
      <c r="I3253" s="1">
        <v>0</v>
      </c>
      <c r="J3253" s="1">
        <v>0</v>
      </c>
      <c r="K3253" s="2">
        <v>9.65</v>
      </c>
    </row>
    <row r="3254" spans="1:12">
      <c r="A3254" s="3" t="s">
        <v>2194</v>
      </c>
      <c r="B3254" s="3" t="s">
        <v>2526</v>
      </c>
      <c r="C3254" s="3" t="s">
        <v>812</v>
      </c>
      <c r="D3254" s="3"/>
      <c r="E3254" s="2" t="str">
        <f>HYPERLINK("https://old.ukr-mobil.com/displej_vivo_y31_s_tachskrinom_original_prc_black_10001847", "Перейти")</f>
        <v>Перейти</v>
      </c>
      <c r="F3254" s="2">
        <v>10001847</v>
      </c>
      <c r="G3254" s="4" t="s">
        <v>3393</v>
      </c>
      <c r="H3254" s="1">
        <v>0</v>
      </c>
      <c r="I3254" s="1">
        <v>0</v>
      </c>
      <c r="J3254" s="1">
        <v>0</v>
      </c>
      <c r="K3254" s="2">
        <v>18.0</v>
      </c>
    </row>
    <row r="3255" spans="1:12">
      <c r="A3255" s="3" t="s">
        <v>2194</v>
      </c>
      <c r="B3255" s="3" t="s">
        <v>2526</v>
      </c>
      <c r="C3255" s="3" t="s">
        <v>812</v>
      </c>
      <c r="D3255" s="3"/>
      <c r="E3255" s="2" t="str">
        <f>HYPERLINK("https://old.ukr-mobil.com/displej_vivo_y33s_s_tachskrinom_high_quality_black_10004280", "Перейти")</f>
        <v>Перейти</v>
      </c>
      <c r="F3255" s="2">
        <v>10004280</v>
      </c>
      <c r="G3255" s="4" t="s">
        <v>3394</v>
      </c>
      <c r="H3255" s="1">
        <v>0</v>
      </c>
      <c r="I3255" s="1">
        <v>0</v>
      </c>
      <c r="J3255" s="1">
        <v>0</v>
      </c>
      <c r="K3255" s="2">
        <v>10.0</v>
      </c>
    </row>
    <row r="3256" spans="1:12">
      <c r="A3256" s="3" t="s">
        <v>2194</v>
      </c>
      <c r="B3256" s="3" t="s">
        <v>2526</v>
      </c>
      <c r="C3256" s="3" t="s">
        <v>812</v>
      </c>
      <c r="D3256" s="3"/>
      <c r="E3256" s="2" t="str">
        <f>HYPERLINK("https://old.ukr-mobil.com/displej_vivo_y53s_v2111a_v2058_s_tachskrinom_original_prc_black_10002340", "Перейти")</f>
        <v>Перейти</v>
      </c>
      <c r="F3256" s="2">
        <v>10002340</v>
      </c>
      <c r="G3256" s="4" t="s">
        <v>3395</v>
      </c>
      <c r="H3256" s="1">
        <v>0</v>
      </c>
      <c r="I3256" s="1">
        <v>0</v>
      </c>
      <c r="J3256" s="1">
        <v>0</v>
      </c>
      <c r="K3256" s="2">
        <v>10.3</v>
      </c>
    </row>
    <row r="3257" spans="1:12">
      <c r="A3257" s="3" t="s">
        <v>2194</v>
      </c>
      <c r="B3257" s="3" t="s">
        <v>2526</v>
      </c>
      <c r="C3257" s="3" t="s">
        <v>812</v>
      </c>
      <c r="D3257" s="3"/>
      <c r="E3257" s="2" t="str">
        <f>HYPERLINK("https://old.ukr-mobil.com/displej_vivo_y91_y91c_y91i_y93_y95_s_tachskrinom_original_prc_black_10001898", "Перейти")</f>
        <v>Перейти</v>
      </c>
      <c r="F3257" s="2">
        <v>10001898</v>
      </c>
      <c r="G3257" s="4" t="s">
        <v>3396</v>
      </c>
      <c r="H3257" s="1">
        <v>0</v>
      </c>
      <c r="I3257" s="1">
        <v>0</v>
      </c>
      <c r="J3257" s="1">
        <v>0</v>
      </c>
      <c r="K3257" s="2">
        <v>8.4</v>
      </c>
    </row>
    <row r="3258" spans="1:12">
      <c r="A3258" s="3" t="s">
        <v>2194</v>
      </c>
      <c r="B3258" s="3" t="s">
        <v>2526</v>
      </c>
      <c r="C3258" s="3" t="s">
        <v>812</v>
      </c>
      <c r="D3258" s="3"/>
      <c r="E3258" s="2" t="str">
        <f>HYPERLINK("https://old.ukr-mobil.com/displej_vivo_y97_z3_z3i_v11_v11_pro_v11i_s_tachskrinom_original_prc_black_10004509", "Перейти")</f>
        <v>Перейти</v>
      </c>
      <c r="F3258" s="2">
        <v>10004509</v>
      </c>
      <c r="G3258" s="4" t="s">
        <v>3397</v>
      </c>
      <c r="H3258" s="1">
        <v>1</v>
      </c>
      <c r="I3258" s="1">
        <v>0</v>
      </c>
      <c r="J3258" s="1">
        <v>0</v>
      </c>
      <c r="K3258" s="2">
        <v>12.4</v>
      </c>
    </row>
    <row r="3259" spans="1:12">
      <c r="A3259" s="3" t="s">
        <v>2194</v>
      </c>
      <c r="B3259" s="3" t="s">
        <v>2526</v>
      </c>
      <c r="C3259" s="3" t="s">
        <v>814</v>
      </c>
      <c r="D3259" s="3"/>
      <c r="E3259" s="2" t="str">
        <f>HYPERLINK("https://old.ukr-mobil.com/displej_xiaomi_11_lite_mi_11_lite_5g_s_tachskrinom_oled_black_10002096", "Перейти")</f>
        <v>Перейти</v>
      </c>
      <c r="F3259" s="2">
        <v>10002096</v>
      </c>
      <c r="G3259" s="4" t="s">
        <v>3398</v>
      </c>
      <c r="H3259" s="1">
        <v>0</v>
      </c>
      <c r="I3259" s="1">
        <v>0</v>
      </c>
      <c r="J3259" s="1">
        <v>0</v>
      </c>
      <c r="K3259" s="2">
        <v>40.0</v>
      </c>
    </row>
    <row r="3260" spans="1:12">
      <c r="A3260" s="3" t="s">
        <v>2194</v>
      </c>
      <c r="B3260" s="3" t="s">
        <v>2526</v>
      </c>
      <c r="C3260" s="3" t="s">
        <v>814</v>
      </c>
      <c r="D3260" s="3"/>
      <c r="E3260" s="2" t="str">
        <f>HYPERLINK("https://old.ukr-mobil.com/displej_xiaomi_mi_11_lite_s_tachskrinom_original_black_10001678", "Перейти")</f>
        <v>Перейти</v>
      </c>
      <c r="F3260" s="2">
        <v>10001678</v>
      </c>
      <c r="G3260" s="4" t="s">
        <v>3399</v>
      </c>
      <c r="H3260" s="1">
        <v>0</v>
      </c>
      <c r="I3260" s="1">
        <v>0</v>
      </c>
      <c r="J3260" s="1">
        <v>0</v>
      </c>
      <c r="K3260" s="2">
        <v>46.0</v>
      </c>
    </row>
    <row r="3261" spans="1:12">
      <c r="A3261" s="3" t="s">
        <v>2194</v>
      </c>
      <c r="B3261" s="3" t="s">
        <v>2526</v>
      </c>
      <c r="C3261" s="3" t="s">
        <v>814</v>
      </c>
      <c r="D3261" s="3"/>
      <c r="E3261" s="2" t="str">
        <f>HYPERLINK("https://old.ukr-mobil.com/displej_xiaomi_11t_11t_pro_s_tachskrinom_incell_tft_10002566", "Перейти")</f>
        <v>Перейти</v>
      </c>
      <c r="F3261" s="2">
        <v>10002566</v>
      </c>
      <c r="G3261" s="4" t="s">
        <v>3400</v>
      </c>
      <c r="H3261" s="1">
        <v>1</v>
      </c>
      <c r="I3261" s="1">
        <v>0</v>
      </c>
      <c r="J3261" s="1">
        <v>2</v>
      </c>
      <c r="K3261" s="2">
        <v>18.0</v>
      </c>
    </row>
    <row r="3262" spans="1:12">
      <c r="A3262" s="3" t="s">
        <v>2194</v>
      </c>
      <c r="B3262" s="3" t="s">
        <v>2526</v>
      </c>
      <c r="C3262" s="3" t="s">
        <v>814</v>
      </c>
      <c r="D3262" s="3"/>
      <c r="E3262" s="2" t="str">
        <f>HYPERLINK("https://old.ukr-mobil.com/displej_xiaomi_11t_11t_pro_s_tachskrinom_original_10002072", "Перейти")</f>
        <v>Перейти</v>
      </c>
      <c r="F3262" s="2">
        <v>10002072</v>
      </c>
      <c r="G3262" s="4" t="s">
        <v>3401</v>
      </c>
      <c r="H3262" s="1">
        <v>5</v>
      </c>
      <c r="I3262" s="1">
        <v>4</v>
      </c>
      <c r="J3262" s="1">
        <v>4</v>
      </c>
      <c r="K3262" s="2">
        <v>54.0</v>
      </c>
    </row>
    <row r="3263" spans="1:12">
      <c r="A3263" s="3" t="s">
        <v>2194</v>
      </c>
      <c r="B3263" s="3" t="s">
        <v>2526</v>
      </c>
      <c r="C3263" s="3" t="s">
        <v>814</v>
      </c>
      <c r="D3263" s="3"/>
      <c r="E3263" s="2" t="str">
        <f>HYPERLINK("https://old.ukr-mobil.com/displej_xiaomi_12_2201123g_2201123c_12x_2112123ac_2112123ag_12s_s_tachskrinom_original_10002943", "Перейти")</f>
        <v>Перейти</v>
      </c>
      <c r="F3263" s="2">
        <v>10002943</v>
      </c>
      <c r="G3263" s="4" t="s">
        <v>3402</v>
      </c>
      <c r="H3263" s="1">
        <v>0</v>
      </c>
      <c r="I3263" s="1">
        <v>0</v>
      </c>
      <c r="J3263" s="1">
        <v>0</v>
      </c>
      <c r="K3263" s="2">
        <v>80.0</v>
      </c>
    </row>
    <row r="3264" spans="1:12">
      <c r="A3264" s="3" t="s">
        <v>2194</v>
      </c>
      <c r="B3264" s="3" t="s">
        <v>2526</v>
      </c>
      <c r="C3264" s="3" t="s">
        <v>814</v>
      </c>
      <c r="D3264" s="3"/>
      <c r="E3264" s="2" t="str">
        <f>HYPERLINK("https://old.ukr-mobil.com/displej_xiaomi_12_lite_s_tachskrinom_original_10003559", "Перейти")</f>
        <v>Перейти</v>
      </c>
      <c r="F3264" s="2">
        <v>10003559</v>
      </c>
      <c r="G3264" s="4" t="s">
        <v>3403</v>
      </c>
      <c r="H3264" s="1">
        <v>4</v>
      </c>
      <c r="I3264" s="1">
        <v>0</v>
      </c>
      <c r="J3264" s="1">
        <v>3</v>
      </c>
      <c r="K3264" s="2">
        <v>34.0</v>
      </c>
    </row>
    <row r="3265" spans="1:12">
      <c r="A3265" s="3" t="s">
        <v>2194</v>
      </c>
      <c r="B3265" s="3" t="s">
        <v>2526</v>
      </c>
      <c r="C3265" s="3" t="s">
        <v>814</v>
      </c>
      <c r="D3265" s="3"/>
      <c r="E3265" s="2" t="str">
        <f>HYPERLINK("https://old.ukr-mobil.com/displej_xiaomi_12t_12t_pro_s_tachskrinom_original_10003560", "Перейти")</f>
        <v>Перейти</v>
      </c>
      <c r="F3265" s="2">
        <v>10003560</v>
      </c>
      <c r="G3265" s="4" t="s">
        <v>3404</v>
      </c>
      <c r="H3265" s="1">
        <v>0</v>
      </c>
      <c r="I3265" s="1">
        <v>0</v>
      </c>
      <c r="J3265" s="1">
        <v>0</v>
      </c>
      <c r="K3265" s="2">
        <v>47.0</v>
      </c>
    </row>
    <row r="3266" spans="1:12">
      <c r="A3266" s="3" t="s">
        <v>2194</v>
      </c>
      <c r="B3266" s="3" t="s">
        <v>2526</v>
      </c>
      <c r="C3266" s="3" t="s">
        <v>814</v>
      </c>
      <c r="D3266" s="3"/>
      <c r="E3266" s="2" t="str">
        <f>HYPERLINK("https://old.ukr-mobil.com/index.php?route=product&amp;product_id=10004660", "Перейти")</f>
        <v>Перейти</v>
      </c>
      <c r="F3266" s="2">
        <v>10004660</v>
      </c>
      <c r="G3266" s="4" t="s">
        <v>3405</v>
      </c>
      <c r="H3266" s="1">
        <v>6</v>
      </c>
      <c r="I3266" s="1">
        <v>2</v>
      </c>
      <c r="J3266" s="1">
        <v>3</v>
      </c>
      <c r="K3266" s="2">
        <v>75.0</v>
      </c>
    </row>
    <row r="3267" spans="1:12">
      <c r="A3267" s="3" t="s">
        <v>2194</v>
      </c>
      <c r="B3267" s="3" t="s">
        <v>2526</v>
      </c>
      <c r="C3267" s="3" t="s">
        <v>814</v>
      </c>
      <c r="D3267" s="3"/>
      <c r="E3267" s="2" t="str">
        <f>HYPERLINK("https://old.ukr-mobil.com/index.php?route=product&amp;product_id=10004661", "Перейти")</f>
        <v>Перейти</v>
      </c>
      <c r="F3267" s="2">
        <v>10004661</v>
      </c>
      <c r="G3267" s="4" t="s">
        <v>3406</v>
      </c>
      <c r="H3267" s="1">
        <v>1</v>
      </c>
      <c r="I3267" s="1">
        <v>0</v>
      </c>
      <c r="J3267" s="1">
        <v>1</v>
      </c>
      <c r="K3267" s="2">
        <v>75.0</v>
      </c>
    </row>
    <row r="3268" spans="1:12">
      <c r="A3268" s="3" t="s">
        <v>2194</v>
      </c>
      <c r="B3268" s="3" t="s">
        <v>2526</v>
      </c>
      <c r="C3268" s="3" t="s">
        <v>814</v>
      </c>
      <c r="D3268" s="3"/>
      <c r="E3268" s="2" t="str">
        <f>HYPERLINK("https://old.ukr-mobil.com/index.php?route=product&amp;product_id=10004662", "Перейти")</f>
        <v>Перейти</v>
      </c>
      <c r="F3268" s="2">
        <v>10004662</v>
      </c>
      <c r="G3268" s="4" t="s">
        <v>3407</v>
      </c>
      <c r="H3268" s="1">
        <v>5</v>
      </c>
      <c r="I3268" s="1">
        <v>5</v>
      </c>
      <c r="J3268" s="1">
        <v>3</v>
      </c>
      <c r="K3268" s="2">
        <v>35.0</v>
      </c>
    </row>
    <row r="3269" spans="1:12">
      <c r="A3269" s="3" t="s">
        <v>2194</v>
      </c>
      <c r="B3269" s="3" t="s">
        <v>2526</v>
      </c>
      <c r="C3269" s="3" t="s">
        <v>814</v>
      </c>
      <c r="D3269" s="3"/>
      <c r="E3269" s="2" t="str">
        <f>HYPERLINK("https://old.ukr-mobil.com/displej_xiaomi_mi_10_lite_s_tachskrinom_original_black_10001050", "Перейти")</f>
        <v>Перейти</v>
      </c>
      <c r="F3269" s="2">
        <v>10001050</v>
      </c>
      <c r="G3269" s="4" t="s">
        <v>3408</v>
      </c>
      <c r="H3269" s="1">
        <v>0</v>
      </c>
      <c r="I3269" s="1">
        <v>0</v>
      </c>
      <c r="J3269" s="1">
        <v>0</v>
      </c>
      <c r="K3269" s="2">
        <v>71.0</v>
      </c>
    </row>
    <row r="3270" spans="1:12">
      <c r="A3270" s="3" t="s">
        <v>2194</v>
      </c>
      <c r="B3270" s="3" t="s">
        <v>2526</v>
      </c>
      <c r="C3270" s="3" t="s">
        <v>814</v>
      </c>
      <c r="D3270" s="3"/>
      <c r="E3270" s="2" t="str">
        <f>HYPERLINK("https://old.ukr-mobil.com/displej_xiaomi_mi_10_lite_s_tachskrinom_tft_black_10001489", "Перейти")</f>
        <v>Перейти</v>
      </c>
      <c r="F3270" s="2">
        <v>10001489</v>
      </c>
      <c r="G3270" s="4" t="s">
        <v>3409</v>
      </c>
      <c r="H3270" s="1">
        <v>7</v>
      </c>
      <c r="I3270" s="1">
        <v>4</v>
      </c>
      <c r="J3270" s="1">
        <v>3</v>
      </c>
      <c r="K3270" s="2">
        <v>23.0</v>
      </c>
    </row>
    <row r="3271" spans="1:12">
      <c r="A3271" s="3" t="s">
        <v>2194</v>
      </c>
      <c r="B3271" s="3" t="s">
        <v>2526</v>
      </c>
      <c r="C3271" s="3" t="s">
        <v>814</v>
      </c>
      <c r="D3271" s="3"/>
      <c r="E3271" s="2" t="str">
        <f>HYPERLINK("https://old.ukr-mobil.com/displej_xiaomi_mi_10_mi_10_pro_versiya_huaxing_c_s_tachskrinom_original_prc_10002068", "Перейти")</f>
        <v>Перейти</v>
      </c>
      <c r="F3271" s="2">
        <v>10002068</v>
      </c>
      <c r="G3271" s="4" t="s">
        <v>3410</v>
      </c>
      <c r="H3271" s="1">
        <v>1</v>
      </c>
      <c r="I3271" s="1">
        <v>0</v>
      </c>
      <c r="J3271" s="1">
        <v>0</v>
      </c>
      <c r="K3271" s="2">
        <v>56.0</v>
      </c>
    </row>
    <row r="3272" spans="1:12">
      <c r="A3272" s="3" t="s">
        <v>2194</v>
      </c>
      <c r="B3272" s="3" t="s">
        <v>2526</v>
      </c>
      <c r="C3272" s="3" t="s">
        <v>814</v>
      </c>
      <c r="D3272" s="3"/>
      <c r="E3272" s="2" t="str">
        <f>HYPERLINK("https://old.ukr-mobil.com/displej_xiaomi_mi_10_mi_10_pro_s_tachskrinom_original_black_10000761", "Перейти")</f>
        <v>Перейти</v>
      </c>
      <c r="F3272" s="2">
        <v>10000761</v>
      </c>
      <c r="G3272" s="4" t="s">
        <v>3411</v>
      </c>
      <c r="H3272" s="1">
        <v>0</v>
      </c>
      <c r="I3272" s="1">
        <v>0</v>
      </c>
      <c r="J3272" s="1">
        <v>0</v>
      </c>
      <c r="K3272" s="2">
        <v>166.0</v>
      </c>
    </row>
    <row r="3273" spans="1:12">
      <c r="A3273" s="3" t="s">
        <v>2194</v>
      </c>
      <c r="B3273" s="3" t="s">
        <v>2526</v>
      </c>
      <c r="C3273" s="3" t="s">
        <v>814</v>
      </c>
      <c r="D3273" s="3"/>
      <c r="E3273" s="2" t="str">
        <f>HYPERLINK("https://old.ukr-mobil.com/displej_xiaomi_mi_10t_lite_poco_x3_poco_x3_pro_s_tachskrinom_high_copy_black_10004515", "Перейти")</f>
        <v>Перейти</v>
      </c>
      <c r="F3273" s="2">
        <v>10004515</v>
      </c>
      <c r="G3273" s="4" t="s">
        <v>3412</v>
      </c>
      <c r="H3273" s="1">
        <v>16</v>
      </c>
      <c r="I3273" s="1">
        <v>9</v>
      </c>
      <c r="J3273" s="1">
        <v>7</v>
      </c>
      <c r="K3273" s="2">
        <v>15.0</v>
      </c>
    </row>
    <row r="3274" spans="1:12">
      <c r="A3274" s="3" t="s">
        <v>2194</v>
      </c>
      <c r="B3274" s="3" t="s">
        <v>2526</v>
      </c>
      <c r="C3274" s="3" t="s">
        <v>814</v>
      </c>
      <c r="D3274" s="3"/>
      <c r="E3274" s="2" t="str">
        <f>HYPERLINK("https://old.ukr-mobil.com/displej_xiaomi_poco_x3_s_tachskrinom_original_black_10001370", "Перейти")</f>
        <v>Перейти</v>
      </c>
      <c r="F3274" s="2">
        <v>10001370</v>
      </c>
      <c r="G3274" s="4" t="s">
        <v>3413</v>
      </c>
      <c r="H3274" s="1">
        <v>13</v>
      </c>
      <c r="I3274" s="1">
        <v>3</v>
      </c>
      <c r="J3274" s="1">
        <v>5</v>
      </c>
      <c r="K3274" s="2">
        <v>18.0</v>
      </c>
    </row>
    <row r="3275" spans="1:12">
      <c r="A3275" s="3" t="s">
        <v>2194</v>
      </c>
      <c r="B3275" s="3" t="s">
        <v>2526</v>
      </c>
      <c r="C3275" s="3" t="s">
        <v>814</v>
      </c>
      <c r="D3275" s="3"/>
      <c r="E3275" s="2" t="str">
        <f>HYPERLINK("https://old.ukr-mobil.com/index.php?route=product&amp;product_id=10004651", "Перейти")</f>
        <v>Перейти</v>
      </c>
      <c r="F3275" s="2">
        <v>10004651</v>
      </c>
      <c r="G3275" s="4" t="s">
        <v>3414</v>
      </c>
      <c r="H3275" s="1">
        <v>0</v>
      </c>
      <c r="I3275" s="1">
        <v>0</v>
      </c>
      <c r="J3275" s="1">
        <v>0</v>
      </c>
      <c r="K3275" s="2">
        <v>25.0</v>
      </c>
    </row>
    <row r="3276" spans="1:12">
      <c r="A3276" s="3" t="s">
        <v>2194</v>
      </c>
      <c r="B3276" s="3" t="s">
        <v>2526</v>
      </c>
      <c r="C3276" s="3" t="s">
        <v>814</v>
      </c>
      <c r="D3276" s="3"/>
      <c r="E3276" s="2" t="str">
        <f>HYPERLINK("https://old.ukr-mobil.com/displej_xiaomi_mi_10t_mi_10t_pro_redmi_k30s_s_tachskrinom_original_prc_black_10001308", "Перейти")</f>
        <v>Перейти</v>
      </c>
      <c r="F3276" s="2">
        <v>10001308</v>
      </c>
      <c r="G3276" s="4" t="s">
        <v>3415</v>
      </c>
      <c r="H3276" s="1">
        <v>0</v>
      </c>
      <c r="I3276" s="1">
        <v>0</v>
      </c>
      <c r="J3276" s="1">
        <v>0</v>
      </c>
      <c r="K3276" s="2">
        <v>17.75</v>
      </c>
    </row>
    <row r="3277" spans="1:12">
      <c r="A3277" s="3" t="s">
        <v>2194</v>
      </c>
      <c r="B3277" s="3" t="s">
        <v>2526</v>
      </c>
      <c r="C3277" s="3" t="s">
        <v>814</v>
      </c>
      <c r="D3277" s="3"/>
      <c r="E3277" s="2" t="str">
        <f>HYPERLINK("https://old.ukr-mobil.com/index.php?route=product&amp;product_id=10004739", "Перейти")</f>
        <v>Перейти</v>
      </c>
      <c r="F3277" s="2">
        <v>10004739</v>
      </c>
      <c r="G3277" s="4" t="s">
        <v>3416</v>
      </c>
      <c r="H3277" s="1">
        <v>0</v>
      </c>
      <c r="I3277" s="1">
        <v>0</v>
      </c>
      <c r="J3277" s="1">
        <v>0</v>
      </c>
      <c r="K3277" s="2">
        <v>17.0</v>
      </c>
    </row>
    <row r="3278" spans="1:12">
      <c r="A3278" s="3" t="s">
        <v>2194</v>
      </c>
      <c r="B3278" s="3" t="s">
        <v>2526</v>
      </c>
      <c r="C3278" s="3" t="s">
        <v>814</v>
      </c>
      <c r="D3278" s="3"/>
      <c r="E3278" s="2" t="str">
        <f>HYPERLINK("https://old.ukr-mobil.com/displej_xiaomi_mi_11_ultra_s_tachskrinom_original_black_10001837", "Перейти")</f>
        <v>Перейти</v>
      </c>
      <c r="F3278" s="2">
        <v>10001837</v>
      </c>
      <c r="G3278" s="4" t="s">
        <v>3417</v>
      </c>
      <c r="H3278" s="1">
        <v>1</v>
      </c>
      <c r="I3278" s="1">
        <v>1</v>
      </c>
      <c r="J3278" s="1">
        <v>0</v>
      </c>
      <c r="K3278" s="2">
        <v>163.0</v>
      </c>
    </row>
    <row r="3279" spans="1:12">
      <c r="A3279" s="3" t="s">
        <v>2194</v>
      </c>
      <c r="B3279" s="3" t="s">
        <v>2526</v>
      </c>
      <c r="C3279" s="3" t="s">
        <v>814</v>
      </c>
      <c r="D3279" s="3"/>
      <c r="E3279" s="2" t="str">
        <f>HYPERLINK("https://old.ukr-mobil.com/displej_xiaomi_mi_11_s_tachskrinom_original_black_10001950", "Перейти")</f>
        <v>Перейти</v>
      </c>
      <c r="F3279" s="2">
        <v>10001950</v>
      </c>
      <c r="G3279" s="4" t="s">
        <v>3418</v>
      </c>
      <c r="H3279" s="1">
        <v>4</v>
      </c>
      <c r="I3279" s="1">
        <v>1</v>
      </c>
      <c r="J3279" s="1">
        <v>1</v>
      </c>
      <c r="K3279" s="2">
        <v>130.0</v>
      </c>
    </row>
    <row r="3280" spans="1:12">
      <c r="A3280" s="3" t="s">
        <v>2194</v>
      </c>
      <c r="B3280" s="3" t="s">
        <v>2526</v>
      </c>
      <c r="C3280" s="3" t="s">
        <v>814</v>
      </c>
      <c r="D3280" s="3"/>
      <c r="E3280" s="2" t="str">
        <f>HYPERLINK("https://old.ukr-mobil.com/displej_xiaomi_mi_11i_poco_f3_redmi_k40_s_tachskrinom_original_black_10001760", "Перейти")</f>
        <v>Перейти</v>
      </c>
      <c r="F3280" s="2">
        <v>10001760</v>
      </c>
      <c r="G3280" s="4" t="s">
        <v>3419</v>
      </c>
      <c r="H3280" s="1">
        <v>13</v>
      </c>
      <c r="I3280" s="1">
        <v>6</v>
      </c>
      <c r="J3280" s="1">
        <v>4</v>
      </c>
      <c r="K3280" s="2">
        <v>17.0</v>
      </c>
    </row>
    <row r="3281" spans="1:12">
      <c r="A3281" s="3" t="s">
        <v>2194</v>
      </c>
      <c r="B3281" s="3" t="s">
        <v>2526</v>
      </c>
      <c r="C3281" s="3" t="s">
        <v>814</v>
      </c>
      <c r="D3281" s="3"/>
      <c r="E3281" s="2" t="str">
        <f>HYPERLINK("https://old.ukr-mobil.com/displej_xiaomi_mi_11i_mi_11x_black_shark_4_poco_f3_poco_f4_redmi_k40_s_tachskrinom_oled_black_10002560", "Перейти")</f>
        <v>Перейти</v>
      </c>
      <c r="F3281" s="2">
        <v>10002560</v>
      </c>
      <c r="G3281" s="4" t="s">
        <v>3420</v>
      </c>
      <c r="H3281" s="1">
        <v>5</v>
      </c>
      <c r="I3281" s="1">
        <v>0</v>
      </c>
      <c r="J3281" s="1">
        <v>0</v>
      </c>
      <c r="K3281" s="2">
        <v>37.0</v>
      </c>
    </row>
    <row r="3282" spans="1:12">
      <c r="A3282" s="3" t="s">
        <v>2194</v>
      </c>
      <c r="B3282" s="3" t="s">
        <v>2526</v>
      </c>
      <c r="C3282" s="3" t="s">
        <v>814</v>
      </c>
      <c r="D3282" s="3"/>
      <c r="E3282" s="2" t="str">
        <f>HYPERLINK("https://old.ukr-mobil.com/displej_xiaomi_mi_11i_mi_11x_black_shark_4_poco_f3_poco_f4_redmi_k40_s_tachskrinom_oled_small_lcd_black_10003585", "Перейти")</f>
        <v>Перейти</v>
      </c>
      <c r="F3282" s="2">
        <v>10003585</v>
      </c>
      <c r="G3282" s="4" t="s">
        <v>3421</v>
      </c>
      <c r="H3282" s="1">
        <v>0</v>
      </c>
      <c r="I3282" s="1">
        <v>1</v>
      </c>
      <c r="J3282" s="1">
        <v>0</v>
      </c>
      <c r="K3282" s="2">
        <v>40.0</v>
      </c>
    </row>
    <row r="3283" spans="1:12">
      <c r="A3283" s="3" t="s">
        <v>2194</v>
      </c>
      <c r="B3283" s="3" t="s">
        <v>2526</v>
      </c>
      <c r="C3283" s="3" t="s">
        <v>814</v>
      </c>
      <c r="D3283" s="3"/>
      <c r="E3283" s="2" t="str">
        <f>HYPERLINK("https://old.ukr-mobil.com/displej_xiaomi_mi_11i_poco_f3_redmi_k40_s_tachskrinom_original_black_10001934", "Перейти")</f>
        <v>Перейти</v>
      </c>
      <c r="F3283" s="2">
        <v>10001934</v>
      </c>
      <c r="G3283" s="4" t="s">
        <v>3422</v>
      </c>
      <c r="H3283" s="1">
        <v>0</v>
      </c>
      <c r="I3283" s="1">
        <v>0</v>
      </c>
      <c r="J3283" s="1">
        <v>0</v>
      </c>
      <c r="K3283" s="2">
        <v>95.0</v>
      </c>
    </row>
    <row r="3284" spans="1:12">
      <c r="A3284" s="3" t="s">
        <v>2194</v>
      </c>
      <c r="B3284" s="3" t="s">
        <v>2526</v>
      </c>
      <c r="C3284" s="3" t="s">
        <v>814</v>
      </c>
      <c r="D3284" s="3"/>
      <c r="E3284" s="2" t="str">
        <f>HYPERLINK("https://old.ukr-mobil.com/displej_xiaomi_mi_8_lite_s_tachskrinom_original_prc_black_11308", "Перейти")</f>
        <v>Перейти</v>
      </c>
      <c r="F3284" s="2">
        <v>11308</v>
      </c>
      <c r="G3284" s="4" t="s">
        <v>3423</v>
      </c>
      <c r="H3284" s="1">
        <v>0</v>
      </c>
      <c r="I3284" s="1">
        <v>0</v>
      </c>
      <c r="J3284" s="1">
        <v>0</v>
      </c>
      <c r="K3284" s="2">
        <v>14.65</v>
      </c>
    </row>
    <row r="3285" spans="1:12">
      <c r="A3285" s="3" t="s">
        <v>2194</v>
      </c>
      <c r="B3285" s="3" t="s">
        <v>2526</v>
      </c>
      <c r="C3285" s="3" t="s">
        <v>814</v>
      </c>
      <c r="D3285" s="3"/>
      <c r="E3285" s="2" t="str">
        <f>HYPERLINK("https://old.ukr-mobil.com/displej_xiaomi_mi_8_lite_s_tachskrinom_original_prc_white_11743", "Перейти")</f>
        <v>Перейти</v>
      </c>
      <c r="F3285" s="2">
        <v>11743</v>
      </c>
      <c r="G3285" s="4" t="s">
        <v>3424</v>
      </c>
      <c r="H3285" s="1">
        <v>0</v>
      </c>
      <c r="I3285" s="1">
        <v>0</v>
      </c>
      <c r="J3285" s="1">
        <v>0</v>
      </c>
      <c r="K3285" s="2">
        <v>23.8</v>
      </c>
    </row>
    <row r="3286" spans="1:12">
      <c r="A3286" s="3" t="s">
        <v>2194</v>
      </c>
      <c r="B3286" s="3" t="s">
        <v>2526</v>
      </c>
      <c r="C3286" s="3" t="s">
        <v>814</v>
      </c>
      <c r="D3286" s="3"/>
      <c r="E3286" s="2" t="str">
        <f>HYPERLINK("https://old.ukr-mobil.com/displej_xiaomi_mi_8_pro_s_tachskrinom_original_prc_black_10000413", "Перейти")</f>
        <v>Перейти</v>
      </c>
      <c r="F3286" s="2">
        <v>10000413</v>
      </c>
      <c r="G3286" s="4" t="s">
        <v>3425</v>
      </c>
      <c r="H3286" s="1">
        <v>0</v>
      </c>
      <c r="I3286" s="1">
        <v>0</v>
      </c>
      <c r="J3286" s="1">
        <v>0</v>
      </c>
      <c r="K3286" s="2">
        <v>83.0</v>
      </c>
    </row>
    <row r="3287" spans="1:12">
      <c r="A3287" s="3" t="s">
        <v>2194</v>
      </c>
      <c r="B3287" s="3" t="s">
        <v>2526</v>
      </c>
      <c r="C3287" s="3" t="s">
        <v>814</v>
      </c>
      <c r="D3287" s="3"/>
      <c r="E3287" s="2" t="str">
        <f>HYPERLINK("https://old.ukr-mobil.com/displej_xiaomi_mi_8_se_s_tachskrinom_oled_black_10001092", "Перейти")</f>
        <v>Перейти</v>
      </c>
      <c r="F3287" s="2">
        <v>10001092</v>
      </c>
      <c r="G3287" s="4" t="s">
        <v>3426</v>
      </c>
      <c r="H3287" s="1">
        <v>0</v>
      </c>
      <c r="I3287" s="1">
        <v>1</v>
      </c>
      <c r="J3287" s="1">
        <v>0</v>
      </c>
      <c r="K3287" s="2">
        <v>30.0</v>
      </c>
    </row>
    <row r="3288" spans="1:12">
      <c r="A3288" s="3" t="s">
        <v>2194</v>
      </c>
      <c r="B3288" s="3" t="s">
        <v>2526</v>
      </c>
      <c r="C3288" s="3" t="s">
        <v>814</v>
      </c>
      <c r="D3288" s="3"/>
      <c r="E3288" s="2" t="str">
        <f>HYPERLINK("https://old.ukr-mobil.com/displej_xiaomi_mi_8_se_s_tachskrinom_original_black_10000412", "Перейти")</f>
        <v>Перейти</v>
      </c>
      <c r="F3288" s="2">
        <v>10000412</v>
      </c>
      <c r="G3288" s="4" t="s">
        <v>3427</v>
      </c>
      <c r="H3288" s="1">
        <v>0</v>
      </c>
      <c r="I3288" s="1">
        <v>0</v>
      </c>
      <c r="J3288" s="1">
        <v>0</v>
      </c>
      <c r="K3288" s="2">
        <v>70.0</v>
      </c>
    </row>
    <row r="3289" spans="1:12">
      <c r="A3289" s="3" t="s">
        <v>2194</v>
      </c>
      <c r="B3289" s="3" t="s">
        <v>2526</v>
      </c>
      <c r="C3289" s="3" t="s">
        <v>814</v>
      </c>
      <c r="D3289" s="3"/>
      <c r="E3289" s="2" t="str">
        <f>HYPERLINK("https://old.ukr-mobil.com/displej_xiaomi_mi_8_s_tachskrinom_incell_tft_black_10002552", "Перейти")</f>
        <v>Перейти</v>
      </c>
      <c r="F3289" s="2">
        <v>10002552</v>
      </c>
      <c r="G3289" s="4" t="s">
        <v>3428</v>
      </c>
      <c r="H3289" s="1">
        <v>15</v>
      </c>
      <c r="I3289" s="1">
        <v>6</v>
      </c>
      <c r="J3289" s="1">
        <v>4</v>
      </c>
      <c r="K3289" s="2">
        <v>21.0</v>
      </c>
    </row>
    <row r="3290" spans="1:12">
      <c r="A3290" s="3" t="s">
        <v>2194</v>
      </c>
      <c r="B3290" s="3" t="s">
        <v>2526</v>
      </c>
      <c r="C3290" s="3" t="s">
        <v>814</v>
      </c>
      <c r="D3290" s="3"/>
      <c r="E3290" s="2" t="str">
        <f>HYPERLINK("https://old.ukr-mobil.com/displej_xiaomi_mi_8_s_tachskrinom_oled_black_10000708", "Перейти")</f>
        <v>Перейти</v>
      </c>
      <c r="F3290" s="2">
        <v>10000708</v>
      </c>
      <c r="G3290" s="4" t="s">
        <v>3429</v>
      </c>
      <c r="H3290" s="1">
        <v>12</v>
      </c>
      <c r="I3290" s="1">
        <v>3</v>
      </c>
      <c r="J3290" s="1">
        <v>2</v>
      </c>
      <c r="K3290" s="2">
        <v>23.0</v>
      </c>
    </row>
    <row r="3291" spans="1:12">
      <c r="A3291" s="3" t="s">
        <v>2194</v>
      </c>
      <c r="B3291" s="3" t="s">
        <v>2526</v>
      </c>
      <c r="C3291" s="3" t="s">
        <v>814</v>
      </c>
      <c r="D3291" s="3"/>
      <c r="E3291" s="2" t="str">
        <f>HYPERLINK("https://old.ukr-mobil.com/displej_xiaomi_mi_8_s_tachskrinom_original_black_11223", "Перейти")</f>
        <v>Перейти</v>
      </c>
      <c r="F3291" s="2">
        <v>11223</v>
      </c>
      <c r="G3291" s="4" t="s">
        <v>3430</v>
      </c>
      <c r="H3291" s="1">
        <v>0</v>
      </c>
      <c r="I3291" s="1">
        <v>0</v>
      </c>
      <c r="J3291" s="1">
        <v>0</v>
      </c>
      <c r="K3291" s="2">
        <v>76.0</v>
      </c>
    </row>
    <row r="3292" spans="1:12">
      <c r="A3292" s="3" t="s">
        <v>2194</v>
      </c>
      <c r="B3292" s="3" t="s">
        <v>2526</v>
      </c>
      <c r="C3292" s="3" t="s">
        <v>814</v>
      </c>
      <c r="D3292" s="3"/>
      <c r="E3292" s="2" t="str">
        <f>HYPERLINK("https://old.ukr-mobil.com/displej_xiaomi_mi_9_lite_mi_cc9_s_tachskrinom_tft_black_10000798", "Перейти")</f>
        <v>Перейти</v>
      </c>
      <c r="F3292" s="2">
        <v>10000798</v>
      </c>
      <c r="G3292" s="4" t="s">
        <v>3431</v>
      </c>
      <c r="H3292" s="1">
        <v>0</v>
      </c>
      <c r="I3292" s="1">
        <v>0</v>
      </c>
      <c r="J3292" s="1">
        <v>0</v>
      </c>
      <c r="K3292" s="2">
        <v>22.0</v>
      </c>
    </row>
    <row r="3293" spans="1:12">
      <c r="A3293" s="3" t="s">
        <v>2194</v>
      </c>
      <c r="B3293" s="3" t="s">
        <v>2526</v>
      </c>
      <c r="C3293" s="3" t="s">
        <v>814</v>
      </c>
      <c r="D3293" s="3"/>
      <c r="E3293" s="2" t="str">
        <f>HYPERLINK("https://old.ukr-mobil.com/displej_xiaomi_mi_9_lite_mi_cc9_s_tachskrinom_oled_black_10000597", "Перейти")</f>
        <v>Перейти</v>
      </c>
      <c r="F3293" s="2">
        <v>10000597</v>
      </c>
      <c r="G3293" s="4" t="s">
        <v>3432</v>
      </c>
      <c r="H3293" s="1">
        <v>0</v>
      </c>
      <c r="I3293" s="1">
        <v>0</v>
      </c>
      <c r="J3293" s="1">
        <v>0</v>
      </c>
      <c r="K3293" s="2">
        <v>30.0</v>
      </c>
    </row>
    <row r="3294" spans="1:12">
      <c r="A3294" s="3" t="s">
        <v>2194</v>
      </c>
      <c r="B3294" s="3" t="s">
        <v>2526</v>
      </c>
      <c r="C3294" s="3" t="s">
        <v>814</v>
      </c>
      <c r="D3294" s="3"/>
      <c r="E3294" s="2" t="str">
        <f>HYPERLINK("https://old.ukr-mobil.com/displej_xiaomi_mi_9_lite_mi_cc9_s_tachskrinom_original_black_10000402", "Перейти")</f>
        <v>Перейти</v>
      </c>
      <c r="F3294" s="2">
        <v>10000402</v>
      </c>
      <c r="G3294" s="4" t="s">
        <v>3433</v>
      </c>
      <c r="H3294" s="1">
        <v>0</v>
      </c>
      <c r="I3294" s="1">
        <v>0</v>
      </c>
      <c r="J3294" s="1">
        <v>0</v>
      </c>
      <c r="K3294" s="2">
        <v>118.8</v>
      </c>
    </row>
    <row r="3295" spans="1:12">
      <c r="A3295" s="3" t="s">
        <v>2194</v>
      </c>
      <c r="B3295" s="3" t="s">
        <v>2526</v>
      </c>
      <c r="C3295" s="3" t="s">
        <v>814</v>
      </c>
      <c r="D3295" s="3"/>
      <c r="E3295" s="2" t="str">
        <f>HYPERLINK("https://old.ukr-mobil.com/displej_xiaomi_mi_9_se_s_tachskrinom_oled_black_10002561", "Перейти")</f>
        <v>Перейти</v>
      </c>
      <c r="F3295" s="2">
        <v>10002561</v>
      </c>
      <c r="G3295" s="4" t="s">
        <v>3434</v>
      </c>
      <c r="H3295" s="1">
        <v>0</v>
      </c>
      <c r="I3295" s="1">
        <v>0</v>
      </c>
      <c r="J3295" s="1">
        <v>0</v>
      </c>
      <c r="K3295" s="2">
        <v>74.0</v>
      </c>
    </row>
    <row r="3296" spans="1:12">
      <c r="A3296" s="3" t="s">
        <v>2194</v>
      </c>
      <c r="B3296" s="3" t="s">
        <v>2526</v>
      </c>
      <c r="C3296" s="3" t="s">
        <v>814</v>
      </c>
      <c r="D3296" s="3"/>
      <c r="E3296" s="2" t="str">
        <f>HYPERLINK("https://old.ukr-mobil.com/displej_xiaomi_mi_9_se_s_tachskrinom_original_black_11807", "Перейти")</f>
        <v>Перейти</v>
      </c>
      <c r="F3296" s="2">
        <v>11807</v>
      </c>
      <c r="G3296" s="4" t="s">
        <v>3435</v>
      </c>
      <c r="H3296" s="1">
        <v>0</v>
      </c>
      <c r="I3296" s="1">
        <v>0</v>
      </c>
      <c r="J3296" s="1">
        <v>0</v>
      </c>
      <c r="K3296" s="2">
        <v>120.0</v>
      </c>
    </row>
    <row r="3297" spans="1:12">
      <c r="A3297" s="3" t="s">
        <v>2194</v>
      </c>
      <c r="B3297" s="3" t="s">
        <v>2526</v>
      </c>
      <c r="C3297" s="3" t="s">
        <v>814</v>
      </c>
      <c r="D3297" s="3"/>
      <c r="E3297" s="2" t="str">
        <f>HYPERLINK("https://old.ukr-mobil.com/displej_xiaomi_mi_9_s_tachskrinom_oled_black_12338", "Перейти")</f>
        <v>Перейти</v>
      </c>
      <c r="F3297" s="2">
        <v>12338</v>
      </c>
      <c r="G3297" s="4" t="s">
        <v>3436</v>
      </c>
      <c r="H3297" s="1">
        <v>27</v>
      </c>
      <c r="I3297" s="1">
        <v>7</v>
      </c>
      <c r="J3297" s="1">
        <v>3</v>
      </c>
      <c r="K3297" s="2">
        <v>25.0</v>
      </c>
    </row>
    <row r="3298" spans="1:12">
      <c r="A3298" s="3" t="s">
        <v>2194</v>
      </c>
      <c r="B3298" s="3" t="s">
        <v>2526</v>
      </c>
      <c r="C3298" s="3" t="s">
        <v>814</v>
      </c>
      <c r="D3298" s="3"/>
      <c r="E3298" s="2" t="str">
        <f>HYPERLINK("https://old.ukr-mobil.com/displej_xiaomi_mi_9_s_tachskrinom_original_black_11806", "Перейти")</f>
        <v>Перейти</v>
      </c>
      <c r="F3298" s="2">
        <v>11806</v>
      </c>
      <c r="G3298" s="4" t="s">
        <v>3437</v>
      </c>
      <c r="H3298" s="1">
        <v>0</v>
      </c>
      <c r="I3298" s="1">
        <v>0</v>
      </c>
      <c r="J3298" s="1">
        <v>0</v>
      </c>
      <c r="K3298" s="2">
        <v>110.2</v>
      </c>
    </row>
    <row r="3299" spans="1:12">
      <c r="A3299" s="3" t="s">
        <v>2194</v>
      </c>
      <c r="B3299" s="3" t="s">
        <v>2526</v>
      </c>
      <c r="C3299" s="3" t="s">
        <v>814</v>
      </c>
      <c r="D3299" s="3"/>
      <c r="E3299" s="2" t="str">
        <f>HYPERLINK("https://old.ukr-mobil.com/displej_xiaomi_mi_9_s_tachskrinom_tft_black_10000757", "Перейти")</f>
        <v>Перейти</v>
      </c>
      <c r="F3299" s="2">
        <v>10000757</v>
      </c>
      <c r="G3299" s="4" t="s">
        <v>3438</v>
      </c>
      <c r="H3299" s="1">
        <v>0</v>
      </c>
      <c r="I3299" s="1">
        <v>0</v>
      </c>
      <c r="J3299" s="1">
        <v>0</v>
      </c>
      <c r="K3299" s="2">
        <v>30.5</v>
      </c>
    </row>
    <row r="3300" spans="1:12">
      <c r="A3300" s="3" t="s">
        <v>2194</v>
      </c>
      <c r="B3300" s="3" t="s">
        <v>2526</v>
      </c>
      <c r="C3300" s="3" t="s">
        <v>814</v>
      </c>
      <c r="D3300" s="3"/>
      <c r="E3300" s="2" t="str">
        <f>HYPERLINK("https://old.ukr-mobil.com/displej_xiaomi_mi_9t_mi_9t_pro_redmi_k20_redmi_k20_pro_s_tachskrinom_tft_black_10000686", "Перейти")</f>
        <v>Перейти</v>
      </c>
      <c r="F3300" s="2">
        <v>10000686</v>
      </c>
      <c r="G3300" s="4" t="s">
        <v>3439</v>
      </c>
      <c r="H3300" s="1">
        <v>0</v>
      </c>
      <c r="I3300" s="1">
        <v>0</v>
      </c>
      <c r="J3300" s="1">
        <v>0</v>
      </c>
      <c r="K3300" s="2">
        <v>24.0</v>
      </c>
    </row>
    <row r="3301" spans="1:12">
      <c r="A3301" s="3" t="s">
        <v>2194</v>
      </c>
      <c r="B3301" s="3" t="s">
        <v>2526</v>
      </c>
      <c r="C3301" s="3" t="s">
        <v>814</v>
      </c>
      <c r="D3301" s="3"/>
      <c r="E3301" s="2" t="str">
        <f>HYPERLINK("https://old.ukr-mobil.com/displej_xiaomi_mi_9t_mi_9t_pro_redmi_k20_redmi_k20_pro_s_tachskrinom_oled_black_12358", "Перейти")</f>
        <v>Перейти</v>
      </c>
      <c r="F3301" s="2">
        <v>12358</v>
      </c>
      <c r="G3301" s="4" t="s">
        <v>3440</v>
      </c>
      <c r="H3301" s="1">
        <v>0</v>
      </c>
      <c r="I3301" s="1">
        <v>0</v>
      </c>
      <c r="J3301" s="1">
        <v>0</v>
      </c>
      <c r="K3301" s="2">
        <v>41.0</v>
      </c>
    </row>
    <row r="3302" spans="1:12">
      <c r="A3302" s="3" t="s">
        <v>2194</v>
      </c>
      <c r="B3302" s="3" t="s">
        <v>2526</v>
      </c>
      <c r="C3302" s="3" t="s">
        <v>814</v>
      </c>
      <c r="D3302" s="3"/>
      <c r="E3302" s="2" t="str">
        <f>HYPERLINK("https://old.ukr-mobil.com/displej_xiaomi_mi_9t_mi_9t_pro_redmi_k20_redmi_k20_pro_s_tachskrinom_original_prc_black_10000662", "Перейти")</f>
        <v>Перейти</v>
      </c>
      <c r="F3302" s="2">
        <v>10000662</v>
      </c>
      <c r="G3302" s="4" t="s">
        <v>3441</v>
      </c>
      <c r="H3302" s="1">
        <v>0</v>
      </c>
      <c r="I3302" s="1">
        <v>0</v>
      </c>
      <c r="J3302" s="1">
        <v>0</v>
      </c>
      <c r="K3302" s="2">
        <v>95.0</v>
      </c>
    </row>
    <row r="3303" spans="1:12">
      <c r="A3303" s="3" t="s">
        <v>2194</v>
      </c>
      <c r="B3303" s="3" t="s">
        <v>2526</v>
      </c>
      <c r="C3303" s="3" t="s">
        <v>814</v>
      </c>
      <c r="D3303" s="3"/>
      <c r="E3303" s="2" t="str">
        <f>HYPERLINK("https://old.ukr-mobil.com/displej_xiaomi_mi_9t_mi_9t_pro_redmi_k20_redmi_k20_pro_s_tachskrinom_s_ramkoj_original_prc_black_10001531", "Перейти")</f>
        <v>Перейти</v>
      </c>
      <c r="F3303" s="2">
        <v>10001531</v>
      </c>
      <c r="G3303" s="4" t="s">
        <v>3442</v>
      </c>
      <c r="H3303" s="1">
        <v>0</v>
      </c>
      <c r="I3303" s="1">
        <v>0</v>
      </c>
      <c r="J3303" s="1">
        <v>1</v>
      </c>
      <c r="K3303" s="2">
        <v>54.0</v>
      </c>
    </row>
    <row r="3304" spans="1:12">
      <c r="A3304" s="3" t="s">
        <v>2194</v>
      </c>
      <c r="B3304" s="3" t="s">
        <v>2526</v>
      </c>
      <c r="C3304" s="3" t="s">
        <v>814</v>
      </c>
      <c r="D3304" s="3"/>
      <c r="E3304" s="2" t="str">
        <f>HYPERLINK("https://old.ukr-mobil.com/displej_xiaomi_mi_a1_mi5x_s_tachskrinom_high_copy_black_9652", "Перейти")</f>
        <v>Перейти</v>
      </c>
      <c r="F3304" s="2">
        <v>9652</v>
      </c>
      <c r="G3304" s="4" t="s">
        <v>3443</v>
      </c>
      <c r="H3304" s="1">
        <v>0</v>
      </c>
      <c r="I3304" s="1">
        <v>0</v>
      </c>
      <c r="J3304" s="1">
        <v>0</v>
      </c>
      <c r="K3304" s="2">
        <v>10.0</v>
      </c>
    </row>
    <row r="3305" spans="1:12">
      <c r="A3305" s="3" t="s">
        <v>2194</v>
      </c>
      <c r="B3305" s="3" t="s">
        <v>2526</v>
      </c>
      <c r="C3305" s="3" t="s">
        <v>814</v>
      </c>
      <c r="D3305" s="3"/>
      <c r="E3305" s="2" t="str">
        <f>HYPERLINK("https://old.ukr-mobil.com/displej_xiaomi_mi_a1_mi5x_s_tachskrinom_high_copy_white_9653", "Перейти")</f>
        <v>Перейти</v>
      </c>
      <c r="F3305" s="2">
        <v>9653</v>
      </c>
      <c r="G3305" s="4" t="s">
        <v>3444</v>
      </c>
      <c r="H3305" s="1">
        <v>0</v>
      </c>
      <c r="I3305" s="1">
        <v>0</v>
      </c>
      <c r="J3305" s="1">
        <v>0</v>
      </c>
      <c r="K3305" s="2">
        <v>11.5</v>
      </c>
    </row>
    <row r="3306" spans="1:12">
      <c r="A3306" s="3" t="s">
        <v>2194</v>
      </c>
      <c r="B3306" s="3" t="s">
        <v>2526</v>
      </c>
      <c r="C3306" s="3" t="s">
        <v>814</v>
      </c>
      <c r="D3306" s="3"/>
      <c r="E3306" s="2" t="str">
        <f>HYPERLINK("https://old.ukr-mobil.com/displej_xiaomi_mi_a2_lite_redmi_6_pro_s_tachskrinom_original_prc_black_11138", "Перейти")</f>
        <v>Перейти</v>
      </c>
      <c r="F3306" s="2">
        <v>11138</v>
      </c>
      <c r="G3306" s="4" t="s">
        <v>3445</v>
      </c>
      <c r="H3306" s="1">
        <v>0</v>
      </c>
      <c r="I3306" s="1">
        <v>2</v>
      </c>
      <c r="J3306" s="1">
        <v>0</v>
      </c>
      <c r="K3306" s="2">
        <v>13.5</v>
      </c>
    </row>
    <row r="3307" spans="1:12">
      <c r="A3307" s="3" t="s">
        <v>2194</v>
      </c>
      <c r="B3307" s="3" t="s">
        <v>2526</v>
      </c>
      <c r="C3307" s="3" t="s">
        <v>814</v>
      </c>
      <c r="D3307" s="3"/>
      <c r="E3307" s="2" t="str">
        <f>HYPERLINK("https://old.ukr-mobil.com/displej_xiaomi_mi_a2_lite_redmi_6_pro_s_tachskrinom_original_prc_white_11139", "Перейти")</f>
        <v>Перейти</v>
      </c>
      <c r="F3307" s="2">
        <v>11139</v>
      </c>
      <c r="G3307" s="4" t="s">
        <v>3446</v>
      </c>
      <c r="H3307" s="1">
        <v>0</v>
      </c>
      <c r="I3307" s="1">
        <v>0</v>
      </c>
      <c r="J3307" s="1">
        <v>0</v>
      </c>
      <c r="K3307" s="2">
        <v>13.0</v>
      </c>
    </row>
    <row r="3308" spans="1:12">
      <c r="A3308" s="3" t="s">
        <v>2194</v>
      </c>
      <c r="B3308" s="3" t="s">
        <v>2526</v>
      </c>
      <c r="C3308" s="3" t="s">
        <v>814</v>
      </c>
      <c r="D3308" s="3"/>
      <c r="E3308" s="2" t="str">
        <f>HYPERLINK("https://old.ukr-mobil.com/displej_xiaomi_mi_a2_redmi_6x_s_tachskrinom_black_10993", "Перейти")</f>
        <v>Перейти</v>
      </c>
      <c r="F3308" s="2">
        <v>10993</v>
      </c>
      <c r="G3308" s="4" t="s">
        <v>3447</v>
      </c>
      <c r="H3308" s="1">
        <v>0</v>
      </c>
      <c r="I3308" s="1">
        <v>9</v>
      </c>
      <c r="J3308" s="1">
        <v>4</v>
      </c>
      <c r="K3308" s="2">
        <v>15.0</v>
      </c>
    </row>
    <row r="3309" spans="1:12">
      <c r="A3309" s="3" t="s">
        <v>2194</v>
      </c>
      <c r="B3309" s="3" t="s">
        <v>2526</v>
      </c>
      <c r="C3309" s="3" t="s">
        <v>814</v>
      </c>
      <c r="D3309" s="3"/>
      <c r="E3309" s="2" t="str">
        <f>HYPERLINK("https://old.ukr-mobil.com/displej_xiaomi_mi_a2_redmi_6x_s_tachskrinom_white_10994", "Перейти")</f>
        <v>Перейти</v>
      </c>
      <c r="F3309" s="2">
        <v>10994</v>
      </c>
      <c r="G3309" s="4" t="s">
        <v>3448</v>
      </c>
      <c r="H3309" s="1">
        <v>0</v>
      </c>
      <c r="I3309" s="1">
        <v>0</v>
      </c>
      <c r="J3309" s="1">
        <v>0</v>
      </c>
      <c r="K3309" s="2">
        <v>31.0</v>
      </c>
    </row>
    <row r="3310" spans="1:12">
      <c r="A3310" s="3" t="s">
        <v>2194</v>
      </c>
      <c r="B3310" s="3" t="s">
        <v>2526</v>
      </c>
      <c r="C3310" s="3" t="s">
        <v>814</v>
      </c>
      <c r="D3310" s="3"/>
      <c r="E3310" s="2" t="str">
        <f>HYPERLINK("https://old.ukr-mobil.com/displej_xiaomi_cc9e_mi_a3_s_tachskrinom_oled_black_10000797", "Перейти")</f>
        <v>Перейти</v>
      </c>
      <c r="F3310" s="2">
        <v>10000797</v>
      </c>
      <c r="G3310" s="4" t="s">
        <v>3449</v>
      </c>
      <c r="H3310" s="1">
        <v>0</v>
      </c>
      <c r="I3310" s="1">
        <v>0</v>
      </c>
      <c r="J3310" s="1">
        <v>0</v>
      </c>
      <c r="K3310" s="2">
        <v>28.0</v>
      </c>
    </row>
    <row r="3311" spans="1:12">
      <c r="A3311" s="3" t="s">
        <v>2194</v>
      </c>
      <c r="B3311" s="3" t="s">
        <v>2526</v>
      </c>
      <c r="C3311" s="3" t="s">
        <v>814</v>
      </c>
      <c r="D3311" s="3"/>
      <c r="E3311" s="2" t="str">
        <f>HYPERLINK("https://old.ukr-mobil.com/displej_xiaomi_mi_max_2_s_tachskrinom_black_9773", "Перейти")</f>
        <v>Перейти</v>
      </c>
      <c r="F3311" s="2">
        <v>9773</v>
      </c>
      <c r="G3311" s="4" t="s">
        <v>3450</v>
      </c>
      <c r="H3311" s="1">
        <v>0</v>
      </c>
      <c r="I3311" s="1">
        <v>0</v>
      </c>
      <c r="J3311" s="1">
        <v>0</v>
      </c>
      <c r="K3311" s="2">
        <v>27.85</v>
      </c>
    </row>
    <row r="3312" spans="1:12">
      <c r="A3312" s="3" t="s">
        <v>2194</v>
      </c>
      <c r="B3312" s="3" t="s">
        <v>2526</v>
      </c>
      <c r="C3312" s="3" t="s">
        <v>814</v>
      </c>
      <c r="D3312" s="3"/>
      <c r="E3312" s="2" t="str">
        <f>HYPERLINK("https://old.ukr-mobil.com/displej_xiaomi_mi_max_2_s_tachskrinom_white_11122", "Перейти")</f>
        <v>Перейти</v>
      </c>
      <c r="F3312" s="2">
        <v>11122</v>
      </c>
      <c r="G3312" s="4" t="s">
        <v>3451</v>
      </c>
      <c r="H3312" s="1">
        <v>0</v>
      </c>
      <c r="I3312" s="1">
        <v>0</v>
      </c>
      <c r="J3312" s="1">
        <v>0</v>
      </c>
      <c r="K3312" s="2">
        <v>25.7</v>
      </c>
    </row>
    <row r="3313" spans="1:12">
      <c r="A3313" s="3" t="s">
        <v>2194</v>
      </c>
      <c r="B3313" s="3" t="s">
        <v>2526</v>
      </c>
      <c r="C3313" s="3" t="s">
        <v>814</v>
      </c>
      <c r="D3313" s="3"/>
      <c r="E3313" s="2" t="str">
        <f>HYPERLINK("https://old.ukr-mobil.com/displej_xiaomi_mi_max_3_s_tachskrinom_original_prc_black_11218", "Перейти")</f>
        <v>Перейти</v>
      </c>
      <c r="F3313" s="2">
        <v>11218</v>
      </c>
      <c r="G3313" s="4" t="s">
        <v>3452</v>
      </c>
      <c r="H3313" s="1">
        <v>0</v>
      </c>
      <c r="I3313" s="1">
        <v>0</v>
      </c>
      <c r="J3313" s="1">
        <v>0</v>
      </c>
      <c r="K3313" s="2">
        <v>23.0</v>
      </c>
    </row>
    <row r="3314" spans="1:12">
      <c r="A3314" s="3" t="s">
        <v>2194</v>
      </c>
      <c r="B3314" s="3" t="s">
        <v>2526</v>
      </c>
      <c r="C3314" s="3" t="s">
        <v>814</v>
      </c>
      <c r="D3314" s="3"/>
      <c r="E3314" s="2" t="str">
        <f>HYPERLINK("https://old.ukr-mobil.com/displej_xiaomi_mi_max_3_s_tachskrinom_original_prc_white_11219", "Перейти")</f>
        <v>Перейти</v>
      </c>
      <c r="F3314" s="2">
        <v>11219</v>
      </c>
      <c r="G3314" s="4" t="s">
        <v>3453</v>
      </c>
      <c r="H3314" s="1">
        <v>0</v>
      </c>
      <c r="I3314" s="1">
        <v>0</v>
      </c>
      <c r="J3314" s="1">
        <v>0</v>
      </c>
      <c r="K3314" s="2">
        <v>28.7</v>
      </c>
    </row>
    <row r="3315" spans="1:12">
      <c r="A3315" s="3" t="s">
        <v>2194</v>
      </c>
      <c r="B3315" s="3" t="s">
        <v>2526</v>
      </c>
      <c r="C3315" s="3" t="s">
        <v>814</v>
      </c>
      <c r="D3315" s="3"/>
      <c r="E3315" s="2" t="str">
        <f>HYPERLINK("https://old.ukr-mobil.com/displej_xiaomi_mi_max_s_tachskrinom_black_6997", "Перейти")</f>
        <v>Перейти</v>
      </c>
      <c r="F3315" s="2">
        <v>6997</v>
      </c>
      <c r="G3315" s="4" t="s">
        <v>3454</v>
      </c>
      <c r="H3315" s="1">
        <v>0</v>
      </c>
      <c r="I3315" s="1">
        <v>0</v>
      </c>
      <c r="J3315" s="1">
        <v>0</v>
      </c>
      <c r="K3315" s="2">
        <v>19.2</v>
      </c>
    </row>
    <row r="3316" spans="1:12">
      <c r="A3316" s="3" t="s">
        <v>2194</v>
      </c>
      <c r="B3316" s="3" t="s">
        <v>2526</v>
      </c>
      <c r="C3316" s="3" t="s">
        <v>814</v>
      </c>
      <c r="D3316" s="3"/>
      <c r="E3316" s="2" t="str">
        <f>HYPERLINK("https://old.ukr-mobil.com/displej_xiaomi_mi_max_s_tachskrinom_white_6998", "Перейти")</f>
        <v>Перейти</v>
      </c>
      <c r="F3316" s="2">
        <v>6998</v>
      </c>
      <c r="G3316" s="4" t="s">
        <v>3455</v>
      </c>
      <c r="H3316" s="1">
        <v>0</v>
      </c>
      <c r="I3316" s="1">
        <v>0</v>
      </c>
      <c r="J3316" s="1">
        <v>0</v>
      </c>
      <c r="K3316" s="2">
        <v>21.1</v>
      </c>
    </row>
    <row r="3317" spans="1:12">
      <c r="A3317" s="3" t="s">
        <v>2194</v>
      </c>
      <c r="B3317" s="3" t="s">
        <v>2526</v>
      </c>
      <c r="C3317" s="3" t="s">
        <v>814</v>
      </c>
      <c r="D3317" s="3"/>
      <c r="E3317" s="2" t="str">
        <f>HYPERLINK("https://old.ukr-mobil.com/displej_xiaomi_mi_mix_2_s_tachskrinom_black_10337", "Перейти")</f>
        <v>Перейти</v>
      </c>
      <c r="F3317" s="2">
        <v>10337</v>
      </c>
      <c r="G3317" s="4" t="s">
        <v>3456</v>
      </c>
      <c r="H3317" s="1">
        <v>0</v>
      </c>
      <c r="I3317" s="1">
        <v>1</v>
      </c>
      <c r="J3317" s="1">
        <v>0</v>
      </c>
      <c r="K3317" s="2">
        <v>35.4</v>
      </c>
    </row>
    <row r="3318" spans="1:12">
      <c r="A3318" s="3" t="s">
        <v>2194</v>
      </c>
      <c r="B3318" s="3" t="s">
        <v>2526</v>
      </c>
      <c r="C3318" s="3" t="s">
        <v>814</v>
      </c>
      <c r="D3318" s="3"/>
      <c r="E3318" s="2" t="str">
        <f>HYPERLINK("https://old.ukr-mobil.com/displej_xiaomi_mi_mix_3_s_tachskrinom_oled_black_10000596", "Перейти")</f>
        <v>Перейти</v>
      </c>
      <c r="F3318" s="2">
        <v>10000596</v>
      </c>
      <c r="G3318" s="4" t="s">
        <v>3457</v>
      </c>
      <c r="H3318" s="1">
        <v>0</v>
      </c>
      <c r="I3318" s="1">
        <v>4</v>
      </c>
      <c r="J3318" s="1">
        <v>1</v>
      </c>
      <c r="K3318" s="2">
        <v>46.0</v>
      </c>
    </row>
    <row r="3319" spans="1:12">
      <c r="A3319" s="3" t="s">
        <v>2194</v>
      </c>
      <c r="B3319" s="3" t="s">
        <v>2526</v>
      </c>
      <c r="C3319" s="3" t="s">
        <v>814</v>
      </c>
      <c r="D3319" s="3"/>
      <c r="E3319" s="2" t="str">
        <f>HYPERLINK("https://old.ukr-mobil.com/displej_xiaomi_mi_mix_3_s_tachskrinom_original_black_11976", "Перейти")</f>
        <v>Перейти</v>
      </c>
      <c r="F3319" s="2">
        <v>11976</v>
      </c>
      <c r="G3319" s="4" t="s">
        <v>3458</v>
      </c>
      <c r="H3319" s="1">
        <v>0</v>
      </c>
      <c r="I3319" s="1">
        <v>0</v>
      </c>
      <c r="J3319" s="1">
        <v>0</v>
      </c>
      <c r="K3319" s="2">
        <v>114.0</v>
      </c>
    </row>
    <row r="3320" spans="1:12">
      <c r="A3320" s="3" t="s">
        <v>2194</v>
      </c>
      <c r="B3320" s="3" t="s">
        <v>2526</v>
      </c>
      <c r="C3320" s="3" t="s">
        <v>814</v>
      </c>
      <c r="D3320" s="3"/>
      <c r="E3320" s="2" t="str">
        <f>HYPERLINK("https://old.ukr-mobil.com/displej_xiaomi_mi_mix_s_tachskrinom_black_9774", "Перейти")</f>
        <v>Перейти</v>
      </c>
      <c r="F3320" s="2">
        <v>9774</v>
      </c>
      <c r="G3320" s="4" t="s">
        <v>3459</v>
      </c>
      <c r="H3320" s="1">
        <v>0</v>
      </c>
      <c r="I3320" s="1">
        <v>0</v>
      </c>
      <c r="J3320" s="1">
        <v>0</v>
      </c>
      <c r="K3320" s="2">
        <v>32.6</v>
      </c>
    </row>
    <row r="3321" spans="1:12">
      <c r="A3321" s="3" t="s">
        <v>2194</v>
      </c>
      <c r="B3321" s="3" t="s">
        <v>2526</v>
      </c>
      <c r="C3321" s="3" t="s">
        <v>814</v>
      </c>
      <c r="D3321" s="3"/>
      <c r="E3321" s="2" t="str">
        <f>HYPERLINK("https://old.ukr-mobil.com/displej_xiaomi_mi_note_10_mi_note_10_pro_s_tachskrinom_original_black_10000665", "Перейти")</f>
        <v>Перейти</v>
      </c>
      <c r="F3321" s="2">
        <v>10000665</v>
      </c>
      <c r="G3321" s="4" t="s">
        <v>3460</v>
      </c>
      <c r="H3321" s="1">
        <v>1</v>
      </c>
      <c r="I3321" s="1">
        <v>0</v>
      </c>
      <c r="J3321" s="1">
        <v>0</v>
      </c>
      <c r="K3321" s="2">
        <v>37.0</v>
      </c>
    </row>
    <row r="3322" spans="1:12">
      <c r="A3322" s="3" t="s">
        <v>2194</v>
      </c>
      <c r="B3322" s="3" t="s">
        <v>2526</v>
      </c>
      <c r="C3322" s="3" t="s">
        <v>814</v>
      </c>
      <c r="D3322" s="3"/>
      <c r="E3322" s="2" t="str">
        <f>HYPERLINK("https://old.ukr-mobil.com/displej_xiaomi_mi_play_s_tachskrinom_black_11809", "Перейти")</f>
        <v>Перейти</v>
      </c>
      <c r="F3322" s="2">
        <v>11809</v>
      </c>
      <c r="G3322" s="4" t="s">
        <v>3461</v>
      </c>
      <c r="H3322" s="1">
        <v>3</v>
      </c>
      <c r="I3322" s="1">
        <v>3</v>
      </c>
      <c r="J3322" s="1">
        <v>3</v>
      </c>
      <c r="K3322" s="2">
        <v>14.0</v>
      </c>
    </row>
    <row r="3323" spans="1:12">
      <c r="A3323" s="3" t="s">
        <v>2194</v>
      </c>
      <c r="B3323" s="3" t="s">
        <v>2526</v>
      </c>
      <c r="C3323" s="3" t="s">
        <v>814</v>
      </c>
      <c r="D3323" s="3"/>
      <c r="E3323" s="2" t="str">
        <f>HYPERLINK("https://old.ukr-mobil.com/displej_xiaomi_poco_f2_pro_redmi_k30_pro_redmi_k30_ultra_s_tachskrinom_incell_black_10002050", "Перейти")</f>
        <v>Перейти</v>
      </c>
      <c r="F3323" s="2">
        <v>10002050</v>
      </c>
      <c r="G3323" s="4" t="s">
        <v>3462</v>
      </c>
      <c r="H3323" s="1">
        <v>0</v>
      </c>
      <c r="I3323" s="1">
        <v>0</v>
      </c>
      <c r="J3323" s="1">
        <v>0</v>
      </c>
      <c r="K3323" s="2">
        <v>37.0</v>
      </c>
    </row>
    <row r="3324" spans="1:12">
      <c r="A3324" s="3" t="s">
        <v>2194</v>
      </c>
      <c r="B3324" s="3" t="s">
        <v>2526</v>
      </c>
      <c r="C3324" s="3" t="s">
        <v>814</v>
      </c>
      <c r="D3324" s="3"/>
      <c r="E3324" s="2" t="str">
        <f>HYPERLINK("https://old.ukr-mobil.com/displej_xiaomi_poco_f2_pro_redmi_k30_pro_redmi_k30_ultra_s_tachskrinom_original_black_10002049", "Перейти")</f>
        <v>Перейти</v>
      </c>
      <c r="F3324" s="2">
        <v>10002049</v>
      </c>
      <c r="G3324" s="4" t="s">
        <v>3463</v>
      </c>
      <c r="H3324" s="1">
        <v>1</v>
      </c>
      <c r="I3324" s="1">
        <v>0</v>
      </c>
      <c r="J3324" s="1">
        <v>1</v>
      </c>
      <c r="K3324" s="2">
        <v>70.0</v>
      </c>
    </row>
    <row r="3325" spans="1:12">
      <c r="A3325" s="3" t="s">
        <v>2194</v>
      </c>
      <c r="B3325" s="3" t="s">
        <v>2526</v>
      </c>
      <c r="C3325" s="3" t="s">
        <v>814</v>
      </c>
      <c r="D3325" s="3"/>
      <c r="E3325" s="2" t="str">
        <f>HYPERLINK("https://old.ukr-mobil.com/displej_xiaomi_mi_10t_redmi_k30_pocophone_x2_s_tachskrinom_original_black_10000664", "Перейти")</f>
        <v>Перейти</v>
      </c>
      <c r="F3325" s="2">
        <v>10000664</v>
      </c>
      <c r="G3325" s="4" t="s">
        <v>3464</v>
      </c>
      <c r="H3325" s="1">
        <v>0</v>
      </c>
      <c r="I3325" s="1">
        <v>1</v>
      </c>
      <c r="J3325" s="1">
        <v>0</v>
      </c>
      <c r="K3325" s="2">
        <v>13.0</v>
      </c>
    </row>
    <row r="3326" spans="1:12">
      <c r="A3326" s="3" t="s">
        <v>2194</v>
      </c>
      <c r="B3326" s="3" t="s">
        <v>2526</v>
      </c>
      <c r="C3326" s="3" t="s">
        <v>814</v>
      </c>
      <c r="D3326" s="3"/>
      <c r="E3326" s="2" t="str">
        <f>HYPERLINK("https://old.ukr-mobil.com/index.php?route=product&amp;product_id=10004664", "Перейти")</f>
        <v>Перейти</v>
      </c>
      <c r="F3326" s="2">
        <v>10004664</v>
      </c>
      <c r="G3326" s="4" t="s">
        <v>3465</v>
      </c>
      <c r="H3326" s="1">
        <v>2</v>
      </c>
      <c r="I3326" s="1">
        <v>0</v>
      </c>
      <c r="J3326" s="1">
        <v>1</v>
      </c>
      <c r="K3326" s="2">
        <v>110.0</v>
      </c>
    </row>
    <row r="3327" spans="1:12">
      <c r="A3327" s="3" t="s">
        <v>2194</v>
      </c>
      <c r="B3327" s="3" t="s">
        <v>2526</v>
      </c>
      <c r="C3327" s="3" t="s">
        <v>814</v>
      </c>
      <c r="D3327" s="3"/>
      <c r="E3327" s="2" t="str">
        <f>HYPERLINK("https://old.ukr-mobil.com/index.php?route=product&amp;product_id=10004663", "Перейти")</f>
        <v>Перейти</v>
      </c>
      <c r="F3327" s="2">
        <v>10004663</v>
      </c>
      <c r="G3327" s="4" t="s">
        <v>3466</v>
      </c>
      <c r="H3327" s="1">
        <v>0</v>
      </c>
      <c r="I3327" s="1">
        <v>0</v>
      </c>
      <c r="J3327" s="1">
        <v>0</v>
      </c>
      <c r="K3327" s="2">
        <v>35.0</v>
      </c>
    </row>
    <row r="3328" spans="1:12">
      <c r="A3328" s="3" t="s">
        <v>2194</v>
      </c>
      <c r="B3328" s="3" t="s">
        <v>2526</v>
      </c>
      <c r="C3328" s="3" t="s">
        <v>814</v>
      </c>
      <c r="D3328" s="3"/>
      <c r="E3328" s="2" t="str">
        <f>HYPERLINK("https://old.ukr-mobil.com/displej_xiaomi_pocophone_f1_s_tachskrinom_high_copy_black_11140", "Перейти")</f>
        <v>Перейти</v>
      </c>
      <c r="F3328" s="2">
        <v>11140</v>
      </c>
      <c r="G3328" s="4" t="s">
        <v>3467</v>
      </c>
      <c r="H3328" s="1">
        <v>0</v>
      </c>
      <c r="I3328" s="1">
        <v>0</v>
      </c>
      <c r="J3328" s="1">
        <v>0</v>
      </c>
      <c r="K3328" s="2">
        <v>11.5</v>
      </c>
    </row>
    <row r="3329" spans="1:12">
      <c r="A3329" s="3" t="s">
        <v>2194</v>
      </c>
      <c r="B3329" s="3" t="s">
        <v>2526</v>
      </c>
      <c r="C3329" s="3" t="s">
        <v>814</v>
      </c>
      <c r="D3329" s="3"/>
      <c r="E3329" s="2" t="str">
        <f>HYPERLINK("https://old.ukr-mobil.com/displej_xiaomi_redmi_10_redmi_note_11_4g_s_tachskrinom_high_copy_black_10004536", "Перейти")</f>
        <v>Перейти</v>
      </c>
      <c r="F3329" s="2">
        <v>10004536</v>
      </c>
      <c r="G3329" s="4" t="s">
        <v>3468</v>
      </c>
      <c r="H3329" s="1">
        <v>0</v>
      </c>
      <c r="I3329" s="1">
        <v>5</v>
      </c>
      <c r="J3329" s="1">
        <v>3</v>
      </c>
      <c r="K3329" s="2">
        <v>15.0</v>
      </c>
    </row>
    <row r="3330" spans="1:12">
      <c r="A3330" s="3" t="s">
        <v>2194</v>
      </c>
      <c r="B3330" s="3" t="s">
        <v>2526</v>
      </c>
      <c r="C3330" s="3" t="s">
        <v>814</v>
      </c>
      <c r="D3330" s="3"/>
      <c r="E3330" s="2" t="str">
        <f>HYPERLINK("https://old.ukr-mobil.com/displej_xiaomi_redmi_10_s_tachskrinom_original_black_10002048", "Перейти")</f>
        <v>Перейти</v>
      </c>
      <c r="F3330" s="2">
        <v>10002048</v>
      </c>
      <c r="G3330" s="4" t="s">
        <v>3469</v>
      </c>
      <c r="H3330" s="1">
        <v>0</v>
      </c>
      <c r="I3330" s="1">
        <v>0</v>
      </c>
      <c r="J3330" s="1">
        <v>0</v>
      </c>
      <c r="K3330" s="2">
        <v>12.35</v>
      </c>
    </row>
    <row r="3331" spans="1:12">
      <c r="A3331" s="3" t="s">
        <v>2194</v>
      </c>
      <c r="B3331" s="3" t="s">
        <v>2526</v>
      </c>
      <c r="C3331" s="3" t="s">
        <v>814</v>
      </c>
      <c r="D3331" s="3"/>
      <c r="E3331" s="2" t="str">
        <f>HYPERLINK("https://old.ukr-mobil.com/displej_xiaomi_redmi_10_redmi_note_11_4g_s_tachskrinom_service_pack_original_10003706", "Перейти")</f>
        <v>Перейти</v>
      </c>
      <c r="F3331" s="2">
        <v>10003706</v>
      </c>
      <c r="G3331" s="4" t="s">
        <v>3470</v>
      </c>
      <c r="H3331" s="1">
        <v>0</v>
      </c>
      <c r="I3331" s="1">
        <v>0</v>
      </c>
      <c r="J3331" s="1">
        <v>0</v>
      </c>
      <c r="K3331" s="2">
        <v>19.0</v>
      </c>
    </row>
    <row r="3332" spans="1:12">
      <c r="A3332" s="3" t="s">
        <v>2194</v>
      </c>
      <c r="B3332" s="3" t="s">
        <v>2526</v>
      </c>
      <c r="C3332" s="3" t="s">
        <v>814</v>
      </c>
      <c r="D3332" s="3"/>
      <c r="E3332" s="2" t="str">
        <f>HYPERLINK("https://old.ukr-mobil.com/displej_xiaomi_redmi_10_s_tachskrinom_s_ramkoj_original_prc_black_10002558", "Перейти")</f>
        <v>Перейти</v>
      </c>
      <c r="F3332" s="2">
        <v>10002558</v>
      </c>
      <c r="G3332" s="4" t="s">
        <v>3471</v>
      </c>
      <c r="H3332" s="1">
        <v>5</v>
      </c>
      <c r="I3332" s="1">
        <v>6</v>
      </c>
      <c r="J3332" s="1">
        <v>6</v>
      </c>
      <c r="K3332" s="2">
        <v>15.0</v>
      </c>
    </row>
    <row r="3333" spans="1:12">
      <c r="A3333" s="3" t="s">
        <v>2194</v>
      </c>
      <c r="B3333" s="3" t="s">
        <v>2526</v>
      </c>
      <c r="C3333" s="3" t="s">
        <v>814</v>
      </c>
      <c r="D3333" s="3"/>
      <c r="E3333" s="2" t="str">
        <f>HYPERLINK("https://old.ukr-mobil.com/displej_xiaomi_redmi_10c_s_tachskrinom_original_black_10002433", "Перейти")</f>
        <v>Перейти</v>
      </c>
      <c r="F3333" s="2">
        <v>10002433</v>
      </c>
      <c r="G3333" s="4" t="s">
        <v>3472</v>
      </c>
      <c r="H3333" s="1">
        <v>21</v>
      </c>
      <c r="I3333" s="1">
        <v>8</v>
      </c>
      <c r="J3333" s="1">
        <v>7</v>
      </c>
      <c r="K3333" s="2">
        <v>11.25</v>
      </c>
    </row>
    <row r="3334" spans="1:12">
      <c r="A3334" s="3" t="s">
        <v>2194</v>
      </c>
      <c r="B3334" s="3" t="s">
        <v>2526</v>
      </c>
      <c r="C3334" s="3" t="s">
        <v>814</v>
      </c>
      <c r="D3334" s="3"/>
      <c r="E3334" s="2" t="str">
        <f>HYPERLINK("https://old.ukr-mobil.com/displej_xiaomi_redmi_10c_redmi_10_power_poco_c40_s_tachskrinom_service_pack_original_10003699", "Перейти")</f>
        <v>Перейти</v>
      </c>
      <c r="F3334" s="2">
        <v>10003699</v>
      </c>
      <c r="G3334" s="4" t="s">
        <v>3473</v>
      </c>
      <c r="H3334" s="1">
        <v>0</v>
      </c>
      <c r="I3334" s="1">
        <v>0</v>
      </c>
      <c r="J3334" s="1">
        <v>0</v>
      </c>
      <c r="K3334" s="2">
        <v>11.0</v>
      </c>
    </row>
    <row r="3335" spans="1:12">
      <c r="A3335" s="3" t="s">
        <v>2194</v>
      </c>
      <c r="B3335" s="3" t="s">
        <v>2526</v>
      </c>
      <c r="C3335" s="3" t="s">
        <v>814</v>
      </c>
      <c r="D3335" s="3"/>
      <c r="E3335" s="2" t="str">
        <f>HYPERLINK("https://old.ukr-mobil.com/displej_xiaomi_redmi_10c_s_tachskrinom_s_ramkoj_original_prc_black_10003556", "Перейти")</f>
        <v>Перейти</v>
      </c>
      <c r="F3335" s="2">
        <v>10003556</v>
      </c>
      <c r="G3335" s="4" t="s">
        <v>3474</v>
      </c>
      <c r="H3335" s="1">
        <v>0</v>
      </c>
      <c r="I3335" s="1">
        <v>0</v>
      </c>
      <c r="J3335" s="1">
        <v>0</v>
      </c>
      <c r="K3335" s="2">
        <v>15.0</v>
      </c>
    </row>
    <row r="3336" spans="1:12">
      <c r="A3336" s="3" t="s">
        <v>2194</v>
      </c>
      <c r="B3336" s="3" t="s">
        <v>2526</v>
      </c>
      <c r="C3336" s="3" t="s">
        <v>814</v>
      </c>
      <c r="D3336" s="3"/>
      <c r="E3336" s="2" t="str">
        <f>HYPERLINK("https://old.ukr-mobil.com/displej_xiaomi_redmi_12_s_tachskrinom_original_prc_black_10004560", "Перейти")</f>
        <v>Перейти</v>
      </c>
      <c r="F3336" s="2">
        <v>10004560</v>
      </c>
      <c r="G3336" s="4" t="s">
        <v>3475</v>
      </c>
      <c r="H3336" s="1">
        <v>0</v>
      </c>
      <c r="I3336" s="1">
        <v>1</v>
      </c>
      <c r="J3336" s="1">
        <v>1</v>
      </c>
      <c r="K3336" s="2">
        <v>15.0</v>
      </c>
    </row>
    <row r="3337" spans="1:12">
      <c r="A3337" s="3" t="s">
        <v>2194</v>
      </c>
      <c r="B3337" s="3" t="s">
        <v>2526</v>
      </c>
      <c r="C3337" s="3" t="s">
        <v>814</v>
      </c>
      <c r="D3337" s="3"/>
      <c r="E3337" s="2" t="str">
        <f>HYPERLINK("https://old.ukr-mobil.com/displej_xiaomi_redmi_12_s_tachskrinom_service_pack_original_10004561", "Перейти")</f>
        <v>Перейти</v>
      </c>
      <c r="F3337" s="2">
        <v>10004561</v>
      </c>
      <c r="G3337" s="4" t="s">
        <v>3476</v>
      </c>
      <c r="H3337" s="1">
        <v>0</v>
      </c>
      <c r="I3337" s="1">
        <v>0</v>
      </c>
      <c r="J3337" s="1">
        <v>0</v>
      </c>
      <c r="K3337" s="2">
        <v>10.0</v>
      </c>
    </row>
    <row r="3338" spans="1:12">
      <c r="A3338" s="3" t="s">
        <v>2194</v>
      </c>
      <c r="B3338" s="3" t="s">
        <v>2526</v>
      </c>
      <c r="C3338" s="3" t="s">
        <v>814</v>
      </c>
      <c r="D3338" s="3"/>
      <c r="E3338" s="2" t="str">
        <f>HYPERLINK("https://old.ukr-mobil.com/index.php?route=product&amp;product_id=10004652", "Перейти")</f>
        <v>Перейти</v>
      </c>
      <c r="F3338" s="2">
        <v>10004652</v>
      </c>
      <c r="G3338" s="4" t="s">
        <v>3477</v>
      </c>
      <c r="H3338" s="1">
        <v>0</v>
      </c>
      <c r="I3338" s="1">
        <v>0</v>
      </c>
      <c r="J3338" s="1">
        <v>0</v>
      </c>
      <c r="K3338" s="2">
        <v>22.0</v>
      </c>
    </row>
    <row r="3339" spans="1:12">
      <c r="A3339" s="3" t="s">
        <v>2194</v>
      </c>
      <c r="B3339" s="3" t="s">
        <v>2526</v>
      </c>
      <c r="C3339" s="3" t="s">
        <v>814</v>
      </c>
      <c r="D3339" s="3"/>
      <c r="E3339" s="2" t="str">
        <f>HYPERLINK("https://old.ukr-mobil.com/displej_xiaomi_redmi_12c_s_tachskrinom_original_prc_black_10003293", "Перейти")</f>
        <v>Перейти</v>
      </c>
      <c r="F3339" s="2">
        <v>10003293</v>
      </c>
      <c r="G3339" s="4" t="s">
        <v>3478</v>
      </c>
      <c r="H3339" s="1">
        <v>16</v>
      </c>
      <c r="I3339" s="1">
        <v>17</v>
      </c>
      <c r="J3339" s="1">
        <v>24</v>
      </c>
      <c r="K3339" s="2">
        <v>10.5</v>
      </c>
    </row>
    <row r="3340" spans="1:12">
      <c r="A3340" s="3" t="s">
        <v>2194</v>
      </c>
      <c r="B3340" s="3" t="s">
        <v>2526</v>
      </c>
      <c r="C3340" s="3" t="s">
        <v>814</v>
      </c>
      <c r="D3340" s="3"/>
      <c r="E3340" s="2" t="str">
        <f>HYPERLINK("https://old.ukr-mobil.com/displej_xiaomi_redmi_12c_s_tachskrinom_service_pack_original_10004501", "Перейти")</f>
        <v>Перейти</v>
      </c>
      <c r="F3340" s="2">
        <v>10004501</v>
      </c>
      <c r="G3340" s="4" t="s">
        <v>3479</v>
      </c>
      <c r="H3340" s="1">
        <v>0</v>
      </c>
      <c r="I3340" s="1">
        <v>0</v>
      </c>
      <c r="J3340" s="1">
        <v>0</v>
      </c>
      <c r="K3340" s="2">
        <v>17.0</v>
      </c>
    </row>
    <row r="3341" spans="1:12">
      <c r="A3341" s="3" t="s">
        <v>2194</v>
      </c>
      <c r="B3341" s="3" t="s">
        <v>2526</v>
      </c>
      <c r="C3341" s="3" t="s">
        <v>814</v>
      </c>
      <c r="D3341" s="3"/>
      <c r="E3341" s="2" t="str">
        <f>HYPERLINK("https://old.ukr-mobil.com/displej_xiaomi_redmi_12c_s_tachskrinom_s_ramkoj_original_prc_black_10003892", "Перейти")</f>
        <v>Перейти</v>
      </c>
      <c r="F3341" s="2">
        <v>10003892</v>
      </c>
      <c r="G3341" s="4" t="s">
        <v>3480</v>
      </c>
      <c r="H3341" s="1">
        <v>0</v>
      </c>
      <c r="I3341" s="1">
        <v>0</v>
      </c>
      <c r="J3341" s="1">
        <v>0</v>
      </c>
      <c r="K3341" s="2">
        <v>12.0</v>
      </c>
    </row>
    <row r="3342" spans="1:12">
      <c r="A3342" s="3" t="s">
        <v>2194</v>
      </c>
      <c r="B3342" s="3" t="s">
        <v>2526</v>
      </c>
      <c r="C3342" s="3" t="s">
        <v>814</v>
      </c>
      <c r="D3342" s="3"/>
      <c r="E3342" s="2" t="str">
        <f>HYPERLINK("https://old.ukr-mobil.com/index.php?route=product&amp;product_id=10005849", "Перейти")</f>
        <v>Перейти</v>
      </c>
      <c r="F3342" s="2">
        <v>10005849</v>
      </c>
      <c r="G3342" s="4" t="s">
        <v>3481</v>
      </c>
      <c r="H3342" s="1">
        <v>3</v>
      </c>
      <c r="I3342" s="1">
        <v>0</v>
      </c>
      <c r="J3342" s="1">
        <v>0</v>
      </c>
      <c r="K3342" s="2">
        <v>12.0</v>
      </c>
    </row>
    <row r="3343" spans="1:12">
      <c r="A3343" s="3" t="s">
        <v>2194</v>
      </c>
      <c r="B3343" s="3" t="s">
        <v>2526</v>
      </c>
      <c r="C3343" s="3" t="s">
        <v>814</v>
      </c>
      <c r="D3343" s="3"/>
      <c r="E3343" s="2" t="str">
        <f>HYPERLINK("https://old.ukr-mobil.com/displej_xiaomi_redmi_5_plus_s_tachskrinom_high_copy_black_10002334", "Перейти")</f>
        <v>Перейти</v>
      </c>
      <c r="F3343" s="2">
        <v>10002334</v>
      </c>
      <c r="G3343" s="4" t="s">
        <v>3482</v>
      </c>
      <c r="H3343" s="1">
        <v>0</v>
      </c>
      <c r="I3343" s="1">
        <v>0</v>
      </c>
      <c r="J3343" s="1">
        <v>0</v>
      </c>
      <c r="K3343" s="2">
        <v>10.0</v>
      </c>
    </row>
    <row r="3344" spans="1:12">
      <c r="A3344" s="3" t="s">
        <v>2194</v>
      </c>
      <c r="B3344" s="3" t="s">
        <v>2526</v>
      </c>
      <c r="C3344" s="3" t="s">
        <v>814</v>
      </c>
      <c r="D3344" s="3"/>
      <c r="E3344" s="2" t="str">
        <f>HYPERLINK("https://old.ukr-mobil.com/displej_xiaomi_redmi_5_plus_s_tachskrinom_high_copy_white_10002335", "Перейти")</f>
        <v>Перейти</v>
      </c>
      <c r="F3344" s="2">
        <v>10002335</v>
      </c>
      <c r="G3344" s="4" t="s">
        <v>3483</v>
      </c>
      <c r="H3344" s="1">
        <v>0</v>
      </c>
      <c r="I3344" s="1">
        <v>0</v>
      </c>
      <c r="J3344" s="1">
        <v>0</v>
      </c>
      <c r="K3344" s="2">
        <v>9.2</v>
      </c>
    </row>
    <row r="3345" spans="1:12">
      <c r="A3345" s="3" t="s">
        <v>2194</v>
      </c>
      <c r="B3345" s="3" t="s">
        <v>2526</v>
      </c>
      <c r="C3345" s="3" t="s">
        <v>814</v>
      </c>
      <c r="D3345" s="3"/>
      <c r="E3345" s="2" t="str">
        <f>HYPERLINK("https://old.ukr-mobil.com/displej_xiaomi_redmi_5_plus_s_tachskrinom_original_prc_white_10166", "Перейти")</f>
        <v>Перейти</v>
      </c>
      <c r="F3345" s="2">
        <v>10166</v>
      </c>
      <c r="G3345" s="4" t="s">
        <v>3484</v>
      </c>
      <c r="H3345" s="1">
        <v>0</v>
      </c>
      <c r="I3345" s="1">
        <v>0</v>
      </c>
      <c r="J3345" s="1">
        <v>0</v>
      </c>
      <c r="K3345" s="2">
        <v>10.0</v>
      </c>
    </row>
    <row r="3346" spans="1:12">
      <c r="A3346" s="3" t="s">
        <v>2194</v>
      </c>
      <c r="B3346" s="3" t="s">
        <v>2526</v>
      </c>
      <c r="C3346" s="3" t="s">
        <v>814</v>
      </c>
      <c r="D3346" s="3"/>
      <c r="E3346" s="2" t="str">
        <f>HYPERLINK("https://old.ukr-mobil.com/displej_xiaomi_redmi_5_s_tachskrinom_original_prc_black_10119", "Перейти")</f>
        <v>Перейти</v>
      </c>
      <c r="F3346" s="2">
        <v>10119</v>
      </c>
      <c r="G3346" s="4" t="s">
        <v>3485</v>
      </c>
      <c r="H3346" s="1">
        <v>1</v>
      </c>
      <c r="I3346" s="1">
        <v>1</v>
      </c>
      <c r="J3346" s="1">
        <v>0</v>
      </c>
      <c r="K3346" s="2">
        <v>13.0</v>
      </c>
    </row>
    <row r="3347" spans="1:12">
      <c r="A3347" s="3" t="s">
        <v>2194</v>
      </c>
      <c r="B3347" s="3" t="s">
        <v>2526</v>
      </c>
      <c r="C3347" s="3" t="s">
        <v>814</v>
      </c>
      <c r="D3347" s="3"/>
      <c r="E3347" s="2" t="str">
        <f>HYPERLINK("https://old.ukr-mobil.com/displej_xiaomi_redmi_5a_redmi_go_s_tachskrinom_black_9895", "Перейти")</f>
        <v>Перейти</v>
      </c>
      <c r="F3347" s="2">
        <v>9895</v>
      </c>
      <c r="G3347" s="4" t="s">
        <v>3486</v>
      </c>
      <c r="H3347" s="1">
        <v>1</v>
      </c>
      <c r="I3347" s="1">
        <v>0</v>
      </c>
      <c r="J3347" s="1">
        <v>0</v>
      </c>
      <c r="K3347" s="2">
        <v>14.0</v>
      </c>
    </row>
    <row r="3348" spans="1:12">
      <c r="A3348" s="3" t="s">
        <v>2194</v>
      </c>
      <c r="B3348" s="3" t="s">
        <v>2526</v>
      </c>
      <c r="C3348" s="3" t="s">
        <v>814</v>
      </c>
      <c r="D3348" s="3"/>
      <c r="E3348" s="2" t="str">
        <f>HYPERLINK("https://old.ukr-mobil.com/displej_xiaomi_redmi_6_redmi_6a_s_tachskrinom_high_copy_black_10338", "Перейти")</f>
        <v>Перейти</v>
      </c>
      <c r="F3348" s="2">
        <v>10338</v>
      </c>
      <c r="G3348" s="4" t="s">
        <v>3487</v>
      </c>
      <c r="H3348" s="1">
        <v>2</v>
      </c>
      <c r="I3348" s="1">
        <v>0</v>
      </c>
      <c r="J3348" s="1">
        <v>6</v>
      </c>
      <c r="K3348" s="2">
        <v>8.75</v>
      </c>
    </row>
    <row r="3349" spans="1:12">
      <c r="A3349" s="3" t="s">
        <v>2194</v>
      </c>
      <c r="B3349" s="3" t="s">
        <v>2526</v>
      </c>
      <c r="C3349" s="3" t="s">
        <v>814</v>
      </c>
      <c r="D3349" s="3"/>
      <c r="E3349" s="2" t="str">
        <f>HYPERLINK("https://old.ukr-mobil.com/displej_xiaomi_redmi_6_redmi_6a_s_tachskrinom_high_copy_white_10339", "Перейти")</f>
        <v>Перейти</v>
      </c>
      <c r="F3349" s="2">
        <v>10339</v>
      </c>
      <c r="G3349" s="4" t="s">
        <v>3488</v>
      </c>
      <c r="H3349" s="1">
        <v>0</v>
      </c>
      <c r="I3349" s="1">
        <v>1</v>
      </c>
      <c r="J3349" s="1">
        <v>0</v>
      </c>
      <c r="K3349" s="2">
        <v>8.75</v>
      </c>
    </row>
    <row r="3350" spans="1:12">
      <c r="A3350" s="3" t="s">
        <v>2194</v>
      </c>
      <c r="B3350" s="3" t="s">
        <v>2526</v>
      </c>
      <c r="C3350" s="3" t="s">
        <v>814</v>
      </c>
      <c r="D3350" s="3"/>
      <c r="E3350" s="2" t="str">
        <f>HYPERLINK("https://old.ukr-mobil.com/displej_xiaomi_redmi_7_s_tachskrinom_original_prc_black_11723", "Перейти")</f>
        <v>Перейти</v>
      </c>
      <c r="F3350" s="2">
        <v>11723</v>
      </c>
      <c r="G3350" s="4" t="s">
        <v>3489</v>
      </c>
      <c r="H3350" s="1">
        <v>0</v>
      </c>
      <c r="I3350" s="1">
        <v>0</v>
      </c>
      <c r="J3350" s="1">
        <v>0</v>
      </c>
      <c r="K3350" s="2">
        <v>11.0</v>
      </c>
    </row>
    <row r="3351" spans="1:12">
      <c r="A3351" s="3" t="s">
        <v>2194</v>
      </c>
      <c r="B3351" s="3" t="s">
        <v>2526</v>
      </c>
      <c r="C3351" s="3" t="s">
        <v>814</v>
      </c>
      <c r="D3351" s="3"/>
      <c r="E3351" s="2" t="str">
        <f>HYPERLINK("https://old.ukr-mobil.com/displej_xiaomi_redmi_7a_s_tachskrinom_high_copy_black_12314", "Перейти")</f>
        <v>Перейти</v>
      </c>
      <c r="F3351" s="2">
        <v>12314</v>
      </c>
      <c r="G3351" s="4" t="s">
        <v>3490</v>
      </c>
      <c r="H3351" s="1">
        <v>26</v>
      </c>
      <c r="I3351" s="1">
        <v>16</v>
      </c>
      <c r="J3351" s="1">
        <v>21</v>
      </c>
      <c r="K3351" s="2">
        <v>9.0</v>
      </c>
    </row>
    <row r="3352" spans="1:12">
      <c r="A3352" s="3" t="s">
        <v>2194</v>
      </c>
      <c r="B3352" s="3" t="s">
        <v>2526</v>
      </c>
      <c r="C3352" s="3" t="s">
        <v>814</v>
      </c>
      <c r="D3352" s="3"/>
      <c r="E3352" s="2" t="str">
        <f>HYPERLINK("https://old.ukr-mobil.com/displej_xiaomi_redmi_8_redmi_8a_s_tachskrinom_original_prc_black_12362", "Перейти")</f>
        <v>Перейти</v>
      </c>
      <c r="F3352" s="2">
        <v>12362</v>
      </c>
      <c r="G3352" s="4" t="s">
        <v>3491</v>
      </c>
      <c r="H3352" s="1">
        <v>0</v>
      </c>
      <c r="I3352" s="1">
        <v>1</v>
      </c>
      <c r="J3352" s="1">
        <v>0</v>
      </c>
      <c r="K3352" s="2">
        <v>9.5</v>
      </c>
    </row>
    <row r="3353" spans="1:12">
      <c r="A3353" s="3" t="s">
        <v>2194</v>
      </c>
      <c r="B3353" s="3" t="s">
        <v>2526</v>
      </c>
      <c r="C3353" s="3" t="s">
        <v>814</v>
      </c>
      <c r="D3353" s="3"/>
      <c r="E3353" s="2" t="str">
        <f>HYPERLINK("https://old.ukr-mobil.com/index.php?route=product&amp;product_id=10004656", "Перейти")</f>
        <v>Перейти</v>
      </c>
      <c r="F3353" s="2">
        <v>10004656</v>
      </c>
      <c r="G3353" s="4" t="s">
        <v>3492</v>
      </c>
      <c r="H3353" s="1">
        <v>0</v>
      </c>
      <c r="I3353" s="1">
        <v>0</v>
      </c>
      <c r="J3353" s="1">
        <v>0</v>
      </c>
      <c r="K3353" s="2">
        <v>13.0</v>
      </c>
    </row>
    <row r="3354" spans="1:12">
      <c r="A3354" s="3" t="s">
        <v>2194</v>
      </c>
      <c r="B3354" s="3" t="s">
        <v>2526</v>
      </c>
      <c r="C3354" s="3" t="s">
        <v>814</v>
      </c>
      <c r="D3354" s="3"/>
      <c r="E3354" s="2" t="str">
        <f>HYPERLINK("https://old.ukr-mobil.com/displej_xiaomi_redmi_8_redmi_8a_s_tachskrinom_s_ramkoj_original_prc_black_10002253", "Перейти")</f>
        <v>Перейти</v>
      </c>
      <c r="F3354" s="2">
        <v>10002253</v>
      </c>
      <c r="G3354" s="4" t="s">
        <v>3493</v>
      </c>
      <c r="H3354" s="1">
        <v>0</v>
      </c>
      <c r="I3354" s="1">
        <v>0</v>
      </c>
      <c r="J3354" s="1">
        <v>0</v>
      </c>
      <c r="K3354" s="2">
        <v>17.0</v>
      </c>
    </row>
    <row r="3355" spans="1:12">
      <c r="A3355" s="3" t="s">
        <v>2194</v>
      </c>
      <c r="B3355" s="3" t="s">
        <v>2526</v>
      </c>
      <c r="C3355" s="3" t="s">
        <v>814</v>
      </c>
      <c r="D3355" s="3"/>
      <c r="E3355" s="2" t="str">
        <f>HYPERLINK("https://old.ukr-mobil.com/displej_xiaomi_redmi_9_redmi_9_prime_poco_m2_s_tachskrinom_high_copy_black_10002948", "Перейти")</f>
        <v>Перейти</v>
      </c>
      <c r="F3355" s="2">
        <v>10002948</v>
      </c>
      <c r="G3355" s="4" t="s">
        <v>3494</v>
      </c>
      <c r="H3355" s="1">
        <v>0</v>
      </c>
      <c r="I3355" s="1">
        <v>0</v>
      </c>
      <c r="J3355" s="1">
        <v>0</v>
      </c>
      <c r="K3355" s="2">
        <v>10.5</v>
      </c>
    </row>
    <row r="3356" spans="1:12">
      <c r="A3356" s="3" t="s">
        <v>2194</v>
      </c>
      <c r="B3356" s="3" t="s">
        <v>2526</v>
      </c>
      <c r="C3356" s="3" t="s">
        <v>814</v>
      </c>
      <c r="D3356" s="3"/>
      <c r="E3356" s="2" t="str">
        <f>HYPERLINK("https://old.ukr-mobil.com/displej_xiaomi_redmi_9_s_tachskrinom_original_black_10001014", "Перейти")</f>
        <v>Перейти</v>
      </c>
      <c r="F3356" s="2">
        <v>10001014</v>
      </c>
      <c r="G3356" s="4" t="s">
        <v>3495</v>
      </c>
      <c r="H3356" s="1">
        <v>0</v>
      </c>
      <c r="I3356" s="1">
        <v>0</v>
      </c>
      <c r="J3356" s="1">
        <v>0</v>
      </c>
      <c r="K3356" s="2">
        <v>10.0</v>
      </c>
    </row>
    <row r="3357" spans="1:12">
      <c r="A3357" s="3" t="s">
        <v>2194</v>
      </c>
      <c r="B3357" s="3" t="s">
        <v>2526</v>
      </c>
      <c r="C3357" s="3" t="s">
        <v>814</v>
      </c>
      <c r="D3357" s="3"/>
      <c r="E3357" s="2" t="str">
        <f>HYPERLINK("https://old.ukr-mobil.com/displej_xiaomi_redmi_9_redmi_9_prime_poco_m2_s_tachskrinom_service_pack_original_10004404", "Перейти")</f>
        <v>Перейти</v>
      </c>
      <c r="F3357" s="2">
        <v>10004404</v>
      </c>
      <c r="G3357" s="4" t="s">
        <v>3496</v>
      </c>
      <c r="H3357" s="1">
        <v>0</v>
      </c>
      <c r="I3357" s="1">
        <v>0</v>
      </c>
      <c r="J3357" s="1">
        <v>0</v>
      </c>
      <c r="K3357" s="2">
        <v>14.0</v>
      </c>
    </row>
    <row r="3358" spans="1:12">
      <c r="A3358" s="3" t="s">
        <v>2194</v>
      </c>
      <c r="B3358" s="3" t="s">
        <v>2526</v>
      </c>
      <c r="C3358" s="3" t="s">
        <v>814</v>
      </c>
      <c r="D3358" s="3"/>
      <c r="E3358" s="2" t="str">
        <f>HYPERLINK("https://old.ukr-mobil.com/displej_xiaomi_redmi_9_redmi_9_prime_poco_m2_s_tachskrinom_s_ramkoj_original_prc_black_10002008", "Перейти")</f>
        <v>Перейти</v>
      </c>
      <c r="F3358" s="2">
        <v>10002008</v>
      </c>
      <c r="G3358" s="4" t="s">
        <v>3497</v>
      </c>
      <c r="H3358" s="1">
        <v>0</v>
      </c>
      <c r="I3358" s="1">
        <v>0</v>
      </c>
      <c r="J3358" s="1">
        <v>0</v>
      </c>
      <c r="K3358" s="2">
        <v>10.45</v>
      </c>
    </row>
    <row r="3359" spans="1:12">
      <c r="A3359" s="3" t="s">
        <v>2194</v>
      </c>
      <c r="B3359" s="3" t="s">
        <v>2526</v>
      </c>
      <c r="C3359" s="3" t="s">
        <v>814</v>
      </c>
      <c r="D3359" s="3"/>
      <c r="E3359" s="2" t="str">
        <f>HYPERLINK("https://old.ukr-mobil.com/displej_xiaomi_redmi_9a_redmi_9c_redmi_10a_poco_c3_s_tachskrinom_high_copy_black_10003144", "Перейти")</f>
        <v>Перейти</v>
      </c>
      <c r="F3359" s="2">
        <v>10003144</v>
      </c>
      <c r="G3359" s="4" t="s">
        <v>3498</v>
      </c>
      <c r="H3359" s="1">
        <v>0</v>
      </c>
      <c r="I3359" s="1">
        <v>0</v>
      </c>
      <c r="J3359" s="1">
        <v>0</v>
      </c>
      <c r="K3359" s="2">
        <v>11.5</v>
      </c>
    </row>
    <row r="3360" spans="1:12">
      <c r="A3360" s="3" t="s">
        <v>2194</v>
      </c>
      <c r="B3360" s="3" t="s">
        <v>2526</v>
      </c>
      <c r="C3360" s="3" t="s">
        <v>814</v>
      </c>
      <c r="D3360" s="3"/>
      <c r="E3360" s="2" t="str">
        <f>HYPERLINK("https://old.ukr-mobil.com/displej_xiaomi_redmi_9a_redmi_9c_s_tachskrinom_original_prc_black_10001051", "Перейти")</f>
        <v>Перейти</v>
      </c>
      <c r="F3360" s="2">
        <v>10001051</v>
      </c>
      <c r="G3360" s="4" t="s">
        <v>3499</v>
      </c>
      <c r="H3360" s="1">
        <v>0</v>
      </c>
      <c r="I3360" s="1">
        <v>0</v>
      </c>
      <c r="J3360" s="1">
        <v>0</v>
      </c>
      <c r="K3360" s="2">
        <v>9.0</v>
      </c>
    </row>
    <row r="3361" spans="1:12">
      <c r="A3361" s="3" t="s">
        <v>2194</v>
      </c>
      <c r="B3361" s="3" t="s">
        <v>2526</v>
      </c>
      <c r="C3361" s="3" t="s">
        <v>814</v>
      </c>
      <c r="D3361" s="3"/>
      <c r="E3361" s="2" t="str">
        <f>HYPERLINK("https://old.ukr-mobil.com/displej_xiaomi_redmi_9a_redmi_9c_redmi_10a_poco_c3_s_tachskrinom_service_pack_original_10003705", "Перейти")</f>
        <v>Перейти</v>
      </c>
      <c r="F3361" s="2">
        <v>10003705</v>
      </c>
      <c r="G3361" s="4" t="s">
        <v>3500</v>
      </c>
      <c r="H3361" s="1">
        <v>0</v>
      </c>
      <c r="I3361" s="1">
        <v>0</v>
      </c>
      <c r="J3361" s="1">
        <v>0</v>
      </c>
      <c r="K3361" s="2">
        <v>17.0</v>
      </c>
    </row>
    <row r="3362" spans="1:12">
      <c r="A3362" s="3" t="s">
        <v>2194</v>
      </c>
      <c r="B3362" s="3" t="s">
        <v>2526</v>
      </c>
      <c r="C3362" s="3" t="s">
        <v>814</v>
      </c>
      <c r="D3362" s="3"/>
      <c r="E3362" s="2" t="str">
        <f>HYPERLINK("https://old.ukr-mobil.com/displej_xiaomi_redmi_9a_redmi_9c_poco_c3_s_tachskrinom_s_ramkoj_original_prc_black_10002009", "Перейти")</f>
        <v>Перейти</v>
      </c>
      <c r="F3362" s="2">
        <v>10002009</v>
      </c>
      <c r="G3362" s="4" t="s">
        <v>3501</v>
      </c>
      <c r="H3362" s="1">
        <v>0</v>
      </c>
      <c r="I3362" s="1">
        <v>0</v>
      </c>
      <c r="J3362" s="1">
        <v>0</v>
      </c>
      <c r="K3362" s="2">
        <v>12.0</v>
      </c>
    </row>
    <row r="3363" spans="1:12">
      <c r="A3363" s="3" t="s">
        <v>2194</v>
      </c>
      <c r="B3363" s="3" t="s">
        <v>2526</v>
      </c>
      <c r="C3363" s="3" t="s">
        <v>814</v>
      </c>
      <c r="D3363" s="3"/>
      <c r="E3363" s="2" t="str">
        <f>HYPERLINK("https://old.ukr-mobil.com/displej_xiaomi_redmi_9t_redmi_9_power_poco_m3_s_tachskrinom_high_copy_10002940", "Перейти")</f>
        <v>Перейти</v>
      </c>
      <c r="F3363" s="2">
        <v>10002940</v>
      </c>
      <c r="G3363" s="4" t="s">
        <v>3502</v>
      </c>
      <c r="H3363" s="1">
        <v>0</v>
      </c>
      <c r="I3363" s="1">
        <v>0</v>
      </c>
      <c r="J3363" s="1">
        <v>0</v>
      </c>
      <c r="K3363" s="2">
        <v>9.0</v>
      </c>
    </row>
    <row r="3364" spans="1:12">
      <c r="A3364" s="3" t="s">
        <v>2194</v>
      </c>
      <c r="B3364" s="3" t="s">
        <v>2526</v>
      </c>
      <c r="C3364" s="3" t="s">
        <v>814</v>
      </c>
      <c r="D3364" s="3"/>
      <c r="E3364" s="2" t="str">
        <f>HYPERLINK("https://old.ukr-mobil.com/displej_xiaomi_poco_m3_s_tachskrinom_original_prc_black_10001576", "Перейти")</f>
        <v>Перейти</v>
      </c>
      <c r="F3364" s="2">
        <v>10001576</v>
      </c>
      <c r="G3364" s="4" t="s">
        <v>3503</v>
      </c>
      <c r="H3364" s="1">
        <v>0</v>
      </c>
      <c r="I3364" s="1">
        <v>0</v>
      </c>
      <c r="J3364" s="1">
        <v>0</v>
      </c>
      <c r="K3364" s="2">
        <v>9.5</v>
      </c>
    </row>
    <row r="3365" spans="1:12">
      <c r="A3365" s="3" t="s">
        <v>2194</v>
      </c>
      <c r="B3365" s="3" t="s">
        <v>2526</v>
      </c>
      <c r="C3365" s="3" t="s">
        <v>814</v>
      </c>
      <c r="D3365" s="3"/>
      <c r="E3365" s="2" t="str">
        <f>HYPERLINK("https://old.ukr-mobil.com/displej_xiaomi_redmi_9t_redmi_9_power_poco_m3_s_tachskrinom_service_pack_original_10003704", "Перейти")</f>
        <v>Перейти</v>
      </c>
      <c r="F3365" s="2">
        <v>10003704</v>
      </c>
      <c r="G3365" s="4" t="s">
        <v>3504</v>
      </c>
      <c r="H3365" s="1">
        <v>0</v>
      </c>
      <c r="I3365" s="1">
        <v>0</v>
      </c>
      <c r="J3365" s="1">
        <v>0</v>
      </c>
      <c r="K3365" s="2">
        <v>10.0</v>
      </c>
    </row>
    <row r="3366" spans="1:12">
      <c r="A3366" s="3" t="s">
        <v>2194</v>
      </c>
      <c r="B3366" s="3" t="s">
        <v>2526</v>
      </c>
      <c r="C3366" s="3" t="s">
        <v>814</v>
      </c>
      <c r="D3366" s="3"/>
      <c r="E3366" s="2" t="str">
        <f>HYPERLINK("https://old.ukr-mobil.com/displej_xiaomi_redmi_9t_redmi_9_power_poco_m3_s_tachskrinom_s_ramkoj_original_prc_black_10002010", "Перейти")</f>
        <v>Перейти</v>
      </c>
      <c r="F3366" s="2">
        <v>10002010</v>
      </c>
      <c r="G3366" s="4" t="s">
        <v>3505</v>
      </c>
      <c r="H3366" s="1">
        <v>0</v>
      </c>
      <c r="I3366" s="1">
        <v>0</v>
      </c>
      <c r="J3366" s="1">
        <v>0</v>
      </c>
      <c r="K3366" s="2">
        <v>13.0</v>
      </c>
    </row>
    <row r="3367" spans="1:12">
      <c r="A3367" s="3" t="s">
        <v>2194</v>
      </c>
      <c r="B3367" s="3" t="s">
        <v>2526</v>
      </c>
      <c r="C3367" s="3" t="s">
        <v>814</v>
      </c>
      <c r="D3367" s="3"/>
      <c r="E3367" s="2" t="str">
        <f>HYPERLINK("https://old.ukr-mobil.com/displej_xiaomi_redmi_a1_redmi_a1_plus_s_tachskrinom_original_prc_black_10003564", "Перейти")</f>
        <v>Перейти</v>
      </c>
      <c r="F3367" s="2">
        <v>10003564</v>
      </c>
      <c r="G3367" s="4" t="s">
        <v>3506</v>
      </c>
      <c r="H3367" s="1">
        <v>0</v>
      </c>
      <c r="I3367" s="1">
        <v>0</v>
      </c>
      <c r="J3367" s="1">
        <v>0</v>
      </c>
      <c r="K3367" s="2">
        <v>10.3</v>
      </c>
    </row>
    <row r="3368" spans="1:12">
      <c r="A3368" s="3" t="s">
        <v>2194</v>
      </c>
      <c r="B3368" s="3" t="s">
        <v>2526</v>
      </c>
      <c r="C3368" s="3" t="s">
        <v>814</v>
      </c>
      <c r="D3368" s="3"/>
      <c r="E3368" s="2" t="str">
        <f>HYPERLINK("https://old.ukr-mobil.com/displej_xiaomi_redmi_a1_redmi_a1_plus_s_tachskrinom_service_pack_original_10004313", "Перейти")</f>
        <v>Перейти</v>
      </c>
      <c r="F3368" s="2">
        <v>10004313</v>
      </c>
      <c r="G3368" s="4" t="s">
        <v>3507</v>
      </c>
      <c r="H3368" s="1">
        <v>8</v>
      </c>
      <c r="I3368" s="1">
        <v>2</v>
      </c>
      <c r="J3368" s="1">
        <v>4</v>
      </c>
      <c r="K3368" s="2">
        <v>10.0</v>
      </c>
    </row>
    <row r="3369" spans="1:12">
      <c r="A3369" s="3" t="s">
        <v>2194</v>
      </c>
      <c r="B3369" s="3" t="s">
        <v>2526</v>
      </c>
      <c r="C3369" s="3" t="s">
        <v>814</v>
      </c>
      <c r="D3369" s="3"/>
      <c r="E3369" s="2" t="str">
        <f>HYPERLINK("https://old.ukr-mobil.com/displej_xiaomi_redmi_a1_redmi_a1_plus_s_tachskrinom_s_ramkoj_original_prc_black_10004312", "Перейти")</f>
        <v>Перейти</v>
      </c>
      <c r="F3369" s="2">
        <v>10004312</v>
      </c>
      <c r="G3369" s="4" t="s">
        <v>3508</v>
      </c>
      <c r="H3369" s="1">
        <v>4</v>
      </c>
      <c r="I3369" s="1">
        <v>0</v>
      </c>
      <c r="J3369" s="1">
        <v>0</v>
      </c>
      <c r="K3369" s="2">
        <v>16.0</v>
      </c>
    </row>
    <row r="3370" spans="1:12">
      <c r="A3370" s="3" t="s">
        <v>2194</v>
      </c>
      <c r="B3370" s="3" t="s">
        <v>2526</v>
      </c>
      <c r="C3370" s="3" t="s">
        <v>814</v>
      </c>
      <c r="D3370" s="3"/>
      <c r="E3370" s="2" t="str">
        <f>HYPERLINK("https://old.ukr-mobil.com/displej_xiaomi_redmi_note_10_5g_poco_m3_pro_poco_m3_pro_5g_s_tachskrinom_original_10002031", "Перейти")</f>
        <v>Перейти</v>
      </c>
      <c r="F3370" s="2">
        <v>10002031</v>
      </c>
      <c r="G3370" s="4" t="s">
        <v>3509</v>
      </c>
      <c r="H3370" s="1">
        <v>19</v>
      </c>
      <c r="I3370" s="1">
        <v>10</v>
      </c>
      <c r="J3370" s="1">
        <v>4</v>
      </c>
      <c r="K3370" s="2">
        <v>16.0</v>
      </c>
    </row>
    <row r="3371" spans="1:12">
      <c r="A3371" s="3" t="s">
        <v>2194</v>
      </c>
      <c r="B3371" s="3" t="s">
        <v>2526</v>
      </c>
      <c r="C3371" s="3" t="s">
        <v>814</v>
      </c>
      <c r="D3371" s="3"/>
      <c r="E3371" s="2" t="str">
        <f>HYPERLINK("https://old.ukr-mobil.com/displej_xiaomi_redmi_note_10_5g_poco_m3_pro_poco_m3_pro_5g_s_tachskrinom_service_pack_original_10004502", "Перейти")</f>
        <v>Перейти</v>
      </c>
      <c r="F3371" s="2">
        <v>10004502</v>
      </c>
      <c r="G3371" s="4" t="s">
        <v>3510</v>
      </c>
      <c r="H3371" s="1">
        <v>36</v>
      </c>
      <c r="I3371" s="1">
        <v>7</v>
      </c>
      <c r="J3371" s="1">
        <v>10</v>
      </c>
      <c r="K3371" s="2">
        <v>14.0</v>
      </c>
    </row>
    <row r="3372" spans="1:12">
      <c r="A3372" s="3" t="s">
        <v>2194</v>
      </c>
      <c r="B3372" s="3" t="s">
        <v>2526</v>
      </c>
      <c r="C3372" s="3" t="s">
        <v>814</v>
      </c>
      <c r="D3372" s="3"/>
      <c r="E3372" s="2" t="str">
        <f>HYPERLINK("https://old.ukr-mobil.com/displej_xiaomi_redmi_note_10_5g_s_tachskrinom_s_ramkoj_original_prc_10002526", "Перейти")</f>
        <v>Перейти</v>
      </c>
      <c r="F3372" s="2">
        <v>10002526</v>
      </c>
      <c r="G3372" s="4" t="s">
        <v>3511</v>
      </c>
      <c r="H3372" s="1">
        <v>0</v>
      </c>
      <c r="I3372" s="1">
        <v>0</v>
      </c>
      <c r="J3372" s="1">
        <v>0</v>
      </c>
      <c r="K3372" s="2">
        <v>17.0</v>
      </c>
    </row>
    <row r="3373" spans="1:12">
      <c r="A3373" s="3" t="s">
        <v>2194</v>
      </c>
      <c r="B3373" s="3" t="s">
        <v>2526</v>
      </c>
      <c r="C3373" s="3" t="s">
        <v>814</v>
      </c>
      <c r="D3373" s="3"/>
      <c r="E3373" s="2" t="str">
        <f>HYPERLINK("https://old.ukr-mobil.com/displej_xiaomi_redmi_note_10_pro_s_tachskrinom_oled_black_10002487", "Перейти")</f>
        <v>Перейти</v>
      </c>
      <c r="F3373" s="2">
        <v>10002487</v>
      </c>
      <c r="G3373" s="4" t="s">
        <v>3512</v>
      </c>
      <c r="H3373" s="1">
        <v>2</v>
      </c>
      <c r="I3373" s="1">
        <v>0</v>
      </c>
      <c r="J3373" s="1">
        <v>0</v>
      </c>
      <c r="K3373" s="2">
        <v>33.0</v>
      </c>
    </row>
    <row r="3374" spans="1:12">
      <c r="A3374" s="3" t="s">
        <v>2194</v>
      </c>
      <c r="B3374" s="3" t="s">
        <v>2526</v>
      </c>
      <c r="C3374" s="3" t="s">
        <v>814</v>
      </c>
      <c r="D3374" s="3"/>
      <c r="E3374" s="2" t="str">
        <f>HYPERLINK("https://old.ukr-mobil.com/displej_xiaomi_redmi_note_10_pro_s_tachskrinom_original_black_10001762", "Перейти")</f>
        <v>Перейти</v>
      </c>
      <c r="F3374" s="2">
        <v>10001762</v>
      </c>
      <c r="G3374" s="4" t="s">
        <v>3513</v>
      </c>
      <c r="H3374" s="1">
        <v>4</v>
      </c>
      <c r="I3374" s="1">
        <v>0</v>
      </c>
      <c r="J3374" s="1">
        <v>4</v>
      </c>
      <c r="K3374" s="2">
        <v>84.0</v>
      </c>
    </row>
    <row r="3375" spans="1:12">
      <c r="A3375" s="3" t="s">
        <v>2194</v>
      </c>
      <c r="B3375" s="3" t="s">
        <v>2526</v>
      </c>
      <c r="C3375" s="3" t="s">
        <v>814</v>
      </c>
      <c r="D3375" s="3"/>
      <c r="E3375" s="2" t="str">
        <f>HYPERLINK("https://old.ukr-mobil.com/displej_xiaomi_redmi_note_10_pro_5g_s_tachskrinom_original_prc_10002534", "Перейти")</f>
        <v>Перейти</v>
      </c>
      <c r="F3375" s="2">
        <v>10002534</v>
      </c>
      <c r="G3375" s="4" t="s">
        <v>3514</v>
      </c>
      <c r="H3375" s="1">
        <v>5</v>
      </c>
      <c r="I3375" s="1">
        <v>7</v>
      </c>
      <c r="J3375" s="1">
        <v>0</v>
      </c>
      <c r="K3375" s="2">
        <v>16.0</v>
      </c>
    </row>
    <row r="3376" spans="1:12">
      <c r="A3376" s="3" t="s">
        <v>2194</v>
      </c>
      <c r="B3376" s="3" t="s">
        <v>2526</v>
      </c>
      <c r="C3376" s="3" t="s">
        <v>814</v>
      </c>
      <c r="D3376" s="3"/>
      <c r="E3376" s="2" t="str">
        <f>HYPERLINK("https://old.ukr-mobil.com/displej_xiaomi_redmi_note_10_pro_s_tachskrinom_tft_black_10002220", "Перейти")</f>
        <v>Перейти</v>
      </c>
      <c r="F3376" s="2">
        <v>10002220</v>
      </c>
      <c r="G3376" s="4" t="s">
        <v>3515</v>
      </c>
      <c r="H3376" s="1">
        <v>1</v>
      </c>
      <c r="I3376" s="1">
        <v>0</v>
      </c>
      <c r="J3376" s="1">
        <v>0</v>
      </c>
      <c r="K3376" s="2">
        <v>30.0</v>
      </c>
    </row>
    <row r="3377" spans="1:12">
      <c r="A3377" s="3" t="s">
        <v>2194</v>
      </c>
      <c r="B3377" s="3" t="s">
        <v>2526</v>
      </c>
      <c r="C3377" s="3" t="s">
        <v>814</v>
      </c>
      <c r="D3377" s="3"/>
      <c r="E3377" s="2" t="str">
        <f>HYPERLINK("https://old.ukr-mobil.com/displej_xiaomi_redmi_note_10_pro_s_tachskrinom_s_ramkoj_oled_black_10004283", "Перейти")</f>
        <v>Перейти</v>
      </c>
      <c r="F3377" s="2">
        <v>10004283</v>
      </c>
      <c r="G3377" s="4" t="s">
        <v>3516</v>
      </c>
      <c r="H3377" s="1">
        <v>1</v>
      </c>
      <c r="I3377" s="1">
        <v>0</v>
      </c>
      <c r="J3377" s="1">
        <v>0</v>
      </c>
      <c r="K3377" s="2">
        <v>34.0</v>
      </c>
    </row>
    <row r="3378" spans="1:12">
      <c r="A3378" s="3" t="s">
        <v>2194</v>
      </c>
      <c r="B3378" s="3" t="s">
        <v>2526</v>
      </c>
      <c r="C3378" s="3" t="s">
        <v>814</v>
      </c>
      <c r="D3378" s="3"/>
      <c r="E3378" s="2" t="str">
        <f>HYPERLINK("https://old.ukr-mobil.com/displej_xiaomi_redmi_note_10_s_tachskrinom_original_black_10001761", "Перейти")</f>
        <v>Перейти</v>
      </c>
      <c r="F3378" s="2">
        <v>10001761</v>
      </c>
      <c r="G3378" s="4" t="s">
        <v>3517</v>
      </c>
      <c r="H3378" s="1">
        <v>27</v>
      </c>
      <c r="I3378" s="1">
        <v>8</v>
      </c>
      <c r="J3378" s="1">
        <v>10</v>
      </c>
      <c r="K3378" s="2">
        <v>16.5</v>
      </c>
    </row>
    <row r="3379" spans="1:12">
      <c r="A3379" s="3" t="s">
        <v>2194</v>
      </c>
      <c r="B3379" s="3" t="s">
        <v>2526</v>
      </c>
      <c r="C3379" s="3" t="s">
        <v>814</v>
      </c>
      <c r="D3379" s="3"/>
      <c r="E3379" s="2" t="str">
        <f>HYPERLINK("https://old.ukr-mobil.com/displej_xiaomi_redmi_note_10_4g_redmi_note_10s_s_tachskrinom_oled_black_10001949", "Перейти")</f>
        <v>Перейти</v>
      </c>
      <c r="F3379" s="2">
        <v>10001949</v>
      </c>
      <c r="G3379" s="4" t="s">
        <v>3518</v>
      </c>
      <c r="H3379" s="1">
        <v>0</v>
      </c>
      <c r="I3379" s="1">
        <v>0</v>
      </c>
      <c r="J3379" s="1">
        <v>0</v>
      </c>
      <c r="K3379" s="2">
        <v>32.0</v>
      </c>
    </row>
    <row r="3380" spans="1:12">
      <c r="A3380" s="3" t="s">
        <v>2194</v>
      </c>
      <c r="B3380" s="3" t="s">
        <v>2526</v>
      </c>
      <c r="C3380" s="3" t="s">
        <v>814</v>
      </c>
      <c r="D3380" s="3"/>
      <c r="E3380" s="2" t="str">
        <f>HYPERLINK("https://old.ukr-mobil.com/displej_xiaomi_redmi_note_10_redmi_note_10s_s_tachskrinom_original_10002488", "Перейти")</f>
        <v>Перейти</v>
      </c>
      <c r="F3380" s="2">
        <v>10002488</v>
      </c>
      <c r="G3380" s="4" t="s">
        <v>3519</v>
      </c>
      <c r="H3380" s="1">
        <v>0</v>
      </c>
      <c r="I3380" s="1">
        <v>0</v>
      </c>
      <c r="J3380" s="1">
        <v>0</v>
      </c>
      <c r="K3380" s="2">
        <v>68.0</v>
      </c>
    </row>
    <row r="3381" spans="1:12">
      <c r="A3381" s="3" t="s">
        <v>2194</v>
      </c>
      <c r="B3381" s="3" t="s">
        <v>2526</v>
      </c>
      <c r="C3381" s="3" t="s">
        <v>814</v>
      </c>
      <c r="D3381" s="3"/>
      <c r="E3381" s="2" t="str">
        <f>HYPERLINK("https://old.ukr-mobil.com/displej_xiaomi_redmi_note_10_redmi_note_10s_s_tachskrinom_s_ramkoj_oled_black_10003308", "Перейти")</f>
        <v>Перейти</v>
      </c>
      <c r="F3381" s="2">
        <v>10003308</v>
      </c>
      <c r="G3381" s="4" t="s">
        <v>3520</v>
      </c>
      <c r="H3381" s="1">
        <v>19</v>
      </c>
      <c r="I3381" s="1">
        <v>2</v>
      </c>
      <c r="J3381" s="1">
        <v>7</v>
      </c>
      <c r="K3381" s="2">
        <v>30.0</v>
      </c>
    </row>
    <row r="3382" spans="1:12">
      <c r="A3382" s="3" t="s">
        <v>2194</v>
      </c>
      <c r="B3382" s="3" t="s">
        <v>2526</v>
      </c>
      <c r="C3382" s="3" t="s">
        <v>814</v>
      </c>
      <c r="D3382" s="3"/>
      <c r="E3382" s="2" t="str">
        <f>HYPERLINK("https://old.ukr-mobil.com/displej_xiaomi_redmi_note_11_global_version_redmi_note_11s_s_tachskrinom_incell_tft_10002567", "Перейти")</f>
        <v>Перейти</v>
      </c>
      <c r="F3382" s="2">
        <v>10002567</v>
      </c>
      <c r="G3382" s="4" t="s">
        <v>3521</v>
      </c>
      <c r="H3382" s="1">
        <v>3</v>
      </c>
      <c r="I3382" s="1">
        <v>3</v>
      </c>
      <c r="J3382" s="1">
        <v>2</v>
      </c>
      <c r="K3382" s="2">
        <v>15.0</v>
      </c>
    </row>
    <row r="3383" spans="1:12">
      <c r="A3383" s="3" t="s">
        <v>2194</v>
      </c>
      <c r="B3383" s="3" t="s">
        <v>2526</v>
      </c>
      <c r="C3383" s="3" t="s">
        <v>814</v>
      </c>
      <c r="D3383" s="3"/>
      <c r="E3383" s="2" t="str">
        <f>HYPERLINK("https://old.ukr-mobil.com/displej_xiaomi_redmi_note_11_global_version_redmi_note_11s_s_tachskrinom_oled_10002725", "Перейти")</f>
        <v>Перейти</v>
      </c>
      <c r="F3383" s="2">
        <v>10002725</v>
      </c>
      <c r="G3383" s="4" t="s">
        <v>3522</v>
      </c>
      <c r="H3383" s="1">
        <v>4</v>
      </c>
      <c r="I3383" s="1">
        <v>2</v>
      </c>
      <c r="J3383" s="1">
        <v>2</v>
      </c>
      <c r="K3383" s="2">
        <v>30.0</v>
      </c>
    </row>
    <row r="3384" spans="1:12">
      <c r="A3384" s="3" t="s">
        <v>2194</v>
      </c>
      <c r="B3384" s="3" t="s">
        <v>2526</v>
      </c>
      <c r="C3384" s="3" t="s">
        <v>814</v>
      </c>
      <c r="D3384" s="3"/>
      <c r="E3384" s="2" t="str">
        <f>HYPERLINK("https://old.ukr-mobil.com/displej_xiaomi_redmi_note_11_global_version_redmi_note_11s_poco_m4_pro_s_tachskrinom_original_10002326", "Перейти")</f>
        <v>Перейти</v>
      </c>
      <c r="F3384" s="2">
        <v>10002326</v>
      </c>
      <c r="G3384" s="4" t="s">
        <v>3523</v>
      </c>
      <c r="H3384" s="1">
        <v>2</v>
      </c>
      <c r="I3384" s="1">
        <v>1</v>
      </c>
      <c r="J3384" s="1">
        <v>3</v>
      </c>
      <c r="K3384" s="2">
        <v>85.0</v>
      </c>
    </row>
    <row r="3385" spans="1:12">
      <c r="A3385" s="3" t="s">
        <v>2194</v>
      </c>
      <c r="B3385" s="3" t="s">
        <v>2526</v>
      </c>
      <c r="C3385" s="3" t="s">
        <v>814</v>
      </c>
      <c r="D3385" s="3"/>
      <c r="E3385" s="2" t="str">
        <f>HYPERLINK("https://old.ukr-mobil.com/displej_xiaomi_redmi_note_11_4g_s_tachskrinom_original_prc_10002439", "Перейти")</f>
        <v>Перейти</v>
      </c>
      <c r="F3385" s="2">
        <v>10002439</v>
      </c>
      <c r="G3385" s="4" t="s">
        <v>3524</v>
      </c>
      <c r="H3385" s="1">
        <v>0</v>
      </c>
      <c r="I3385" s="1">
        <v>0</v>
      </c>
      <c r="J3385" s="1">
        <v>0</v>
      </c>
      <c r="K3385" s="2">
        <v>35.0</v>
      </c>
    </row>
    <row r="3386" spans="1:12">
      <c r="A3386" s="3" t="s">
        <v>2194</v>
      </c>
      <c r="B3386" s="3" t="s">
        <v>2526</v>
      </c>
      <c r="C3386" s="3" t="s">
        <v>814</v>
      </c>
      <c r="D3386" s="3"/>
      <c r="E3386" s="2" t="str">
        <f>HYPERLINK("https://old.ukr-mobil.com/displej_xiaomi_redmi_note_11_5g_poco_m4_pro_5g_s_tachskrinom_original_prc_black_10002434", "Перейти")</f>
        <v>Перейти</v>
      </c>
      <c r="F3386" s="2">
        <v>10002434</v>
      </c>
      <c r="G3386" s="4" t="s">
        <v>3525</v>
      </c>
      <c r="H3386" s="1">
        <v>4</v>
      </c>
      <c r="I3386" s="1">
        <v>7</v>
      </c>
      <c r="J3386" s="1">
        <v>6</v>
      </c>
      <c r="K3386" s="2">
        <v>15.0</v>
      </c>
    </row>
    <row r="3387" spans="1:12">
      <c r="A3387" s="3" t="s">
        <v>2194</v>
      </c>
      <c r="B3387" s="3" t="s">
        <v>2526</v>
      </c>
      <c r="C3387" s="3" t="s">
        <v>814</v>
      </c>
      <c r="D3387" s="3"/>
      <c r="E3387" s="2" t="str">
        <f>HYPERLINK("https://old.ukr-mobil.com/index.php?route=product&amp;product_id=10004657", "Перейти")</f>
        <v>Перейти</v>
      </c>
      <c r="F3387" s="2">
        <v>10004657</v>
      </c>
      <c r="G3387" s="4" t="s">
        <v>3526</v>
      </c>
      <c r="H3387" s="1">
        <v>0</v>
      </c>
      <c r="I3387" s="1">
        <v>0</v>
      </c>
      <c r="J3387" s="1">
        <v>0</v>
      </c>
      <c r="K3387" s="2">
        <v>23.0</v>
      </c>
    </row>
    <row r="3388" spans="1:12">
      <c r="A3388" s="3" t="s">
        <v>2194</v>
      </c>
      <c r="B3388" s="3" t="s">
        <v>2526</v>
      </c>
      <c r="C3388" s="3" t="s">
        <v>814</v>
      </c>
      <c r="D3388" s="3"/>
      <c r="E3388" s="2" t="str">
        <f>HYPERLINK("https://old.ukr-mobil.com/displej_xiaomi_redmi_note_11_pro_redmi_note_11_pro_5g_poco_x4_pro_5g_s_tachskrinom_oled_10003290", "Перейти")</f>
        <v>Перейти</v>
      </c>
      <c r="F3388" s="2">
        <v>10003290</v>
      </c>
      <c r="G3388" s="4" t="s">
        <v>3527</v>
      </c>
      <c r="H3388" s="1">
        <v>11</v>
      </c>
      <c r="I3388" s="1">
        <v>6</v>
      </c>
      <c r="J3388" s="1">
        <v>12</v>
      </c>
      <c r="K3388" s="2">
        <v>38.0</v>
      </c>
    </row>
    <row r="3389" spans="1:12">
      <c r="A3389" s="3" t="s">
        <v>2194</v>
      </c>
      <c r="B3389" s="3" t="s">
        <v>2526</v>
      </c>
      <c r="C3389" s="3" t="s">
        <v>814</v>
      </c>
      <c r="D3389" s="3"/>
      <c r="E3389" s="2" t="str">
        <f>HYPERLINK("https://old.ukr-mobil.com/displej_xiaomi_redmi_note_11_pro_redmi_note_11_pro_5g_poco_x4_pro_5g_s_tachskrinom_original_10003289", "Перейти")</f>
        <v>Перейти</v>
      </c>
      <c r="F3389" s="2">
        <v>10003289</v>
      </c>
      <c r="G3389" s="4" t="s">
        <v>3528</v>
      </c>
      <c r="H3389" s="1">
        <v>0</v>
      </c>
      <c r="I3389" s="1">
        <v>0</v>
      </c>
      <c r="J3389" s="1">
        <v>0</v>
      </c>
      <c r="K3389" s="2">
        <v>95.0</v>
      </c>
    </row>
    <row r="3390" spans="1:12">
      <c r="A3390" s="3" t="s">
        <v>2194</v>
      </c>
      <c r="B3390" s="3" t="s">
        <v>2526</v>
      </c>
      <c r="C3390" s="3" t="s">
        <v>814</v>
      </c>
      <c r="D3390" s="3"/>
      <c r="E3390" s="2" t="str">
        <f>HYPERLINK("https://old.ukr-mobil.com/displej_xiaomi_redmi_note_11_s_tachskrinom_s_ramkoj_oled_black_10004503", "Перейти")</f>
        <v>Перейти</v>
      </c>
      <c r="F3390" s="2">
        <v>10004503</v>
      </c>
      <c r="G3390" s="4" t="s">
        <v>3529</v>
      </c>
      <c r="H3390" s="1">
        <v>2</v>
      </c>
      <c r="I3390" s="1">
        <v>5</v>
      </c>
      <c r="J3390" s="1">
        <v>3</v>
      </c>
      <c r="K3390" s="2">
        <v>30.6</v>
      </c>
    </row>
    <row r="3391" spans="1:12">
      <c r="A3391" s="3" t="s">
        <v>2194</v>
      </c>
      <c r="B3391" s="3" t="s">
        <v>2526</v>
      </c>
      <c r="C3391" s="3" t="s">
        <v>814</v>
      </c>
      <c r="D3391" s="3"/>
      <c r="E3391" s="2" t="str">
        <f>HYPERLINK("https://old.ukr-mobil.com/displej_xiaomi_redmi_note_11e_redmi_10_5g_poco_m4_5g_poco_m5_s_tachskrinom_original_prc_10004036", "Перейти")</f>
        <v>Перейти</v>
      </c>
      <c r="F3391" s="2">
        <v>10004036</v>
      </c>
      <c r="G3391" s="4" t="s">
        <v>3530</v>
      </c>
      <c r="H3391" s="1">
        <v>28</v>
      </c>
      <c r="I3391" s="1">
        <v>8</v>
      </c>
      <c r="J3391" s="1">
        <v>0</v>
      </c>
      <c r="K3391" s="2">
        <v>12.0</v>
      </c>
    </row>
    <row r="3392" spans="1:12">
      <c r="A3392" s="3" t="s">
        <v>2194</v>
      </c>
      <c r="B3392" s="3" t="s">
        <v>2526</v>
      </c>
      <c r="C3392" s="3" t="s">
        <v>814</v>
      </c>
      <c r="D3392" s="3"/>
      <c r="E3392" s="2" t="str">
        <f>HYPERLINK("https://old.ukr-mobil.com/index.php?route=product&amp;product_id=10004593", "Перейти")</f>
        <v>Перейти</v>
      </c>
      <c r="F3392" s="2">
        <v>10004593</v>
      </c>
      <c r="G3392" s="4" t="s">
        <v>3531</v>
      </c>
      <c r="H3392" s="1">
        <v>13</v>
      </c>
      <c r="I3392" s="1">
        <v>4</v>
      </c>
      <c r="J3392" s="1">
        <v>9</v>
      </c>
      <c r="K3392" s="2">
        <v>13.0</v>
      </c>
    </row>
    <row r="3393" spans="1:12">
      <c r="A3393" s="3" t="s">
        <v>2194</v>
      </c>
      <c r="B3393" s="3" t="s">
        <v>2526</v>
      </c>
      <c r="C3393" s="3" t="s">
        <v>814</v>
      </c>
      <c r="D3393" s="3"/>
      <c r="E3393" s="2" t="str">
        <f>HYPERLINK("https://old.ukr-mobil.com/displej_xiaomi_redmi_note_11e_redmi_10_5g_poco_m4_5g_poco_m5_s_tachskrinom_s_ramkoj_original_prc_black_10004559", "Перейти")</f>
        <v>Перейти</v>
      </c>
      <c r="F3393" s="2">
        <v>10004559</v>
      </c>
      <c r="G3393" s="4" t="s">
        <v>3532</v>
      </c>
      <c r="H3393" s="1">
        <v>14</v>
      </c>
      <c r="I3393" s="1">
        <v>7</v>
      </c>
      <c r="J3393" s="1">
        <v>15</v>
      </c>
      <c r="K3393" s="2">
        <v>15.5</v>
      </c>
    </row>
    <row r="3394" spans="1:12">
      <c r="A3394" s="3" t="s">
        <v>2194</v>
      </c>
      <c r="B3394" s="3" t="s">
        <v>2526</v>
      </c>
      <c r="C3394" s="3" t="s">
        <v>814</v>
      </c>
      <c r="D3394" s="3"/>
      <c r="E3394" s="2" t="str">
        <f>HYPERLINK("https://old.ukr-mobil.com/displej_xiaomi_redmi_note_11s_s_tachskrinom_s_ramkoj_oled_black_10003307", "Перейти")</f>
        <v>Перейти</v>
      </c>
      <c r="F3394" s="2">
        <v>10003307</v>
      </c>
      <c r="G3394" s="4" t="s">
        <v>3533</v>
      </c>
      <c r="H3394" s="1">
        <v>2</v>
      </c>
      <c r="I3394" s="1">
        <v>1</v>
      </c>
      <c r="J3394" s="1">
        <v>2</v>
      </c>
      <c r="K3394" s="2">
        <v>32.0</v>
      </c>
    </row>
    <row r="3395" spans="1:12">
      <c r="A3395" s="3" t="s">
        <v>2194</v>
      </c>
      <c r="B3395" s="3" t="s">
        <v>2526</v>
      </c>
      <c r="C3395" s="3" t="s">
        <v>814</v>
      </c>
      <c r="D3395" s="3"/>
      <c r="E3395" s="2" t="str">
        <f>HYPERLINK("https://old.ukr-mobil.com/displej_xiaomi_redmi_note_12_pro_5g_redmi_note_12_pro_plus_poco_x5_pro_s_tachskrinom_original_10003558", "Перейти")</f>
        <v>Перейти</v>
      </c>
      <c r="F3395" s="2">
        <v>10003558</v>
      </c>
      <c r="G3395" s="4" t="s">
        <v>3534</v>
      </c>
      <c r="H3395" s="1">
        <v>0</v>
      </c>
      <c r="I3395" s="1">
        <v>0</v>
      </c>
      <c r="J3395" s="1">
        <v>0</v>
      </c>
      <c r="K3395" s="2">
        <v>39.0</v>
      </c>
    </row>
    <row r="3396" spans="1:12">
      <c r="A3396" s="3" t="s">
        <v>2194</v>
      </c>
      <c r="B3396" s="3" t="s">
        <v>2526</v>
      </c>
      <c r="C3396" s="3" t="s">
        <v>814</v>
      </c>
      <c r="D3396" s="3"/>
      <c r="E3396" s="2" t="str">
        <f>HYPERLINK("https://old.ukr-mobil.com/index.php?route=product&amp;product_id=10004658", "Перейти")</f>
        <v>Перейти</v>
      </c>
      <c r="F3396" s="2">
        <v>10004658</v>
      </c>
      <c r="G3396" s="4" t="s">
        <v>3535</v>
      </c>
      <c r="H3396" s="1">
        <v>0</v>
      </c>
      <c r="I3396" s="1">
        <v>3</v>
      </c>
      <c r="J3396" s="1">
        <v>0</v>
      </c>
      <c r="K3396" s="2">
        <v>34.0</v>
      </c>
    </row>
    <row r="3397" spans="1:12">
      <c r="A3397" s="3" t="s">
        <v>2194</v>
      </c>
      <c r="B3397" s="3" t="s">
        <v>2526</v>
      </c>
      <c r="C3397" s="3" t="s">
        <v>814</v>
      </c>
      <c r="D3397" s="3"/>
      <c r="E3397" s="2" t="str">
        <f>HYPERLINK("https://old.ukr-mobil.com/displej_xiaomi_redmi_note_12_poco_x5_s_tachskrinom_original_black_10003557", "Перейти")</f>
        <v>Перейти</v>
      </c>
      <c r="F3397" s="2">
        <v>10003557</v>
      </c>
      <c r="G3397" s="4" t="s">
        <v>3536</v>
      </c>
      <c r="H3397" s="1">
        <v>0</v>
      </c>
      <c r="I3397" s="1">
        <v>0</v>
      </c>
      <c r="J3397" s="1">
        <v>1</v>
      </c>
      <c r="K3397" s="2">
        <v>105.0</v>
      </c>
    </row>
    <row r="3398" spans="1:12">
      <c r="A3398" s="3" t="s">
        <v>2194</v>
      </c>
      <c r="B3398" s="3" t="s">
        <v>2526</v>
      </c>
      <c r="C3398" s="3" t="s">
        <v>814</v>
      </c>
      <c r="D3398" s="3"/>
      <c r="E3398" s="2" t="str">
        <f>HYPERLINK("https://old.ukr-mobil.com/index.php?route=product&amp;product_id=10004685", "Перейти")</f>
        <v>Перейти</v>
      </c>
      <c r="F3398" s="2">
        <v>10004685</v>
      </c>
      <c r="G3398" s="4" t="s">
        <v>3537</v>
      </c>
      <c r="H3398" s="1">
        <v>6</v>
      </c>
      <c r="I3398" s="1">
        <v>1</v>
      </c>
      <c r="J3398" s="1">
        <v>0</v>
      </c>
      <c r="K3398" s="2">
        <v>32.0</v>
      </c>
    </row>
    <row r="3399" spans="1:12">
      <c r="A3399" s="3" t="s">
        <v>2194</v>
      </c>
      <c r="B3399" s="3" t="s">
        <v>2526</v>
      </c>
      <c r="C3399" s="3" t="s">
        <v>814</v>
      </c>
      <c r="D3399" s="3"/>
      <c r="E3399" s="2" t="str">
        <f>HYPERLINK("https://old.ukr-mobil.com/index.php?route=product&amp;product_id=10005852", "Перейти")</f>
        <v>Перейти</v>
      </c>
      <c r="F3399" s="2">
        <v>10005852</v>
      </c>
      <c r="G3399" s="4" t="s">
        <v>3538</v>
      </c>
      <c r="H3399" s="1">
        <v>1</v>
      </c>
      <c r="I3399" s="1">
        <v>0</v>
      </c>
      <c r="J3399" s="1">
        <v>5</v>
      </c>
      <c r="K3399" s="2">
        <v>59.0</v>
      </c>
    </row>
    <row r="3400" spans="1:12">
      <c r="A3400" s="3" t="s">
        <v>2194</v>
      </c>
      <c r="B3400" s="3" t="s">
        <v>2526</v>
      </c>
      <c r="C3400" s="3" t="s">
        <v>814</v>
      </c>
      <c r="D3400" s="3"/>
      <c r="E3400" s="2" t="str">
        <f>HYPERLINK("https://old.ukr-mobil.com/index.php?route=product&amp;product_id=10005851", "Перейти")</f>
        <v>Перейти</v>
      </c>
      <c r="F3400" s="2">
        <v>10005851</v>
      </c>
      <c r="G3400" s="4" t="s">
        <v>3539</v>
      </c>
      <c r="H3400" s="1">
        <v>0</v>
      </c>
      <c r="I3400" s="1">
        <v>1</v>
      </c>
      <c r="J3400" s="1">
        <v>1</v>
      </c>
      <c r="K3400" s="2">
        <v>58.0</v>
      </c>
    </row>
    <row r="3401" spans="1:12">
      <c r="A3401" s="3" t="s">
        <v>2194</v>
      </c>
      <c r="B3401" s="3" t="s">
        <v>2526</v>
      </c>
      <c r="C3401" s="3" t="s">
        <v>814</v>
      </c>
      <c r="D3401" s="3"/>
      <c r="E3401" s="2" t="str">
        <f>HYPERLINK("https://old.ukr-mobil.com/index.php?route=product&amp;product_id=10005850", "Перейти")</f>
        <v>Перейти</v>
      </c>
      <c r="F3401" s="2">
        <v>10005850</v>
      </c>
      <c r="G3401" s="4" t="s">
        <v>3540</v>
      </c>
      <c r="H3401" s="1">
        <v>0</v>
      </c>
      <c r="I3401" s="1">
        <v>1</v>
      </c>
      <c r="J3401" s="1">
        <v>1</v>
      </c>
      <c r="K3401" s="2">
        <v>59.0</v>
      </c>
    </row>
    <row r="3402" spans="1:12">
      <c r="A3402" s="3" t="s">
        <v>2194</v>
      </c>
      <c r="B3402" s="3" t="s">
        <v>2526</v>
      </c>
      <c r="C3402" s="3" t="s">
        <v>814</v>
      </c>
      <c r="D3402" s="3"/>
      <c r="E3402" s="2" t="str">
        <f>HYPERLINK("https://old.ukr-mobil.com/displej_xiaomi_redmi_note_4x_s_tachskrinom_high_copy_black_8410", "Перейти")</f>
        <v>Перейти</v>
      </c>
      <c r="F3402" s="2">
        <v>8410</v>
      </c>
      <c r="G3402" s="4" t="s">
        <v>3541</v>
      </c>
      <c r="H3402" s="1">
        <v>0</v>
      </c>
      <c r="I3402" s="1">
        <v>0</v>
      </c>
      <c r="J3402" s="1">
        <v>0</v>
      </c>
      <c r="K3402" s="2">
        <v>16.0</v>
      </c>
    </row>
    <row r="3403" spans="1:12">
      <c r="A3403" s="3" t="s">
        <v>2194</v>
      </c>
      <c r="B3403" s="3" t="s">
        <v>2526</v>
      </c>
      <c r="C3403" s="3" t="s">
        <v>814</v>
      </c>
      <c r="D3403" s="3"/>
      <c r="E3403" s="2" t="str">
        <f>HYPERLINK("https://old.ukr-mobil.com/displej_xiaomi_redmi_note_4x_s_tachskrinom_high_copy_gold_8411", "Перейти")</f>
        <v>Перейти</v>
      </c>
      <c r="F3403" s="2">
        <v>8411</v>
      </c>
      <c r="G3403" s="4" t="s">
        <v>3542</v>
      </c>
      <c r="H3403" s="1">
        <v>0</v>
      </c>
      <c r="I3403" s="1">
        <v>0</v>
      </c>
      <c r="J3403" s="1">
        <v>0</v>
      </c>
      <c r="K3403" s="2">
        <v>16.3</v>
      </c>
    </row>
    <row r="3404" spans="1:12">
      <c r="A3404" s="3" t="s">
        <v>2194</v>
      </c>
      <c r="B3404" s="3" t="s">
        <v>2526</v>
      </c>
      <c r="C3404" s="3" t="s">
        <v>814</v>
      </c>
      <c r="D3404" s="3"/>
      <c r="E3404" s="2" t="str">
        <f>HYPERLINK("https://old.ukr-mobil.com/displej_xiaomi_redmi_note_4x_s_tachskrinom_high_copy_white_8412", "Перейти")</f>
        <v>Перейти</v>
      </c>
      <c r="F3404" s="2">
        <v>8412</v>
      </c>
      <c r="G3404" s="4" t="s">
        <v>3543</v>
      </c>
      <c r="H3404" s="1">
        <v>0</v>
      </c>
      <c r="I3404" s="1">
        <v>0</v>
      </c>
      <c r="J3404" s="1">
        <v>0</v>
      </c>
      <c r="K3404" s="2">
        <v>14.0</v>
      </c>
    </row>
    <row r="3405" spans="1:12">
      <c r="A3405" s="3" t="s">
        <v>2194</v>
      </c>
      <c r="B3405" s="3" t="s">
        <v>2526</v>
      </c>
      <c r="C3405" s="3" t="s">
        <v>814</v>
      </c>
      <c r="D3405" s="3"/>
      <c r="E3405" s="2" t="str">
        <f>HYPERLINK("https://old.ukr-mobil.com/displej_xiaomi_redmi_note_5_redmi_note_5_pro_s_tachskrinom_high_copy_black_10129", "Перейти")</f>
        <v>Перейти</v>
      </c>
      <c r="F3405" s="2">
        <v>10129</v>
      </c>
      <c r="G3405" s="4" t="s">
        <v>3544</v>
      </c>
      <c r="H3405" s="1">
        <v>0</v>
      </c>
      <c r="I3405" s="1">
        <v>0</v>
      </c>
      <c r="J3405" s="1">
        <v>0</v>
      </c>
      <c r="K3405" s="2">
        <v>16.0</v>
      </c>
    </row>
    <row r="3406" spans="1:12">
      <c r="A3406" s="3" t="s">
        <v>2194</v>
      </c>
      <c r="B3406" s="3" t="s">
        <v>2526</v>
      </c>
      <c r="C3406" s="3" t="s">
        <v>814</v>
      </c>
      <c r="D3406" s="3"/>
      <c r="E3406" s="2" t="str">
        <f>HYPERLINK("https://old.ukr-mobil.com/displej_xiaomi_redmi_note_6_pro_s_tachskrinom_original_prc_black_11411", "Перейти")</f>
        <v>Перейти</v>
      </c>
      <c r="F3406" s="2">
        <v>11411</v>
      </c>
      <c r="G3406" s="4" t="s">
        <v>3545</v>
      </c>
      <c r="H3406" s="1">
        <v>0</v>
      </c>
      <c r="I3406" s="1">
        <v>0</v>
      </c>
      <c r="J3406" s="1">
        <v>0</v>
      </c>
      <c r="K3406" s="2">
        <v>12.0</v>
      </c>
    </row>
    <row r="3407" spans="1:12">
      <c r="A3407" s="3" t="s">
        <v>2194</v>
      </c>
      <c r="B3407" s="3" t="s">
        <v>2526</v>
      </c>
      <c r="C3407" s="3" t="s">
        <v>814</v>
      </c>
      <c r="D3407" s="3"/>
      <c r="E3407" s="2" t="str">
        <f>HYPERLINK("https://old.ukr-mobil.com/index.php?route=product&amp;product_id=10006135", "Перейти")</f>
        <v>Перейти</v>
      </c>
      <c r="F3407" s="2">
        <v>10006135</v>
      </c>
      <c r="G3407" s="4" t="s">
        <v>3546</v>
      </c>
      <c r="H3407" s="1">
        <v>0</v>
      </c>
      <c r="I3407" s="1">
        <v>0</v>
      </c>
      <c r="J3407" s="1">
        <v>0</v>
      </c>
      <c r="K3407" s="2">
        <v>16.7</v>
      </c>
    </row>
    <row r="3408" spans="1:12">
      <c r="A3408" s="3" t="s">
        <v>2194</v>
      </c>
      <c r="B3408" s="3" t="s">
        <v>2526</v>
      </c>
      <c r="C3408" s="3" t="s">
        <v>814</v>
      </c>
      <c r="D3408" s="3"/>
      <c r="E3408" s="2" t="str">
        <f>HYPERLINK("https://old.ukr-mobil.com/displej_xiaomi_redmi_note_7_redmi_note_7_pro_s_tachskrinom_high_copy_black_10002923", "Перейти")</f>
        <v>Перейти</v>
      </c>
      <c r="F3408" s="2">
        <v>10002923</v>
      </c>
      <c r="G3408" s="4" t="s">
        <v>3547</v>
      </c>
      <c r="H3408" s="1">
        <v>0</v>
      </c>
      <c r="I3408" s="1">
        <v>0</v>
      </c>
      <c r="J3408" s="1">
        <v>0</v>
      </c>
      <c r="K3408" s="2">
        <v>8.0</v>
      </c>
    </row>
    <row r="3409" spans="1:12">
      <c r="A3409" s="3" t="s">
        <v>2194</v>
      </c>
      <c r="B3409" s="3" t="s">
        <v>2526</v>
      </c>
      <c r="C3409" s="3" t="s">
        <v>814</v>
      </c>
      <c r="D3409" s="3"/>
      <c r="E3409" s="2" t="str">
        <f>HYPERLINK("https://old.ukr-mobil.com/displej_xiaomi_redmi_note_7_s_tachskrinom_high_copy_black_11722", "Перейти")</f>
        <v>Перейти</v>
      </c>
      <c r="F3409" s="2">
        <v>11722</v>
      </c>
      <c r="G3409" s="4" t="s">
        <v>3548</v>
      </c>
      <c r="H3409" s="1">
        <v>0</v>
      </c>
      <c r="I3409" s="1">
        <v>0</v>
      </c>
      <c r="J3409" s="1">
        <v>0</v>
      </c>
      <c r="K3409" s="2">
        <v>10.5</v>
      </c>
    </row>
    <row r="3410" spans="1:12">
      <c r="A3410" s="3" t="s">
        <v>2194</v>
      </c>
      <c r="B3410" s="3" t="s">
        <v>2526</v>
      </c>
      <c r="C3410" s="3" t="s">
        <v>814</v>
      </c>
      <c r="D3410" s="3"/>
      <c r="E3410" s="2" t="str">
        <f>HYPERLINK("https://old.ukr-mobil.com/index.php?route=product&amp;product_id=10004899", "Перейти")</f>
        <v>Перейти</v>
      </c>
      <c r="F3410" s="2">
        <v>10004899</v>
      </c>
      <c r="G3410" s="4" t="s">
        <v>3549</v>
      </c>
      <c r="H3410" s="1">
        <v>0</v>
      </c>
      <c r="I3410" s="1">
        <v>0</v>
      </c>
      <c r="J3410" s="1">
        <v>0</v>
      </c>
      <c r="K3410" s="2">
        <v>24.0</v>
      </c>
    </row>
    <row r="3411" spans="1:12">
      <c r="A3411" s="3" t="s">
        <v>2194</v>
      </c>
      <c r="B3411" s="3" t="s">
        <v>2526</v>
      </c>
      <c r="C3411" s="3" t="s">
        <v>814</v>
      </c>
      <c r="D3411" s="3"/>
      <c r="E3411" s="2" t="str">
        <f>HYPERLINK("https://old.ukr-mobil.com/displej_xiaomi_redmi_note_8_pro_s_tachskrinom_high_copy_black_10002667", "Перейти")</f>
        <v>Перейти</v>
      </c>
      <c r="F3411" s="2">
        <v>10002667</v>
      </c>
      <c r="G3411" s="4" t="s">
        <v>3550</v>
      </c>
      <c r="H3411" s="1">
        <v>46</v>
      </c>
      <c r="I3411" s="1">
        <v>10</v>
      </c>
      <c r="J3411" s="1">
        <v>25</v>
      </c>
      <c r="K3411" s="2">
        <v>10.0</v>
      </c>
    </row>
    <row r="3412" spans="1:12">
      <c r="A3412" s="3" t="s">
        <v>2194</v>
      </c>
      <c r="B3412" s="3" t="s">
        <v>2526</v>
      </c>
      <c r="C3412" s="3" t="s">
        <v>814</v>
      </c>
      <c r="D3412" s="3"/>
      <c r="E3412" s="2" t="str">
        <f>HYPERLINK("https://old.ukr-mobil.com/displej_xiaomi_redmi_note_8_pro_s_tachskrinom_original_prc_black_12361", "Перейти")</f>
        <v>Перейти</v>
      </c>
      <c r="F3412" s="2">
        <v>12361</v>
      </c>
      <c r="G3412" s="4" t="s">
        <v>3551</v>
      </c>
      <c r="H3412" s="1">
        <v>0</v>
      </c>
      <c r="I3412" s="1">
        <v>0</v>
      </c>
      <c r="J3412" s="1">
        <v>0</v>
      </c>
      <c r="K3412" s="2">
        <v>12.0</v>
      </c>
    </row>
    <row r="3413" spans="1:12">
      <c r="A3413" s="3" t="s">
        <v>2194</v>
      </c>
      <c r="B3413" s="3" t="s">
        <v>2526</v>
      </c>
      <c r="C3413" s="3" t="s">
        <v>814</v>
      </c>
      <c r="D3413" s="3"/>
      <c r="E3413" s="2" t="str">
        <f>HYPERLINK("https://old.ukr-mobil.com/index.php?route=product&amp;product_id=10004659", "Перейти")</f>
        <v>Перейти</v>
      </c>
      <c r="F3413" s="2">
        <v>10004659</v>
      </c>
      <c r="G3413" s="4" t="s">
        <v>3552</v>
      </c>
      <c r="H3413" s="1">
        <v>0</v>
      </c>
      <c r="I3413" s="1">
        <v>0</v>
      </c>
      <c r="J3413" s="1">
        <v>0</v>
      </c>
      <c r="K3413" s="2">
        <v>22.0</v>
      </c>
    </row>
    <row r="3414" spans="1:12">
      <c r="A3414" s="3" t="s">
        <v>2194</v>
      </c>
      <c r="B3414" s="3" t="s">
        <v>2526</v>
      </c>
      <c r="C3414" s="3" t="s">
        <v>814</v>
      </c>
      <c r="D3414" s="3"/>
      <c r="E3414" s="2" t="str">
        <f>HYPERLINK("https://old.ukr-mobil.com/displej_xiaomi_redmi_note_8_pro_s_tachskrinom_s_ramkoj_high_copy_black_10003010", "Перейти")</f>
        <v>Перейти</v>
      </c>
      <c r="F3414" s="2">
        <v>10003010</v>
      </c>
      <c r="G3414" s="4" t="s">
        <v>3553</v>
      </c>
      <c r="H3414" s="1">
        <v>13</v>
      </c>
      <c r="I3414" s="1">
        <v>16</v>
      </c>
      <c r="J3414" s="1">
        <v>9</v>
      </c>
      <c r="K3414" s="2">
        <v>23.0</v>
      </c>
    </row>
    <row r="3415" spans="1:12">
      <c r="A3415" s="3" t="s">
        <v>2194</v>
      </c>
      <c r="B3415" s="3" t="s">
        <v>2526</v>
      </c>
      <c r="C3415" s="3" t="s">
        <v>814</v>
      </c>
      <c r="D3415" s="3"/>
      <c r="E3415" s="2" t="str">
        <f>HYPERLINK("https://old.ukr-mobil.com/displej_xiaomi_redmi_note_8_pro_s_tachskrinom_s_ramkoj_original_prc_black_10001102", "Перейти")</f>
        <v>Перейти</v>
      </c>
      <c r="F3415" s="2">
        <v>10001102</v>
      </c>
      <c r="G3415" s="4" t="s">
        <v>3554</v>
      </c>
      <c r="H3415" s="1">
        <v>3</v>
      </c>
      <c r="I3415" s="1">
        <v>12</v>
      </c>
      <c r="J3415" s="1">
        <v>4</v>
      </c>
      <c r="K3415" s="2">
        <v>24.0</v>
      </c>
    </row>
    <row r="3416" spans="1:12">
      <c r="A3416" s="3" t="s">
        <v>2194</v>
      </c>
      <c r="B3416" s="3" t="s">
        <v>2526</v>
      </c>
      <c r="C3416" s="3" t="s">
        <v>814</v>
      </c>
      <c r="D3416" s="3"/>
      <c r="E3416" s="2" t="str">
        <f>HYPERLINK("https://old.ukr-mobil.com/displej_xiaomi_redmi_note_8_s_tachskrinom_high_copy_black_10002949", "Перейти")</f>
        <v>Перейти</v>
      </c>
      <c r="F3416" s="2">
        <v>10002949</v>
      </c>
      <c r="G3416" s="4" t="s">
        <v>3555</v>
      </c>
      <c r="H3416" s="1">
        <v>10</v>
      </c>
      <c r="I3416" s="1">
        <v>12</v>
      </c>
      <c r="J3416" s="1">
        <v>9</v>
      </c>
      <c r="K3416" s="2">
        <v>9.5</v>
      </c>
    </row>
    <row r="3417" spans="1:12">
      <c r="A3417" s="3" t="s">
        <v>2194</v>
      </c>
      <c r="B3417" s="3" t="s">
        <v>2526</v>
      </c>
      <c r="C3417" s="3" t="s">
        <v>814</v>
      </c>
      <c r="D3417" s="3"/>
      <c r="E3417" s="2" t="str">
        <f>HYPERLINK("https://old.ukr-mobil.com/displej_xiaomi_redmi_note_8_s_tachskrinom_black_12360", "Перейти")</f>
        <v>Перейти</v>
      </c>
      <c r="F3417" s="2">
        <v>12360</v>
      </c>
      <c r="G3417" s="4" t="s">
        <v>3556</v>
      </c>
      <c r="H3417" s="1">
        <v>0</v>
      </c>
      <c r="I3417" s="1">
        <v>0</v>
      </c>
      <c r="J3417" s="1">
        <v>0</v>
      </c>
      <c r="K3417" s="2">
        <v>11.0</v>
      </c>
    </row>
    <row r="3418" spans="1:12">
      <c r="A3418" s="3" t="s">
        <v>2194</v>
      </c>
      <c r="B3418" s="3" t="s">
        <v>2526</v>
      </c>
      <c r="C3418" s="3" t="s">
        <v>814</v>
      </c>
      <c r="D3418" s="3"/>
      <c r="E3418" s="2" t="str">
        <f>HYPERLINK("https://old.ukr-mobil.com/displej_xiaomi_redmi_note_8_s_tachskrinom_service_pack_original_10003702", "Перейти")</f>
        <v>Перейти</v>
      </c>
      <c r="F3418" s="2">
        <v>10003702</v>
      </c>
      <c r="G3418" s="4" t="s">
        <v>3557</v>
      </c>
      <c r="H3418" s="1">
        <v>20</v>
      </c>
      <c r="I3418" s="1">
        <v>7</v>
      </c>
      <c r="J3418" s="1">
        <v>9</v>
      </c>
      <c r="K3418" s="2">
        <v>11.0</v>
      </c>
    </row>
    <row r="3419" spans="1:12">
      <c r="A3419" s="3" t="s">
        <v>2194</v>
      </c>
      <c r="B3419" s="3" t="s">
        <v>2526</v>
      </c>
      <c r="C3419" s="3" t="s">
        <v>814</v>
      </c>
      <c r="D3419" s="3"/>
      <c r="E3419" s="2" t="str">
        <f>HYPERLINK("https://old.ukr-mobil.com/displej_xiaomi_redmi_note_8_s_tachskrinom_s_ramkoj_original_prc_black_10001101", "Перейти")</f>
        <v>Перейти</v>
      </c>
      <c r="F3419" s="2">
        <v>10001101</v>
      </c>
      <c r="G3419" s="4" t="s">
        <v>3558</v>
      </c>
      <c r="H3419" s="1">
        <v>0</v>
      </c>
      <c r="I3419" s="1">
        <v>0</v>
      </c>
      <c r="J3419" s="1">
        <v>0</v>
      </c>
      <c r="K3419" s="2">
        <v>16.6</v>
      </c>
    </row>
    <row r="3420" spans="1:12">
      <c r="A3420" s="3" t="s">
        <v>2194</v>
      </c>
      <c r="B3420" s="3" t="s">
        <v>2526</v>
      </c>
      <c r="C3420" s="3" t="s">
        <v>814</v>
      </c>
      <c r="D3420" s="3"/>
      <c r="E3420" s="2" t="str">
        <f>HYPERLINK("https://old.ukr-mobil.com/displej_xiaomi_redmi_note_8t_s_tachskrinom_high_copy_black_10002388", "Перейти")</f>
        <v>Перейти</v>
      </c>
      <c r="F3420" s="2">
        <v>10002388</v>
      </c>
      <c r="G3420" s="4" t="s">
        <v>3559</v>
      </c>
      <c r="H3420" s="1">
        <v>0</v>
      </c>
      <c r="I3420" s="1">
        <v>0</v>
      </c>
      <c r="J3420" s="1">
        <v>1</v>
      </c>
      <c r="K3420" s="2">
        <v>13.5</v>
      </c>
    </row>
    <row r="3421" spans="1:12">
      <c r="A3421" s="3" t="s">
        <v>2194</v>
      </c>
      <c r="B3421" s="3" t="s">
        <v>2526</v>
      </c>
      <c r="C3421" s="3" t="s">
        <v>814</v>
      </c>
      <c r="D3421" s="3"/>
      <c r="E3421" s="2" t="str">
        <f>HYPERLINK("https://old.ukr-mobil.com/displej_xiaomi_redmi_note_8t_s_tachskrinom_original_prc_black_10000575", "Перейти")</f>
        <v>Перейти</v>
      </c>
      <c r="F3421" s="2">
        <v>10000575</v>
      </c>
      <c r="G3421" s="4" t="s">
        <v>3560</v>
      </c>
      <c r="H3421" s="1">
        <v>0</v>
      </c>
      <c r="I3421" s="1">
        <v>0</v>
      </c>
      <c r="J3421" s="1">
        <v>0</v>
      </c>
      <c r="K3421" s="2">
        <v>14.0</v>
      </c>
    </row>
    <row r="3422" spans="1:12">
      <c r="A3422" s="3" t="s">
        <v>2194</v>
      </c>
      <c r="B3422" s="3" t="s">
        <v>2526</v>
      </c>
      <c r="C3422" s="3" t="s">
        <v>814</v>
      </c>
      <c r="D3422" s="3"/>
      <c r="E3422" s="2" t="str">
        <f>HYPERLINK("https://old.ukr-mobil.com/displej_xiaomi_redmi_note_8t_s_tachskrinom_service_pack_original_10004506", "Перейти")</f>
        <v>Перейти</v>
      </c>
      <c r="F3422" s="2">
        <v>10004506</v>
      </c>
      <c r="G3422" s="4" t="s">
        <v>3561</v>
      </c>
      <c r="H3422" s="1">
        <v>0</v>
      </c>
      <c r="I3422" s="1">
        <v>0</v>
      </c>
      <c r="J3422" s="1">
        <v>0</v>
      </c>
      <c r="K3422" s="2">
        <v>14.0</v>
      </c>
    </row>
    <row r="3423" spans="1:12">
      <c r="A3423" s="3" t="s">
        <v>2194</v>
      </c>
      <c r="B3423" s="3" t="s">
        <v>2526</v>
      </c>
      <c r="C3423" s="3" t="s">
        <v>814</v>
      </c>
      <c r="D3423" s="3"/>
      <c r="E3423" s="2" t="str">
        <f>HYPERLINK("https://old.ukr-mobil.com/displej_xiaomi_redmi_note_9_pro_redmi_note_9s_s_tachskrinom_high_quality_black_10003256", "Перейти")</f>
        <v>Перейти</v>
      </c>
      <c r="F3423" s="2">
        <v>10003256</v>
      </c>
      <c r="G3423" s="4" t="s">
        <v>3562</v>
      </c>
      <c r="H3423" s="1">
        <v>31</v>
      </c>
      <c r="I3423" s="1">
        <v>32</v>
      </c>
      <c r="J3423" s="1">
        <v>0</v>
      </c>
      <c r="K3423" s="2">
        <v>9.5</v>
      </c>
    </row>
    <row r="3424" spans="1:12">
      <c r="A3424" s="3" t="s">
        <v>2194</v>
      </c>
      <c r="B3424" s="3" t="s">
        <v>2526</v>
      </c>
      <c r="C3424" s="3" t="s">
        <v>814</v>
      </c>
      <c r="D3424" s="3"/>
      <c r="E3424" s="2" t="str">
        <f>HYPERLINK("https://old.ukr-mobil.com/displej_xiaomi_redmi_note_9_pro_redmi_note_9s_s_tachskrinom_original_black_10000661", "Перейти")</f>
        <v>Перейти</v>
      </c>
      <c r="F3424" s="2">
        <v>10000661</v>
      </c>
      <c r="G3424" s="4" t="s">
        <v>3563</v>
      </c>
      <c r="H3424" s="1">
        <v>0</v>
      </c>
      <c r="I3424" s="1">
        <v>0</v>
      </c>
      <c r="J3424" s="1">
        <v>0</v>
      </c>
      <c r="K3424" s="2">
        <v>11.0</v>
      </c>
    </row>
    <row r="3425" spans="1:12">
      <c r="A3425" s="3" t="s">
        <v>2194</v>
      </c>
      <c r="B3425" s="3" t="s">
        <v>2526</v>
      </c>
      <c r="C3425" s="3" t="s">
        <v>814</v>
      </c>
      <c r="D3425" s="3"/>
      <c r="E3425" s="2" t="str">
        <f>HYPERLINK("https://old.ukr-mobil.com/displej_xiaomi_redmi_note_9_pro_redmi_note_9s_s_tachskrinom_service_pack_original_10003700", "Перейти")</f>
        <v>Перейти</v>
      </c>
      <c r="F3425" s="2">
        <v>10003700</v>
      </c>
      <c r="G3425" s="4" t="s">
        <v>3564</v>
      </c>
      <c r="H3425" s="1">
        <v>0</v>
      </c>
      <c r="I3425" s="1">
        <v>0</v>
      </c>
      <c r="J3425" s="1">
        <v>0</v>
      </c>
      <c r="K3425" s="2">
        <v>11.35</v>
      </c>
    </row>
    <row r="3426" spans="1:12">
      <c r="A3426" s="3" t="s">
        <v>2194</v>
      </c>
      <c r="B3426" s="3" t="s">
        <v>2526</v>
      </c>
      <c r="C3426" s="3" t="s">
        <v>814</v>
      </c>
      <c r="D3426" s="3"/>
      <c r="E3426" s="2" t="str">
        <f>HYPERLINK("https://old.ukr-mobil.com/displej_xiaomi_redmi_note_9_pro_redmi_note_9s_s_tachskrinom_s_ramkoj_original_black_10002248", "Перейти")</f>
        <v>Перейти</v>
      </c>
      <c r="F3426" s="2">
        <v>10002248</v>
      </c>
      <c r="G3426" s="4" t="s">
        <v>3565</v>
      </c>
      <c r="H3426" s="1">
        <v>0</v>
      </c>
      <c r="I3426" s="1">
        <v>0</v>
      </c>
      <c r="J3426" s="1">
        <v>0</v>
      </c>
      <c r="K3426" s="2">
        <v>25.0</v>
      </c>
    </row>
    <row r="3427" spans="1:12">
      <c r="A3427" s="3" t="s">
        <v>2194</v>
      </c>
      <c r="B3427" s="3" t="s">
        <v>2526</v>
      </c>
      <c r="C3427" s="3" t="s">
        <v>814</v>
      </c>
      <c r="D3427" s="3"/>
      <c r="E3427" s="2" t="str">
        <f>HYPERLINK("https://old.ukr-mobil.com/displej_xiaomi_redmi_note_9_redmi_10x_4g_s_tachskrinom_high_copy_black_10002924", "Перейти")</f>
        <v>Перейти</v>
      </c>
      <c r="F3427" s="2">
        <v>10002924</v>
      </c>
      <c r="G3427" s="4" t="s">
        <v>3566</v>
      </c>
      <c r="H3427" s="1">
        <v>21</v>
      </c>
      <c r="I3427" s="1">
        <v>9</v>
      </c>
      <c r="J3427" s="1">
        <v>4</v>
      </c>
      <c r="K3427" s="2">
        <v>11.0</v>
      </c>
    </row>
    <row r="3428" spans="1:12">
      <c r="A3428" s="3" t="s">
        <v>2194</v>
      </c>
      <c r="B3428" s="3" t="s">
        <v>2526</v>
      </c>
      <c r="C3428" s="3" t="s">
        <v>814</v>
      </c>
      <c r="D3428" s="3"/>
      <c r="E3428" s="2" t="str">
        <f>HYPERLINK("https://old.ukr-mobil.com/displej_xiaomi_redmi_note_9_s_tachskrinom_original_prc_black_10000755", "Перейти")</f>
        <v>Перейти</v>
      </c>
      <c r="F3428" s="2">
        <v>10000755</v>
      </c>
      <c r="G3428" s="4" t="s">
        <v>3567</v>
      </c>
      <c r="H3428" s="1">
        <v>8</v>
      </c>
      <c r="I3428" s="1">
        <v>2</v>
      </c>
      <c r="J3428" s="1">
        <v>0</v>
      </c>
      <c r="K3428" s="2">
        <v>11.0</v>
      </c>
    </row>
    <row r="3429" spans="1:12">
      <c r="A3429" s="3" t="s">
        <v>2194</v>
      </c>
      <c r="B3429" s="3" t="s">
        <v>2526</v>
      </c>
      <c r="C3429" s="3" t="s">
        <v>814</v>
      </c>
      <c r="D3429" s="3"/>
      <c r="E3429" s="2" t="str">
        <f>HYPERLINK("https://old.ukr-mobil.com/displej_xiaomi_redmi_note_9_redmi_10x_4g_s_tachskrinom_service_pack_original_10003701", "Перейти")</f>
        <v>Перейти</v>
      </c>
      <c r="F3429" s="2">
        <v>10003701</v>
      </c>
      <c r="G3429" s="4" t="s">
        <v>3568</v>
      </c>
      <c r="H3429" s="1">
        <v>0</v>
      </c>
      <c r="I3429" s="1">
        <v>0</v>
      </c>
      <c r="J3429" s="1">
        <v>0</v>
      </c>
      <c r="K3429" s="2">
        <v>24.0</v>
      </c>
    </row>
    <row r="3430" spans="1:12">
      <c r="A3430" s="3" t="s">
        <v>2194</v>
      </c>
      <c r="B3430" s="3" t="s">
        <v>2526</v>
      </c>
      <c r="C3430" s="3" t="s">
        <v>814</v>
      </c>
      <c r="D3430" s="3"/>
      <c r="E3430" s="2" t="str">
        <f>HYPERLINK("https://old.ukr-mobil.com/displej_xiaomi_redmi_note_9_redmi_10x_4g_s_tachskrinom_s_ramkoj_original_prc_black_10002247", "Перейти")</f>
        <v>Перейти</v>
      </c>
      <c r="F3430" s="2">
        <v>10002247</v>
      </c>
      <c r="G3430" s="4" t="s">
        <v>3569</v>
      </c>
      <c r="H3430" s="1">
        <v>0</v>
      </c>
      <c r="I3430" s="1">
        <v>0</v>
      </c>
      <c r="J3430" s="1">
        <v>0</v>
      </c>
      <c r="K3430" s="2">
        <v>14.0</v>
      </c>
    </row>
    <row r="3431" spans="1:12">
      <c r="A3431" s="3" t="s">
        <v>2194</v>
      </c>
      <c r="B3431" s="3" t="s">
        <v>2526</v>
      </c>
      <c r="C3431" s="3" t="s">
        <v>814</v>
      </c>
      <c r="D3431" s="3"/>
      <c r="E3431" s="2" t="str">
        <f>HYPERLINK("https://old.ukr-mobil.com/displej_xiaomi_redmi_note_9t_s_tachskrinom_original_prc_black_10002166", "Перейти")</f>
        <v>Перейти</v>
      </c>
      <c r="F3431" s="2">
        <v>10002166</v>
      </c>
      <c r="G3431" s="4" t="s">
        <v>3570</v>
      </c>
      <c r="H3431" s="1">
        <v>1</v>
      </c>
      <c r="I3431" s="1">
        <v>0</v>
      </c>
      <c r="J3431" s="1">
        <v>1</v>
      </c>
      <c r="K3431" s="2">
        <v>14.0</v>
      </c>
    </row>
    <row r="3432" spans="1:12">
      <c r="A3432" s="3" t="s">
        <v>2194</v>
      </c>
      <c r="B3432" s="3" t="s">
        <v>2526</v>
      </c>
      <c r="C3432" s="3" t="s">
        <v>814</v>
      </c>
      <c r="D3432" s="3"/>
      <c r="E3432" s="2" t="str">
        <f>HYPERLINK("https://old.ukr-mobil.com/displej_xiaomi_redmi_note_s_tachskrinom_black_6620", "Перейти")</f>
        <v>Перейти</v>
      </c>
      <c r="F3432" s="2">
        <v>6620</v>
      </c>
      <c r="G3432" s="4" t="s">
        <v>3571</v>
      </c>
      <c r="H3432" s="1">
        <v>1</v>
      </c>
      <c r="I3432" s="1">
        <v>2</v>
      </c>
      <c r="J3432" s="1">
        <v>0</v>
      </c>
      <c r="K3432" s="2">
        <v>12.0</v>
      </c>
    </row>
    <row r="3433" spans="1:12">
      <c r="A3433" s="3" t="s">
        <v>2194</v>
      </c>
      <c r="B3433" s="3" t="s">
        <v>2526</v>
      </c>
      <c r="C3433" s="3" t="s">
        <v>814</v>
      </c>
      <c r="D3433" s="3"/>
      <c r="E3433" s="2" t="str">
        <f>HYPERLINK("https://old.ukr-mobil.com/displej_xiaomi_redmi_pro_s_tachskrinom_original_prc_black_10000685", "Перейти")</f>
        <v>Перейти</v>
      </c>
      <c r="F3433" s="2">
        <v>10000685</v>
      </c>
      <c r="G3433" s="4" t="s">
        <v>3572</v>
      </c>
      <c r="H3433" s="1">
        <v>0</v>
      </c>
      <c r="I3433" s="1">
        <v>0</v>
      </c>
      <c r="J3433" s="1">
        <v>0</v>
      </c>
      <c r="K3433" s="2">
        <v>39.9</v>
      </c>
    </row>
    <row r="3434" spans="1:12">
      <c r="A3434" s="3" t="s">
        <v>2194</v>
      </c>
      <c r="B3434" s="3" t="s">
        <v>2526</v>
      </c>
      <c r="C3434" s="3" t="s">
        <v>814</v>
      </c>
      <c r="D3434" s="3"/>
      <c r="E3434" s="2" t="str">
        <f>HYPERLINK("https://old.ukr-mobil.com/displej_xiaomi_redmi_s2_s_tachskrinom_black_10340", "Перейти")</f>
        <v>Перейти</v>
      </c>
      <c r="F3434" s="2">
        <v>10340</v>
      </c>
      <c r="G3434" s="4" t="s">
        <v>3573</v>
      </c>
      <c r="H3434" s="1">
        <v>0</v>
      </c>
      <c r="I3434" s="1">
        <v>0</v>
      </c>
      <c r="J3434" s="1">
        <v>0</v>
      </c>
      <c r="K3434" s="2">
        <v>25.0</v>
      </c>
    </row>
    <row r="3435" spans="1:12">
      <c r="A3435" s="3" t="s">
        <v>2194</v>
      </c>
      <c r="B3435" s="3" t="s">
        <v>2526</v>
      </c>
      <c r="C3435" s="3" t="s">
        <v>2499</v>
      </c>
      <c r="D3435" s="3"/>
      <c r="E3435" s="2" t="str">
        <f>HYPERLINK("https://old.ukr-mobil.com/displej_zte_a452_blade_x3_s_tachskrinom_white_10961", "Перейти")</f>
        <v>Перейти</v>
      </c>
      <c r="F3435" s="2">
        <v>10961</v>
      </c>
      <c r="G3435" s="4" t="s">
        <v>3574</v>
      </c>
      <c r="H3435" s="1">
        <v>0</v>
      </c>
      <c r="I3435" s="1">
        <v>0</v>
      </c>
      <c r="J3435" s="1">
        <v>1</v>
      </c>
      <c r="K3435" s="2">
        <v>12.0</v>
      </c>
    </row>
    <row r="3436" spans="1:12">
      <c r="A3436" s="3" t="s">
        <v>2194</v>
      </c>
      <c r="B3436" s="3" t="s">
        <v>2526</v>
      </c>
      <c r="C3436" s="3" t="s">
        <v>2499</v>
      </c>
      <c r="D3436" s="3"/>
      <c r="E3436" s="2" t="str">
        <f>HYPERLINK("https://old.ukr-mobil.com/displej_zte_blade_20_smart_v1050_s_tachskrinom_original_prc_black_10001482", "Перейти")</f>
        <v>Перейти</v>
      </c>
      <c r="F3436" s="2">
        <v>10001482</v>
      </c>
      <c r="G3436" s="4" t="s">
        <v>3575</v>
      </c>
      <c r="H3436" s="1">
        <v>27</v>
      </c>
      <c r="I3436" s="1">
        <v>5</v>
      </c>
      <c r="J3436" s="1">
        <v>1</v>
      </c>
      <c r="K3436" s="2">
        <v>11.5</v>
      </c>
    </row>
    <row r="3437" spans="1:12">
      <c r="A3437" s="3" t="s">
        <v>2194</v>
      </c>
      <c r="B3437" s="3" t="s">
        <v>2526</v>
      </c>
      <c r="C3437" s="3" t="s">
        <v>2499</v>
      </c>
      <c r="D3437" s="3"/>
      <c r="E3437" s="2" t="str">
        <f>HYPERLINK("https://old.ukr-mobil.com/displej_zte_blade_20_smart_v2050_s_tachskrinom_original_prc_black_10002030", "Перейти")</f>
        <v>Перейти</v>
      </c>
      <c r="F3437" s="2">
        <v>10002030</v>
      </c>
      <c r="G3437" s="4" t="s">
        <v>3576</v>
      </c>
      <c r="H3437" s="1">
        <v>0</v>
      </c>
      <c r="I3437" s="1">
        <v>3</v>
      </c>
      <c r="J3437" s="1">
        <v>3</v>
      </c>
      <c r="K3437" s="2">
        <v>12.75</v>
      </c>
    </row>
    <row r="3438" spans="1:12">
      <c r="A3438" s="3" t="s">
        <v>2194</v>
      </c>
      <c r="B3438" s="3" t="s">
        <v>2526</v>
      </c>
      <c r="C3438" s="3" t="s">
        <v>2499</v>
      </c>
      <c r="D3438" s="3"/>
      <c r="E3438" s="2" t="str">
        <f>HYPERLINK("https://old.ukr-mobil.com/displej_zte_blade_a31_lite_s_tachskrinom_high_quality_black_10003294", "Перейти")</f>
        <v>Перейти</v>
      </c>
      <c r="F3438" s="2">
        <v>10003294</v>
      </c>
      <c r="G3438" s="4" t="s">
        <v>3577</v>
      </c>
      <c r="H3438" s="1">
        <v>0</v>
      </c>
      <c r="I3438" s="1">
        <v>0</v>
      </c>
      <c r="J3438" s="1">
        <v>0</v>
      </c>
      <c r="K3438" s="2">
        <v>7.0</v>
      </c>
    </row>
    <row r="3439" spans="1:12">
      <c r="A3439" s="3" t="s">
        <v>2194</v>
      </c>
      <c r="B3439" s="3" t="s">
        <v>2526</v>
      </c>
      <c r="C3439" s="3" t="s">
        <v>2499</v>
      </c>
      <c r="D3439" s="3"/>
      <c r="E3439" s="2" t="str">
        <f>HYPERLINK("https://old.ukr-mobil.com/displej_zte_blade_a31_plus_2021_s_tachskrinom_high_quality_black_10003295", "Перейти")</f>
        <v>Перейти</v>
      </c>
      <c r="F3439" s="2">
        <v>10003295</v>
      </c>
      <c r="G3439" s="4" t="s">
        <v>3578</v>
      </c>
      <c r="H3439" s="1">
        <v>0</v>
      </c>
      <c r="I3439" s="1">
        <v>0</v>
      </c>
      <c r="J3439" s="1">
        <v>0</v>
      </c>
      <c r="K3439" s="2">
        <v>9.0</v>
      </c>
    </row>
    <row r="3440" spans="1:12">
      <c r="A3440" s="3" t="s">
        <v>2194</v>
      </c>
      <c r="B3440" s="3" t="s">
        <v>2526</v>
      </c>
      <c r="C3440" s="3" t="s">
        <v>2499</v>
      </c>
      <c r="D3440" s="3"/>
      <c r="E3440" s="2" t="str">
        <f>HYPERLINK("https://old.ukr-mobil.com/displej_zte_blade_a5_2020_a7s_2019_a7_2019_a7_2020_p_n_ski608-b09_v0_1_s_tachskrinom_original_prc_black_10003304", "Перейти")</f>
        <v>Перейти</v>
      </c>
      <c r="F3440" s="2">
        <v>10003304</v>
      </c>
      <c r="G3440" s="4" t="s">
        <v>3579</v>
      </c>
      <c r="H3440" s="1">
        <v>0</v>
      </c>
      <c r="I3440" s="1">
        <v>0</v>
      </c>
      <c r="J3440" s="1">
        <v>0</v>
      </c>
      <c r="K3440" s="2">
        <v>11.0</v>
      </c>
    </row>
    <row r="3441" spans="1:12">
      <c r="A3441" s="3" t="s">
        <v>2194</v>
      </c>
      <c r="B3441" s="3" t="s">
        <v>2526</v>
      </c>
      <c r="C3441" s="3" t="s">
        <v>2499</v>
      </c>
      <c r="D3441" s="3"/>
      <c r="E3441" s="2" t="str">
        <f>HYPERLINK("https://old.ukr-mobil.com/displej_zte_blade_a5_2020_a7s_2019_a7_prime_a7_2019_a7_2020_a7_vita_p_n_ski608-b09_v0_1_s_tachskrinom_original_prc_black_10002440", "Перейти")</f>
        <v>Перейти</v>
      </c>
      <c r="F3441" s="2">
        <v>10002440</v>
      </c>
      <c r="G3441" s="4" t="s">
        <v>3580</v>
      </c>
      <c r="H3441" s="1">
        <v>0</v>
      </c>
      <c r="I3441" s="1">
        <v>0</v>
      </c>
      <c r="J3441" s="1">
        <v>0</v>
      </c>
      <c r="K3441" s="2">
        <v>16.0</v>
      </c>
    </row>
    <row r="3442" spans="1:12">
      <c r="A3442" s="3" t="s">
        <v>2194</v>
      </c>
      <c r="B3442" s="3" t="s">
        <v>2526</v>
      </c>
      <c r="C3442" s="3" t="s">
        <v>2499</v>
      </c>
      <c r="D3442" s="3"/>
      <c r="E3442" s="2" t="str">
        <f>HYPERLINK("https://old.ukr-mobil.com/displej_zte_blade_a5_2020_blade_a7_2019_blade_a7_2020_s_tachskrinom_original_prc_black_10001480", "Перейти")</f>
        <v>Перейти</v>
      </c>
      <c r="F3442" s="2">
        <v>10001480</v>
      </c>
      <c r="G3442" s="4" t="s">
        <v>3581</v>
      </c>
      <c r="H3442" s="1">
        <v>0</v>
      </c>
      <c r="I3442" s="1">
        <v>0</v>
      </c>
      <c r="J3442" s="1">
        <v>0</v>
      </c>
      <c r="K3442" s="2">
        <v>11.0</v>
      </c>
    </row>
    <row r="3443" spans="1:12">
      <c r="A3443" s="3" t="s">
        <v>2194</v>
      </c>
      <c r="B3443" s="3" t="s">
        <v>2526</v>
      </c>
      <c r="C3443" s="3" t="s">
        <v>2499</v>
      </c>
      <c r="D3443" s="3"/>
      <c r="E3443" s="2" t="str">
        <f>HYPERLINK("https://old.ukr-mobil.com/displej_zte_blade_a601_s_tachskrinom_white_11508", "Перейти")</f>
        <v>Перейти</v>
      </c>
      <c r="F3443" s="2">
        <v>11508</v>
      </c>
      <c r="G3443" s="4" t="s">
        <v>3582</v>
      </c>
      <c r="H3443" s="1">
        <v>0</v>
      </c>
      <c r="I3443" s="1">
        <v>0</v>
      </c>
      <c r="J3443" s="1">
        <v>0</v>
      </c>
      <c r="K3443" s="2">
        <v>8.0</v>
      </c>
    </row>
    <row r="3444" spans="1:12">
      <c r="A3444" s="3" t="s">
        <v>2194</v>
      </c>
      <c r="B3444" s="3" t="s">
        <v>2526</v>
      </c>
      <c r="C3444" s="3" t="s">
        <v>2499</v>
      </c>
      <c r="D3444" s="3"/>
      <c r="E3444" s="2" t="str">
        <f>HYPERLINK("https://old.ukr-mobil.com/displej_zte_blade_a610_plus_s_tachskrinom_black_10346", "Перейти")</f>
        <v>Перейти</v>
      </c>
      <c r="F3444" s="2">
        <v>10346</v>
      </c>
      <c r="G3444" s="4" t="s">
        <v>3583</v>
      </c>
      <c r="H3444" s="1">
        <v>0</v>
      </c>
      <c r="I3444" s="1">
        <v>1</v>
      </c>
      <c r="J3444" s="1">
        <v>0</v>
      </c>
      <c r="K3444" s="2">
        <v>8.0</v>
      </c>
    </row>
    <row r="3445" spans="1:12">
      <c r="A3445" s="3" t="s">
        <v>2194</v>
      </c>
      <c r="B3445" s="3" t="s">
        <v>2526</v>
      </c>
      <c r="C3445" s="3" t="s">
        <v>2499</v>
      </c>
      <c r="D3445" s="3"/>
      <c r="E3445" s="2" t="str">
        <f>HYPERLINK("https://old.ukr-mobil.com/displej_zte_blade_a72_4g_blade_v40_vita_s_tachskrinom_original_prc_black_10003296", "Перейти")</f>
        <v>Перейти</v>
      </c>
      <c r="F3445" s="2">
        <v>10003296</v>
      </c>
      <c r="G3445" s="4" t="s">
        <v>3584</v>
      </c>
      <c r="H3445" s="1">
        <v>0</v>
      </c>
      <c r="I3445" s="1">
        <v>0</v>
      </c>
      <c r="J3445" s="1">
        <v>0</v>
      </c>
      <c r="K3445" s="2">
        <v>12.0</v>
      </c>
    </row>
    <row r="3446" spans="1:12">
      <c r="A3446" s="3" t="s">
        <v>2194</v>
      </c>
      <c r="B3446" s="3" t="s">
        <v>2526</v>
      </c>
      <c r="C3446" s="3" t="s">
        <v>2499</v>
      </c>
      <c r="D3446" s="3"/>
      <c r="E3446" s="2" t="str">
        <f>HYPERLINK("https://old.ukr-mobil.com/displej_zte_blade_a7s_2020_s_tachskrinom_original_prc_black_10001481", "Перейти")</f>
        <v>Перейти</v>
      </c>
      <c r="F3446" s="2">
        <v>10001481</v>
      </c>
      <c r="G3446" s="4" t="s">
        <v>3585</v>
      </c>
      <c r="H3446" s="1">
        <v>0</v>
      </c>
      <c r="I3446" s="1">
        <v>0</v>
      </c>
      <c r="J3446" s="1">
        <v>0</v>
      </c>
      <c r="K3446" s="2">
        <v>11.0</v>
      </c>
    </row>
    <row r="3447" spans="1:12">
      <c r="A3447" s="3" t="s">
        <v>2194</v>
      </c>
      <c r="B3447" s="3" t="s">
        <v>2526</v>
      </c>
      <c r="C3447" s="3" t="s">
        <v>2499</v>
      </c>
      <c r="D3447" s="3"/>
      <c r="E3447" s="2" t="str">
        <f>HYPERLINK("https://old.ukr-mobil.com/displej_zte_blade_a7s_2020_p_n_ski649-b08_v0_1_s_tachskrinom_original_prc_black_10002113", "Перейти")</f>
        <v>Перейти</v>
      </c>
      <c r="F3447" s="2">
        <v>10002113</v>
      </c>
      <c r="G3447" s="4" t="s">
        <v>3586</v>
      </c>
      <c r="H3447" s="1">
        <v>0</v>
      </c>
      <c r="I3447" s="1">
        <v>0</v>
      </c>
      <c r="J3447" s="1">
        <v>0</v>
      </c>
      <c r="K3447" s="2">
        <v>11.0</v>
      </c>
    </row>
    <row r="3448" spans="1:12">
      <c r="A3448" s="3" t="s">
        <v>2194</v>
      </c>
      <c r="B3448" s="3" t="s">
        <v>2526</v>
      </c>
      <c r="C3448" s="3" t="s">
        <v>2499</v>
      </c>
      <c r="D3448" s="3"/>
      <c r="E3448" s="2" t="str">
        <f>HYPERLINK("https://old.ukr-mobil.com/displej_zte_blade_v2020_smart_5g_s_tachskrinom_original_prc_black_10002095", "Перейти")</f>
        <v>Перейти</v>
      </c>
      <c r="F3448" s="2">
        <v>10002095</v>
      </c>
      <c r="G3448" s="4" t="s">
        <v>3587</v>
      </c>
      <c r="H3448" s="1">
        <v>4</v>
      </c>
      <c r="I3448" s="1">
        <v>7</v>
      </c>
      <c r="J3448" s="1">
        <v>1</v>
      </c>
      <c r="K3448" s="2">
        <v>15.0</v>
      </c>
    </row>
    <row r="3449" spans="1:12">
      <c r="A3449" s="3" t="s">
        <v>2194</v>
      </c>
      <c r="B3449" s="3" t="s">
        <v>2526</v>
      </c>
      <c r="C3449" s="3" t="s">
        <v>2499</v>
      </c>
      <c r="D3449" s="3"/>
      <c r="E3449" s="2" t="str">
        <f>HYPERLINK("https://old.ukr-mobil.com/index.php?route=product&amp;product_id=10004686", "Перейти")</f>
        <v>Перейти</v>
      </c>
      <c r="F3449" s="2">
        <v>10004686</v>
      </c>
      <c r="G3449" s="4" t="s">
        <v>3588</v>
      </c>
      <c r="H3449" s="1">
        <v>0</v>
      </c>
      <c r="I3449" s="1">
        <v>1</v>
      </c>
      <c r="J3449" s="1">
        <v>1</v>
      </c>
      <c r="K3449" s="2">
        <v>16.5</v>
      </c>
    </row>
    <row r="3450" spans="1:12">
      <c r="A3450" s="3" t="s">
        <v>2194</v>
      </c>
      <c r="B3450" s="3" t="s">
        <v>3589</v>
      </c>
      <c r="C3450" s="3"/>
      <c r="D3450" s="3"/>
      <c r="E3450" s="2" t="str">
        <f>HYPERLINK("https://old.ukr-mobil.com/kamera_i-phone_3gs_3960", "Перейти")</f>
        <v>Перейти</v>
      </c>
      <c r="F3450" s="2">
        <v>3960</v>
      </c>
      <c r="G3450" s="4" t="s">
        <v>3590</v>
      </c>
      <c r="H3450" s="1">
        <v>16</v>
      </c>
      <c r="I3450" s="1">
        <v>0</v>
      </c>
      <c r="J3450" s="1">
        <v>0</v>
      </c>
      <c r="K3450" s="2">
        <v>5.04</v>
      </c>
    </row>
    <row r="3451" spans="1:12">
      <c r="A3451" s="3" t="s">
        <v>2194</v>
      </c>
      <c r="B3451" s="3" t="s">
        <v>3589</v>
      </c>
      <c r="C3451" s="3"/>
      <c r="D3451" s="3"/>
      <c r="E3451" s="2" t="str">
        <f>HYPERLINK("https://old.ukr-mobil.com/kamera_iphone_5_osnovnaya_original_4100", "Перейти")</f>
        <v>Перейти</v>
      </c>
      <c r="F3451" s="2">
        <v>4100</v>
      </c>
      <c r="G3451" s="4" t="s">
        <v>3591</v>
      </c>
      <c r="H3451" s="1">
        <v>1</v>
      </c>
      <c r="I3451" s="1">
        <v>0</v>
      </c>
      <c r="J3451" s="1">
        <v>0</v>
      </c>
      <c r="K3451" s="2">
        <v>5.54</v>
      </c>
    </row>
    <row r="3452" spans="1:12">
      <c r="A3452" s="3" t="s">
        <v>2194</v>
      </c>
      <c r="B3452" s="3" t="s">
        <v>3589</v>
      </c>
      <c r="C3452" s="3"/>
      <c r="D3452" s="3"/>
      <c r="E3452" s="2" t="str">
        <f>HYPERLINK("https://old.ukr-mobil.com/kamera_iphone_5c_osnovnaya_original_8817", "Перейти")</f>
        <v>Перейти</v>
      </c>
      <c r="F3452" s="2">
        <v>8817</v>
      </c>
      <c r="G3452" s="4" t="s">
        <v>3592</v>
      </c>
      <c r="H3452" s="1">
        <v>10</v>
      </c>
      <c r="I3452" s="1">
        <v>0</v>
      </c>
      <c r="J3452" s="1">
        <v>0</v>
      </c>
      <c r="K3452" s="2">
        <v>6.55</v>
      </c>
    </row>
    <row r="3453" spans="1:12">
      <c r="A3453" s="3" t="s">
        <v>2194</v>
      </c>
      <c r="B3453" s="3" t="s">
        <v>3589</v>
      </c>
      <c r="C3453" s="3"/>
      <c r="D3453" s="3"/>
      <c r="E3453" s="2" t="str">
        <f>HYPERLINK("https://old.ukr-mobil.com/kamera_iphone_6_osnovnaya_original_5433", "Перейти")</f>
        <v>Перейти</v>
      </c>
      <c r="F3453" s="2">
        <v>5433</v>
      </c>
      <c r="G3453" s="4" t="s">
        <v>3593</v>
      </c>
      <c r="H3453" s="1">
        <v>8</v>
      </c>
      <c r="I3453" s="1">
        <v>2</v>
      </c>
      <c r="J3453" s="1">
        <v>0</v>
      </c>
      <c r="K3453" s="2">
        <v>4.54</v>
      </c>
    </row>
    <row r="3454" spans="1:12">
      <c r="A3454" s="3" t="s">
        <v>2194</v>
      </c>
      <c r="B3454" s="3" t="s">
        <v>3589</v>
      </c>
      <c r="C3454" s="3"/>
      <c r="D3454" s="3"/>
      <c r="E3454" s="2" t="str">
        <f>HYPERLINK("https://old.ukr-mobil.com/kamera_iphone_x_osnovnaya_orginal_100_11023", "Перейти")</f>
        <v>Перейти</v>
      </c>
      <c r="F3454" s="2">
        <v>11023</v>
      </c>
      <c r="G3454" s="4" t="s">
        <v>3594</v>
      </c>
      <c r="H3454" s="1">
        <v>0</v>
      </c>
      <c r="I3454" s="1">
        <v>0</v>
      </c>
      <c r="J3454" s="1">
        <v>0</v>
      </c>
      <c r="K3454" s="2">
        <v>40.0</v>
      </c>
    </row>
    <row r="3455" spans="1:12">
      <c r="A3455" s="3" t="s">
        <v>2194</v>
      </c>
      <c r="B3455" s="3" t="s">
        <v>3589</v>
      </c>
      <c r="C3455" s="3"/>
      <c r="D3455" s="3"/>
      <c r="E3455" s="2" t="str">
        <f>HYPERLINK("https://old.ukr-mobil.com/kamera_samsung_g935_galaxy_s7_edge_osnovnaya_original_8819", "Перейти")</f>
        <v>Перейти</v>
      </c>
      <c r="F3455" s="2">
        <v>8819</v>
      </c>
      <c r="G3455" s="4" t="s">
        <v>3595</v>
      </c>
      <c r="H3455" s="1">
        <v>0</v>
      </c>
      <c r="I3455" s="1">
        <v>1</v>
      </c>
      <c r="J3455" s="1">
        <v>0</v>
      </c>
      <c r="K3455" s="2">
        <v>15.12</v>
      </c>
    </row>
    <row r="3456" spans="1:12">
      <c r="A3456" s="3" t="s">
        <v>2194</v>
      </c>
      <c r="B3456" s="3" t="s">
        <v>3589</v>
      </c>
      <c r="C3456" s="3"/>
      <c r="D3456" s="3"/>
      <c r="E3456" s="2" t="str">
        <f>HYPERLINK("https://old.ukr-mobil.com/kamera_samsung_i9500_galaxy_s4_big_4839", "Перейти")</f>
        <v>Перейти</v>
      </c>
      <c r="F3456" s="2">
        <v>4839</v>
      </c>
      <c r="G3456" s="4" t="s">
        <v>3596</v>
      </c>
      <c r="H3456" s="1">
        <v>2</v>
      </c>
      <c r="I3456" s="1">
        <v>0</v>
      </c>
      <c r="J3456" s="1">
        <v>0</v>
      </c>
      <c r="K3456" s="2">
        <v>5.0</v>
      </c>
    </row>
    <row r="3457" spans="1:12">
      <c r="A3457" s="3" t="s">
        <v>2194</v>
      </c>
      <c r="B3457" s="3" t="s">
        <v>3589</v>
      </c>
      <c r="C3457" s="3" t="s">
        <v>1068</v>
      </c>
      <c r="D3457" s="3"/>
      <c r="E3457" s="2" t="str">
        <f>HYPERLINK("https://old.ukr-mobil.com/index.php?route=product&amp;product_id=10005537", "Перейти")</f>
        <v>Перейти</v>
      </c>
      <c r="F3457" s="2">
        <v>10005537</v>
      </c>
      <c r="G3457" s="4" t="s">
        <v>3597</v>
      </c>
      <c r="H3457" s="1">
        <v>5</v>
      </c>
      <c r="I3457" s="1">
        <v>3</v>
      </c>
      <c r="J3457" s="1">
        <v>0</v>
      </c>
      <c r="K3457" s="2">
        <v>6.0</v>
      </c>
    </row>
    <row r="3458" spans="1:12">
      <c r="A3458" s="3" t="s">
        <v>2194</v>
      </c>
      <c r="B3458" s="3" t="s">
        <v>3589</v>
      </c>
      <c r="C3458" s="3" t="s">
        <v>1068</v>
      </c>
      <c r="D3458" s="3"/>
      <c r="E3458" s="2" t="str">
        <f>HYPERLINK("https://old.ukr-mobil.com/index.php?route=product&amp;product_id=10005539", "Перейти")</f>
        <v>Перейти</v>
      </c>
      <c r="F3458" s="2">
        <v>10005539</v>
      </c>
      <c r="G3458" s="4" t="s">
        <v>3598</v>
      </c>
      <c r="H3458" s="1">
        <v>7</v>
      </c>
      <c r="I3458" s="1">
        <v>3</v>
      </c>
      <c r="J3458" s="1">
        <v>0</v>
      </c>
      <c r="K3458" s="2">
        <v>7.0</v>
      </c>
    </row>
    <row r="3459" spans="1:12">
      <c r="A3459" s="3" t="s">
        <v>2194</v>
      </c>
      <c r="B3459" s="3" t="s">
        <v>3589</v>
      </c>
      <c r="C3459" s="3" t="s">
        <v>1068</v>
      </c>
      <c r="D3459" s="3"/>
      <c r="E3459" s="2" t="str">
        <f>HYPERLINK("https://old.ukr-mobil.com/index.php?route=product&amp;product_id=10005538", "Перейти")</f>
        <v>Перейти</v>
      </c>
      <c r="F3459" s="2">
        <v>10005538</v>
      </c>
      <c r="G3459" s="4" t="s">
        <v>3599</v>
      </c>
      <c r="H3459" s="1">
        <v>7</v>
      </c>
      <c r="I3459" s="1">
        <v>3</v>
      </c>
      <c r="J3459" s="1">
        <v>0</v>
      </c>
      <c r="K3459" s="2">
        <v>7.1</v>
      </c>
    </row>
    <row r="3460" spans="1:12">
      <c r="A3460" s="3" t="s">
        <v>2194</v>
      </c>
      <c r="B3460" s="3" t="s">
        <v>3589</v>
      </c>
      <c r="C3460" s="3" t="s">
        <v>1068</v>
      </c>
      <c r="D3460" s="3"/>
      <c r="E3460" s="2" t="str">
        <f>HYPERLINK("https://old.ukr-mobil.com/index.php?route=product&amp;product_id=10005540", "Перейти")</f>
        <v>Перейти</v>
      </c>
      <c r="F3460" s="2">
        <v>10005540</v>
      </c>
      <c r="G3460" s="4" t="s">
        <v>3600</v>
      </c>
      <c r="H3460" s="1">
        <v>7</v>
      </c>
      <c r="I3460" s="1">
        <v>3</v>
      </c>
      <c r="J3460" s="1">
        <v>0</v>
      </c>
      <c r="K3460" s="2">
        <v>9.0</v>
      </c>
    </row>
    <row r="3461" spans="1:12">
      <c r="A3461" s="3" t="s">
        <v>2194</v>
      </c>
      <c r="B3461" s="3" t="s">
        <v>3589</v>
      </c>
      <c r="C3461" s="3" t="s">
        <v>1068</v>
      </c>
      <c r="D3461" s="3"/>
      <c r="E3461" s="2" t="str">
        <f>HYPERLINK("https://old.ukr-mobil.com/index.php?route=product&amp;product_id=10005541", "Перейти")</f>
        <v>Перейти</v>
      </c>
      <c r="F3461" s="2">
        <v>10005541</v>
      </c>
      <c r="G3461" s="4" t="s">
        <v>3601</v>
      </c>
      <c r="H3461" s="1">
        <v>7</v>
      </c>
      <c r="I3461" s="1">
        <v>3</v>
      </c>
      <c r="J3461" s="1">
        <v>0</v>
      </c>
      <c r="K3461" s="2">
        <v>6.5</v>
      </c>
    </row>
    <row r="3462" spans="1:12">
      <c r="A3462" s="3" t="s">
        <v>2194</v>
      </c>
      <c r="B3462" s="3" t="s">
        <v>3589</v>
      </c>
      <c r="C3462" s="3" t="s">
        <v>1068</v>
      </c>
      <c r="D3462" s="3"/>
      <c r="E3462" s="2" t="str">
        <f>HYPERLINK("https://old.ukr-mobil.com/index.php?route=product&amp;product_id=10005542", "Перейти")</f>
        <v>Перейти</v>
      </c>
      <c r="F3462" s="2">
        <v>10005542</v>
      </c>
      <c r="G3462" s="4" t="s">
        <v>3602</v>
      </c>
      <c r="H3462" s="1">
        <v>6</v>
      </c>
      <c r="I3462" s="1">
        <v>3</v>
      </c>
      <c r="J3462" s="1">
        <v>0</v>
      </c>
      <c r="K3462" s="2">
        <v>6.5</v>
      </c>
    </row>
    <row r="3463" spans="1:12">
      <c r="A3463" s="3" t="s">
        <v>2194</v>
      </c>
      <c r="B3463" s="3" t="s">
        <v>3589</v>
      </c>
      <c r="C3463" s="3" t="s">
        <v>1068</v>
      </c>
      <c r="D3463" s="3"/>
      <c r="E3463" s="2" t="str">
        <f>HYPERLINK("https://old.ukr-mobil.com/index.php?route=product&amp;product_id=10005543", "Перейти")</f>
        <v>Перейти</v>
      </c>
      <c r="F3463" s="2">
        <v>10005543</v>
      </c>
      <c r="G3463" s="4" t="s">
        <v>3603</v>
      </c>
      <c r="H3463" s="1">
        <v>7</v>
      </c>
      <c r="I3463" s="1">
        <v>3</v>
      </c>
      <c r="J3463" s="1">
        <v>0</v>
      </c>
      <c r="K3463" s="2">
        <v>6.5</v>
      </c>
    </row>
    <row r="3464" spans="1:12">
      <c r="A3464" s="3" t="s">
        <v>2194</v>
      </c>
      <c r="B3464" s="3" t="s">
        <v>3589</v>
      </c>
      <c r="C3464" s="3" t="s">
        <v>3604</v>
      </c>
      <c r="D3464" s="3"/>
      <c r="E3464" s="2" t="str">
        <f>HYPERLINK("https://old.ukr-mobil.com/index.php?route=product&amp;product_id=10005304", "Перейти")</f>
        <v>Перейти</v>
      </c>
      <c r="F3464" s="2">
        <v>10005304</v>
      </c>
      <c r="G3464" s="4" t="s">
        <v>3605</v>
      </c>
      <c r="H3464" s="1">
        <v>7</v>
      </c>
      <c r="I3464" s="1">
        <v>0</v>
      </c>
      <c r="J3464" s="1">
        <v>0</v>
      </c>
      <c r="K3464" s="2">
        <v>7.5</v>
      </c>
    </row>
    <row r="3465" spans="1:12">
      <c r="A3465" s="3" t="s">
        <v>2194</v>
      </c>
      <c r="B3465" s="3" t="s">
        <v>3589</v>
      </c>
      <c r="C3465" s="3" t="s">
        <v>3604</v>
      </c>
      <c r="D3465" s="3"/>
      <c r="E3465" s="2" t="str">
        <f>HYPERLINK("https://old.ukr-mobil.com/index.php?route=product&amp;product_id=10005169", "Перейти")</f>
        <v>Перейти</v>
      </c>
      <c r="F3465" s="2">
        <v>10005169</v>
      </c>
      <c r="G3465" s="4" t="s">
        <v>3606</v>
      </c>
      <c r="H3465" s="1">
        <v>0</v>
      </c>
      <c r="I3465" s="1">
        <v>0</v>
      </c>
      <c r="J3465" s="1">
        <v>0</v>
      </c>
      <c r="K3465" s="2">
        <v>26.4</v>
      </c>
    </row>
    <row r="3466" spans="1:12">
      <c r="A3466" s="3" t="s">
        <v>2194</v>
      </c>
      <c r="B3466" s="3" t="s">
        <v>3589</v>
      </c>
      <c r="C3466" s="3" t="s">
        <v>3604</v>
      </c>
      <c r="D3466" s="3"/>
      <c r="E3466" s="2" t="str">
        <f>HYPERLINK("https://old.ukr-mobil.com/index.php?route=product&amp;product_id=10005301", "Перейти")</f>
        <v>Перейти</v>
      </c>
      <c r="F3466" s="2">
        <v>10005301</v>
      </c>
      <c r="G3466" s="4" t="s">
        <v>3607</v>
      </c>
      <c r="H3466" s="1">
        <v>7</v>
      </c>
      <c r="I3466" s="1">
        <v>1</v>
      </c>
      <c r="J3466" s="1">
        <v>0</v>
      </c>
      <c r="K3466" s="2">
        <v>19.5</v>
      </c>
    </row>
    <row r="3467" spans="1:12">
      <c r="A3467" s="3" t="s">
        <v>2194</v>
      </c>
      <c r="B3467" s="3" t="s">
        <v>3589</v>
      </c>
      <c r="C3467" s="3" t="s">
        <v>3604</v>
      </c>
      <c r="D3467" s="3"/>
      <c r="E3467" s="2" t="str">
        <f>HYPERLINK("https://old.ukr-mobil.com/index.php?route=product&amp;product_id=10005305", "Перейти")</f>
        <v>Перейти</v>
      </c>
      <c r="F3467" s="2">
        <v>10005305</v>
      </c>
      <c r="G3467" s="4" t="s">
        <v>3608</v>
      </c>
      <c r="H3467" s="1">
        <v>8</v>
      </c>
      <c r="I3467" s="1">
        <v>2</v>
      </c>
      <c r="J3467" s="1">
        <v>0</v>
      </c>
      <c r="K3467" s="2">
        <v>23.0</v>
      </c>
    </row>
    <row r="3468" spans="1:12">
      <c r="A3468" s="3" t="s">
        <v>2194</v>
      </c>
      <c r="B3468" s="3" t="s">
        <v>3589</v>
      </c>
      <c r="C3468" s="3" t="s">
        <v>3604</v>
      </c>
      <c r="D3468" s="3"/>
      <c r="E3468" s="2" t="str">
        <f>HYPERLINK("https://old.ukr-mobil.com/index.php?route=product&amp;product_id=10005303", "Перейти")</f>
        <v>Перейти</v>
      </c>
      <c r="F3468" s="2">
        <v>10005303</v>
      </c>
      <c r="G3468" s="4" t="s">
        <v>3609</v>
      </c>
      <c r="H3468" s="1">
        <v>7</v>
      </c>
      <c r="I3468" s="1">
        <v>1</v>
      </c>
      <c r="J3468" s="1">
        <v>0</v>
      </c>
      <c r="K3468" s="2">
        <v>9.0</v>
      </c>
    </row>
    <row r="3469" spans="1:12">
      <c r="A3469" s="3" t="s">
        <v>2194</v>
      </c>
      <c r="B3469" s="3" t="s">
        <v>3589</v>
      </c>
      <c r="C3469" s="3" t="s">
        <v>3604</v>
      </c>
      <c r="D3469" s="3"/>
      <c r="E3469" s="2" t="str">
        <f>HYPERLINK("https://old.ukr-mobil.com/index.php?route=product&amp;product_id=10005302", "Перейти")</f>
        <v>Перейти</v>
      </c>
      <c r="F3469" s="2">
        <v>10005302</v>
      </c>
      <c r="G3469" s="4" t="s">
        <v>3610</v>
      </c>
      <c r="H3469" s="1">
        <v>8</v>
      </c>
      <c r="I3469" s="1">
        <v>2</v>
      </c>
      <c r="J3469" s="1">
        <v>0</v>
      </c>
      <c r="K3469" s="2">
        <v>35.0</v>
      </c>
    </row>
    <row r="3470" spans="1:12">
      <c r="A3470" s="3" t="s">
        <v>2194</v>
      </c>
      <c r="B3470" s="3" t="s">
        <v>3589</v>
      </c>
      <c r="C3470" s="3" t="s">
        <v>653</v>
      </c>
      <c r="D3470" s="3"/>
      <c r="E3470" s="2" t="str">
        <f>HYPERLINK("https://old.ukr-mobil.com/index.php?route=product&amp;product_id=10005533", "Перейти")</f>
        <v>Перейти</v>
      </c>
      <c r="F3470" s="2">
        <v>10005533</v>
      </c>
      <c r="G3470" s="4" t="s">
        <v>3611</v>
      </c>
      <c r="H3470" s="1">
        <v>6</v>
      </c>
      <c r="I3470" s="1">
        <v>2</v>
      </c>
      <c r="J3470" s="1">
        <v>0</v>
      </c>
      <c r="K3470" s="2">
        <v>5.5</v>
      </c>
    </row>
    <row r="3471" spans="1:12">
      <c r="A3471" s="3" t="s">
        <v>2194</v>
      </c>
      <c r="B3471" s="3" t="s">
        <v>3589</v>
      </c>
      <c r="C3471" s="3" t="s">
        <v>653</v>
      </c>
      <c r="D3471" s="3"/>
      <c r="E3471" s="2" t="str">
        <f>HYPERLINK("https://old.ukr-mobil.com/index.php?route=product&amp;product_id=10005534", "Перейти")</f>
        <v>Перейти</v>
      </c>
      <c r="F3471" s="2">
        <v>10005534</v>
      </c>
      <c r="G3471" s="4" t="s">
        <v>3612</v>
      </c>
      <c r="H3471" s="1">
        <v>7</v>
      </c>
      <c r="I3471" s="1">
        <v>3</v>
      </c>
      <c r="J3471" s="1">
        <v>0</v>
      </c>
      <c r="K3471" s="2">
        <v>3.0</v>
      </c>
    </row>
    <row r="3472" spans="1:12">
      <c r="A3472" s="3" t="s">
        <v>2194</v>
      </c>
      <c r="B3472" s="3" t="s">
        <v>3589</v>
      </c>
      <c r="C3472" s="3" t="s">
        <v>653</v>
      </c>
      <c r="D3472" s="3"/>
      <c r="E3472" s="2" t="str">
        <f>HYPERLINK("https://old.ukr-mobil.com/index.php?route=product&amp;product_id=10005521", "Перейти")</f>
        <v>Перейти</v>
      </c>
      <c r="F3472" s="2">
        <v>10005521</v>
      </c>
      <c r="G3472" s="4" t="s">
        <v>3613</v>
      </c>
      <c r="H3472" s="1">
        <v>6</v>
      </c>
      <c r="I3472" s="1">
        <v>4</v>
      </c>
      <c r="J3472" s="1">
        <v>0</v>
      </c>
      <c r="K3472" s="2">
        <v>10.0</v>
      </c>
    </row>
    <row r="3473" spans="1:12">
      <c r="A3473" s="3" t="s">
        <v>2194</v>
      </c>
      <c r="B3473" s="3" t="s">
        <v>3589</v>
      </c>
      <c r="C3473" s="3" t="s">
        <v>653</v>
      </c>
      <c r="D3473" s="3"/>
      <c r="E3473" s="2" t="str">
        <f>HYPERLINK("https://old.ukr-mobil.com/index.php?route=product&amp;product_id=10005522", "Перейти")</f>
        <v>Перейти</v>
      </c>
      <c r="F3473" s="2">
        <v>10005522</v>
      </c>
      <c r="G3473" s="4" t="s">
        <v>3614</v>
      </c>
      <c r="H3473" s="1">
        <v>5</v>
      </c>
      <c r="I3473" s="1">
        <v>2</v>
      </c>
      <c r="J3473" s="1">
        <v>0</v>
      </c>
      <c r="K3473" s="2">
        <v>9.0</v>
      </c>
    </row>
    <row r="3474" spans="1:12">
      <c r="A3474" s="3" t="s">
        <v>2194</v>
      </c>
      <c r="B3474" s="3" t="s">
        <v>3589</v>
      </c>
      <c r="C3474" s="3" t="s">
        <v>653</v>
      </c>
      <c r="D3474" s="3"/>
      <c r="E3474" s="2" t="str">
        <f>HYPERLINK("https://old.ukr-mobil.com/index.php?route=product&amp;product_id=10005532", "Перейти")</f>
        <v>Перейти</v>
      </c>
      <c r="F3474" s="2">
        <v>10005532</v>
      </c>
      <c r="G3474" s="4" t="s">
        <v>3615</v>
      </c>
      <c r="H3474" s="1">
        <v>6</v>
      </c>
      <c r="I3474" s="1">
        <v>3</v>
      </c>
      <c r="J3474" s="1">
        <v>0</v>
      </c>
      <c r="K3474" s="2">
        <v>9.0</v>
      </c>
    </row>
    <row r="3475" spans="1:12">
      <c r="A3475" s="3" t="s">
        <v>2194</v>
      </c>
      <c r="B3475" s="3" t="s">
        <v>3589</v>
      </c>
      <c r="C3475" s="3" t="s">
        <v>653</v>
      </c>
      <c r="D3475" s="3"/>
      <c r="E3475" s="2" t="str">
        <f>HYPERLINK("https://old.ukr-mobil.com/index.php?route=product&amp;product_id=10005525", "Перейти")</f>
        <v>Перейти</v>
      </c>
      <c r="F3475" s="2">
        <v>10005525</v>
      </c>
      <c r="G3475" s="4" t="s">
        <v>3616</v>
      </c>
      <c r="H3475" s="1">
        <v>4</v>
      </c>
      <c r="I3475" s="1">
        <v>3</v>
      </c>
      <c r="J3475" s="1">
        <v>0</v>
      </c>
      <c r="K3475" s="2">
        <v>9.0</v>
      </c>
    </row>
    <row r="3476" spans="1:12">
      <c r="A3476" s="3" t="s">
        <v>2194</v>
      </c>
      <c r="B3476" s="3" t="s">
        <v>3589</v>
      </c>
      <c r="C3476" s="3" t="s">
        <v>653</v>
      </c>
      <c r="D3476" s="3"/>
      <c r="E3476" s="2" t="str">
        <f>HYPERLINK("https://old.ukr-mobil.com/index.php?route=product&amp;product_id=10005524", "Перейти")</f>
        <v>Перейти</v>
      </c>
      <c r="F3476" s="2">
        <v>10005524</v>
      </c>
      <c r="G3476" s="4" t="s">
        <v>3617</v>
      </c>
      <c r="H3476" s="1">
        <v>5</v>
      </c>
      <c r="I3476" s="1">
        <v>2</v>
      </c>
      <c r="J3476" s="1">
        <v>0</v>
      </c>
      <c r="K3476" s="2">
        <v>9.0</v>
      </c>
    </row>
    <row r="3477" spans="1:12">
      <c r="A3477" s="3" t="s">
        <v>2194</v>
      </c>
      <c r="B3477" s="3" t="s">
        <v>3589</v>
      </c>
      <c r="C3477" s="3" t="s">
        <v>653</v>
      </c>
      <c r="D3477" s="3"/>
      <c r="E3477" s="2" t="str">
        <f>HYPERLINK("https://old.ukr-mobil.com/index.php?route=product&amp;product_id=10005527", "Перейти")</f>
        <v>Перейти</v>
      </c>
      <c r="F3477" s="2">
        <v>10005527</v>
      </c>
      <c r="G3477" s="4" t="s">
        <v>3618</v>
      </c>
      <c r="H3477" s="1">
        <v>4</v>
      </c>
      <c r="I3477" s="1">
        <v>3</v>
      </c>
      <c r="J3477" s="1">
        <v>0</v>
      </c>
      <c r="K3477" s="2">
        <v>9.0</v>
      </c>
    </row>
    <row r="3478" spans="1:12">
      <c r="A3478" s="3" t="s">
        <v>2194</v>
      </c>
      <c r="B3478" s="3" t="s">
        <v>3589</v>
      </c>
      <c r="C3478" s="3" t="s">
        <v>653</v>
      </c>
      <c r="D3478" s="3"/>
      <c r="E3478" s="2" t="str">
        <f>HYPERLINK("https://old.ukr-mobil.com/index.php?route=product&amp;product_id=10005528", "Перейти")</f>
        <v>Перейти</v>
      </c>
      <c r="F3478" s="2">
        <v>10005528</v>
      </c>
      <c r="G3478" s="4" t="s">
        <v>3619</v>
      </c>
      <c r="H3478" s="1">
        <v>7</v>
      </c>
      <c r="I3478" s="1">
        <v>3</v>
      </c>
      <c r="J3478" s="1">
        <v>0</v>
      </c>
      <c r="K3478" s="2">
        <v>8.5</v>
      </c>
    </row>
    <row r="3479" spans="1:12">
      <c r="A3479" s="3" t="s">
        <v>2194</v>
      </c>
      <c r="B3479" s="3" t="s">
        <v>3589</v>
      </c>
      <c r="C3479" s="3" t="s">
        <v>653</v>
      </c>
      <c r="D3479" s="3"/>
      <c r="E3479" s="2" t="str">
        <f>HYPERLINK("https://old.ukr-mobil.com/index.php?route=product&amp;product_id=10005529", "Перейти")</f>
        <v>Перейти</v>
      </c>
      <c r="F3479" s="2">
        <v>10005529</v>
      </c>
      <c r="G3479" s="4" t="s">
        <v>3620</v>
      </c>
      <c r="H3479" s="1">
        <v>6</v>
      </c>
      <c r="I3479" s="1">
        <v>1</v>
      </c>
      <c r="J3479" s="1">
        <v>0</v>
      </c>
      <c r="K3479" s="2">
        <v>9.0</v>
      </c>
    </row>
    <row r="3480" spans="1:12">
      <c r="A3480" s="3" t="s">
        <v>2194</v>
      </c>
      <c r="B3480" s="3" t="s">
        <v>3589</v>
      </c>
      <c r="C3480" s="3" t="s">
        <v>653</v>
      </c>
      <c r="D3480" s="3"/>
      <c r="E3480" s="2" t="str">
        <f>HYPERLINK("https://old.ukr-mobil.com/index.php?route=product&amp;product_id=10005530", "Перейти")</f>
        <v>Перейти</v>
      </c>
      <c r="F3480" s="2">
        <v>10005530</v>
      </c>
      <c r="G3480" s="4" t="s">
        <v>3621</v>
      </c>
      <c r="H3480" s="1">
        <v>2</v>
      </c>
      <c r="I3480" s="1">
        <v>2</v>
      </c>
      <c r="J3480" s="1">
        <v>0</v>
      </c>
      <c r="K3480" s="2">
        <v>9.0</v>
      </c>
    </row>
    <row r="3481" spans="1:12">
      <c r="A3481" s="3" t="s">
        <v>2194</v>
      </c>
      <c r="B3481" s="3" t="s">
        <v>3589</v>
      </c>
      <c r="C3481" s="3" t="s">
        <v>653</v>
      </c>
      <c r="D3481" s="3"/>
      <c r="E3481" s="2" t="str">
        <f>HYPERLINK("https://old.ukr-mobil.com/index.php?route=product&amp;product_id=10005531", "Перейти")</f>
        <v>Перейти</v>
      </c>
      <c r="F3481" s="2">
        <v>10005531</v>
      </c>
      <c r="G3481" s="4" t="s">
        <v>3622</v>
      </c>
      <c r="H3481" s="1">
        <v>2</v>
      </c>
      <c r="I3481" s="1">
        <v>3</v>
      </c>
      <c r="J3481" s="1">
        <v>0</v>
      </c>
      <c r="K3481" s="2">
        <v>9.0</v>
      </c>
    </row>
    <row r="3482" spans="1:12">
      <c r="A3482" s="3" t="s">
        <v>2194</v>
      </c>
      <c r="B3482" s="3" t="s">
        <v>3589</v>
      </c>
      <c r="C3482" s="3" t="s">
        <v>653</v>
      </c>
      <c r="D3482" s="3"/>
      <c r="E3482" s="2" t="str">
        <f>HYPERLINK("https://old.ukr-mobil.com/index.php?route=product&amp;product_id=10005504", "Перейти")</f>
        <v>Перейти</v>
      </c>
      <c r="F3482" s="2">
        <v>10005504</v>
      </c>
      <c r="G3482" s="4" t="s">
        <v>3623</v>
      </c>
      <c r="H3482" s="1">
        <v>6</v>
      </c>
      <c r="I3482" s="1">
        <v>3</v>
      </c>
      <c r="J3482" s="1">
        <v>0</v>
      </c>
      <c r="K3482" s="2">
        <v>25.0</v>
      </c>
    </row>
    <row r="3483" spans="1:12">
      <c r="A3483" s="3" t="s">
        <v>2194</v>
      </c>
      <c r="B3483" s="3" t="s">
        <v>3589</v>
      </c>
      <c r="C3483" s="3" t="s">
        <v>653</v>
      </c>
      <c r="D3483" s="3"/>
      <c r="E3483" s="2" t="str">
        <f>HYPERLINK("https://old.ukr-mobil.com/index.php?route=product&amp;product_id=10005505", "Перейти")</f>
        <v>Перейти</v>
      </c>
      <c r="F3483" s="2">
        <v>10005505</v>
      </c>
      <c r="G3483" s="4" t="s">
        <v>3624</v>
      </c>
      <c r="H3483" s="1">
        <v>6</v>
      </c>
      <c r="I3483" s="1">
        <v>4</v>
      </c>
      <c r="J3483" s="1">
        <v>0</v>
      </c>
      <c r="K3483" s="2">
        <v>25.0</v>
      </c>
    </row>
    <row r="3484" spans="1:12">
      <c r="A3484" s="3" t="s">
        <v>2194</v>
      </c>
      <c r="B3484" s="3" t="s">
        <v>3589</v>
      </c>
      <c r="C3484" s="3" t="s">
        <v>653</v>
      </c>
      <c r="D3484" s="3"/>
      <c r="E3484" s="2" t="str">
        <f>HYPERLINK("https://old.ukr-mobil.com/index.php?route=product&amp;product_id=10005506", "Перейти")</f>
        <v>Перейти</v>
      </c>
      <c r="F3484" s="2">
        <v>10005506</v>
      </c>
      <c r="G3484" s="4" t="s">
        <v>3625</v>
      </c>
      <c r="H3484" s="1">
        <v>6</v>
      </c>
      <c r="I3484" s="1">
        <v>2</v>
      </c>
      <c r="J3484" s="1">
        <v>0</v>
      </c>
      <c r="K3484" s="2">
        <v>40.0</v>
      </c>
    </row>
    <row r="3485" spans="1:12">
      <c r="A3485" s="3" t="s">
        <v>2194</v>
      </c>
      <c r="B3485" s="3" t="s">
        <v>3589</v>
      </c>
      <c r="C3485" s="3" t="s">
        <v>653</v>
      </c>
      <c r="D3485" s="3"/>
      <c r="E3485" s="2" t="str">
        <f>HYPERLINK("https://old.ukr-mobil.com/index.php?route=product&amp;product_id=10005515", "Перейти")</f>
        <v>Перейти</v>
      </c>
      <c r="F3485" s="2">
        <v>10005515</v>
      </c>
      <c r="G3485" s="4" t="s">
        <v>3626</v>
      </c>
      <c r="H3485" s="1">
        <v>2</v>
      </c>
      <c r="I3485" s="1">
        <v>1</v>
      </c>
      <c r="J3485" s="1">
        <v>0</v>
      </c>
      <c r="K3485" s="2">
        <v>10.0</v>
      </c>
    </row>
    <row r="3486" spans="1:12">
      <c r="A3486" s="3" t="s">
        <v>2194</v>
      </c>
      <c r="B3486" s="3" t="s">
        <v>3589</v>
      </c>
      <c r="C3486" s="3" t="s">
        <v>653</v>
      </c>
      <c r="D3486" s="3"/>
      <c r="E3486" s="2" t="str">
        <f>HYPERLINK("https://old.ukr-mobil.com/index.php?route=product&amp;product_id=10005507", "Перейти")</f>
        <v>Перейти</v>
      </c>
      <c r="F3486" s="2">
        <v>10005507</v>
      </c>
      <c r="G3486" s="4" t="s">
        <v>3627</v>
      </c>
      <c r="H3486" s="1">
        <v>2</v>
      </c>
      <c r="I3486" s="1">
        <v>2</v>
      </c>
      <c r="J3486" s="1">
        <v>1</v>
      </c>
      <c r="K3486" s="2">
        <v>35.0</v>
      </c>
    </row>
    <row r="3487" spans="1:12">
      <c r="A3487" s="3" t="s">
        <v>2194</v>
      </c>
      <c r="B3487" s="3" t="s">
        <v>3589</v>
      </c>
      <c r="C3487" s="3" t="s">
        <v>653</v>
      </c>
      <c r="D3487" s="3"/>
      <c r="E3487" s="2" t="str">
        <f>HYPERLINK("https://old.ukr-mobil.com/index.php?route=product&amp;product_id=10005122", "Перейти")</f>
        <v>Перейти</v>
      </c>
      <c r="F3487" s="2">
        <v>10005122</v>
      </c>
      <c r="G3487" s="4" t="s">
        <v>3628</v>
      </c>
      <c r="H3487" s="1">
        <v>1</v>
      </c>
      <c r="I3487" s="1">
        <v>2</v>
      </c>
      <c r="J3487" s="1">
        <v>0</v>
      </c>
      <c r="K3487" s="2">
        <v>50.0</v>
      </c>
    </row>
    <row r="3488" spans="1:12">
      <c r="A3488" s="3" t="s">
        <v>2194</v>
      </c>
      <c r="B3488" s="3" t="s">
        <v>3589</v>
      </c>
      <c r="C3488" s="3" t="s">
        <v>653</v>
      </c>
      <c r="D3488" s="3"/>
      <c r="E3488" s="2" t="str">
        <f>HYPERLINK("https://old.ukr-mobil.com/index.php?route=product&amp;product_id=10005535", "Перейти")</f>
        <v>Перейти</v>
      </c>
      <c r="F3488" s="2">
        <v>10005535</v>
      </c>
      <c r="G3488" s="4" t="s">
        <v>3629</v>
      </c>
      <c r="H3488" s="1">
        <v>4</v>
      </c>
      <c r="I3488" s="1">
        <v>3</v>
      </c>
      <c r="J3488" s="1">
        <v>0</v>
      </c>
      <c r="K3488" s="2">
        <v>10.0</v>
      </c>
    </row>
    <row r="3489" spans="1:12">
      <c r="A3489" s="3" t="s">
        <v>2194</v>
      </c>
      <c r="B3489" s="3" t="s">
        <v>3589</v>
      </c>
      <c r="C3489" s="3" t="s">
        <v>653</v>
      </c>
      <c r="D3489" s="3"/>
      <c r="E3489" s="2" t="str">
        <f>HYPERLINK("https://old.ukr-mobil.com/index.php?route=product&amp;product_id=10005514", "Перейти")</f>
        <v>Перейти</v>
      </c>
      <c r="F3489" s="2">
        <v>10005514</v>
      </c>
      <c r="G3489" s="4" t="s">
        <v>3630</v>
      </c>
      <c r="H3489" s="1">
        <v>3</v>
      </c>
      <c r="I3489" s="1">
        <v>2</v>
      </c>
      <c r="J3489" s="1">
        <v>0</v>
      </c>
      <c r="K3489" s="2">
        <v>15.0</v>
      </c>
    </row>
    <row r="3490" spans="1:12">
      <c r="A3490" s="3" t="s">
        <v>2194</v>
      </c>
      <c r="B3490" s="3" t="s">
        <v>3589</v>
      </c>
      <c r="C3490" s="3" t="s">
        <v>653</v>
      </c>
      <c r="D3490" s="3"/>
      <c r="E3490" s="2" t="str">
        <f>HYPERLINK("https://old.ukr-mobil.com/index.php?route=product&amp;product_id=10005508", "Перейти")</f>
        <v>Перейти</v>
      </c>
      <c r="F3490" s="2">
        <v>10005508</v>
      </c>
      <c r="G3490" s="4" t="s">
        <v>3631</v>
      </c>
      <c r="H3490" s="1">
        <v>3</v>
      </c>
      <c r="I3490" s="1">
        <v>3</v>
      </c>
      <c r="J3490" s="1">
        <v>0</v>
      </c>
      <c r="K3490" s="2">
        <v>40.0</v>
      </c>
    </row>
    <row r="3491" spans="1:12">
      <c r="A3491" s="3" t="s">
        <v>2194</v>
      </c>
      <c r="B3491" s="3" t="s">
        <v>3589</v>
      </c>
      <c r="C3491" s="3" t="s">
        <v>653</v>
      </c>
      <c r="D3491" s="3"/>
      <c r="E3491" s="2" t="str">
        <f>HYPERLINK("https://old.ukr-mobil.com/index.php?route=product&amp;product_id=10005512", "Перейти")</f>
        <v>Перейти</v>
      </c>
      <c r="F3491" s="2">
        <v>10005512</v>
      </c>
      <c r="G3491" s="4" t="s">
        <v>3632</v>
      </c>
      <c r="H3491" s="1">
        <v>4</v>
      </c>
      <c r="I3491" s="1">
        <v>4</v>
      </c>
      <c r="J3491" s="1">
        <v>0</v>
      </c>
      <c r="K3491" s="2">
        <v>40.0</v>
      </c>
    </row>
    <row r="3492" spans="1:12">
      <c r="A3492" s="3" t="s">
        <v>2194</v>
      </c>
      <c r="B3492" s="3" t="s">
        <v>3589</v>
      </c>
      <c r="C3492" s="3" t="s">
        <v>653</v>
      </c>
      <c r="D3492" s="3"/>
      <c r="E3492" s="2" t="str">
        <f>HYPERLINK("https://old.ukr-mobil.com/index.php?route=product&amp;product_id=10005509", "Перейти")</f>
        <v>Перейти</v>
      </c>
      <c r="F3492" s="2">
        <v>10005509</v>
      </c>
      <c r="G3492" s="4" t="s">
        <v>3633</v>
      </c>
      <c r="H3492" s="1">
        <v>5</v>
      </c>
      <c r="I3492" s="1">
        <v>3</v>
      </c>
      <c r="J3492" s="1">
        <v>0</v>
      </c>
      <c r="K3492" s="2">
        <v>40.0</v>
      </c>
    </row>
    <row r="3493" spans="1:12">
      <c r="A3493" s="3" t="s">
        <v>2194</v>
      </c>
      <c r="B3493" s="3" t="s">
        <v>3589</v>
      </c>
      <c r="C3493" s="3" t="s">
        <v>653</v>
      </c>
      <c r="D3493" s="3"/>
      <c r="E3493" s="2" t="str">
        <f>HYPERLINK("https://old.ukr-mobil.com/index.php?route=product&amp;product_id=10005510", "Перейти")</f>
        <v>Перейти</v>
      </c>
      <c r="F3493" s="2">
        <v>10005510</v>
      </c>
      <c r="G3493" s="4" t="s">
        <v>3634</v>
      </c>
      <c r="H3493" s="1">
        <v>6</v>
      </c>
      <c r="I3493" s="1">
        <v>3</v>
      </c>
      <c r="J3493" s="1">
        <v>0</v>
      </c>
      <c r="K3493" s="2">
        <v>40.0</v>
      </c>
    </row>
    <row r="3494" spans="1:12">
      <c r="A3494" s="3" t="s">
        <v>2194</v>
      </c>
      <c r="B3494" s="3" t="s">
        <v>3589</v>
      </c>
      <c r="C3494" s="3" t="s">
        <v>653</v>
      </c>
      <c r="D3494" s="3"/>
      <c r="E3494" s="2" t="str">
        <f>HYPERLINK("https://old.ukr-mobil.com/index.php?route=product&amp;product_id=10005511", "Перейти")</f>
        <v>Перейти</v>
      </c>
      <c r="F3494" s="2">
        <v>10005511</v>
      </c>
      <c r="G3494" s="4" t="s">
        <v>3635</v>
      </c>
      <c r="H3494" s="1">
        <v>6</v>
      </c>
      <c r="I3494" s="1">
        <v>3</v>
      </c>
      <c r="J3494" s="1">
        <v>0</v>
      </c>
      <c r="K3494" s="2">
        <v>48.0</v>
      </c>
    </row>
    <row r="3495" spans="1:12">
      <c r="A3495" s="3" t="s">
        <v>2194</v>
      </c>
      <c r="B3495" s="3" t="s">
        <v>3589</v>
      </c>
      <c r="C3495" s="3" t="s">
        <v>653</v>
      </c>
      <c r="D3495" s="3"/>
      <c r="E3495" s="2" t="str">
        <f>HYPERLINK("https://old.ukr-mobil.com/index.php?route=product&amp;product_id=10005513", "Перейти")</f>
        <v>Перейти</v>
      </c>
      <c r="F3495" s="2">
        <v>10005513</v>
      </c>
      <c r="G3495" s="4" t="s">
        <v>3636</v>
      </c>
      <c r="H3495" s="1">
        <v>4</v>
      </c>
      <c r="I3495" s="1">
        <v>3</v>
      </c>
      <c r="J3495" s="1">
        <v>1</v>
      </c>
      <c r="K3495" s="2">
        <v>76.5</v>
      </c>
    </row>
    <row r="3496" spans="1:12">
      <c r="A3496" s="3" t="s">
        <v>2194</v>
      </c>
      <c r="B3496" s="3" t="s">
        <v>3589</v>
      </c>
      <c r="C3496" s="3" t="s">
        <v>814</v>
      </c>
      <c r="D3496" s="3"/>
      <c r="E3496" s="2" t="str">
        <f>HYPERLINK("https://old.ukr-mobil.com/index.php?route=product&amp;product_id=10005320", "Перейти")</f>
        <v>Перейти</v>
      </c>
      <c r="F3496" s="2">
        <v>10005320</v>
      </c>
      <c r="G3496" s="4" t="s">
        <v>3637</v>
      </c>
      <c r="H3496" s="1">
        <v>0</v>
      </c>
      <c r="I3496" s="1">
        <v>0</v>
      </c>
      <c r="J3496" s="1">
        <v>0</v>
      </c>
      <c r="K3496" s="2">
        <v>15.0</v>
      </c>
    </row>
    <row r="3497" spans="1:12">
      <c r="A3497" s="3" t="s">
        <v>2194</v>
      </c>
      <c r="B3497" s="3" t="s">
        <v>3589</v>
      </c>
      <c r="C3497" s="3" t="s">
        <v>814</v>
      </c>
      <c r="D3497" s="3"/>
      <c r="E3497" s="2" t="str">
        <f>HYPERLINK("https://old.ukr-mobil.com/index.php?route=product&amp;product_id=10005307", "Перейти")</f>
        <v>Перейти</v>
      </c>
      <c r="F3497" s="2">
        <v>10005307</v>
      </c>
      <c r="G3497" s="4" t="s">
        <v>3638</v>
      </c>
      <c r="H3497" s="1">
        <v>0</v>
      </c>
      <c r="I3497" s="1">
        <v>0</v>
      </c>
      <c r="J3497" s="1">
        <v>0</v>
      </c>
      <c r="K3497" s="2">
        <v>12.75</v>
      </c>
    </row>
    <row r="3498" spans="1:12">
      <c r="A3498" s="3" t="s">
        <v>2194</v>
      </c>
      <c r="B3498" s="3" t="s">
        <v>3589</v>
      </c>
      <c r="C3498" s="3" t="s">
        <v>814</v>
      </c>
      <c r="D3498" s="3"/>
      <c r="E3498" s="2" t="str">
        <f>HYPERLINK("https://old.ukr-mobil.com/index.php?route=product&amp;product_id=10005308", "Перейти")</f>
        <v>Перейти</v>
      </c>
      <c r="F3498" s="2">
        <v>10005308</v>
      </c>
      <c r="G3498" s="4" t="s">
        <v>3639</v>
      </c>
      <c r="H3498" s="1">
        <v>1</v>
      </c>
      <c r="I3498" s="1">
        <v>1</v>
      </c>
      <c r="J3498" s="1">
        <v>0</v>
      </c>
      <c r="K3498" s="2">
        <v>12.0</v>
      </c>
    </row>
    <row r="3499" spans="1:12">
      <c r="A3499" s="3" t="s">
        <v>2194</v>
      </c>
      <c r="B3499" s="3" t="s">
        <v>3589</v>
      </c>
      <c r="C3499" s="3" t="s">
        <v>814</v>
      </c>
      <c r="D3499" s="3"/>
      <c r="E3499" s="2" t="str">
        <f>HYPERLINK("https://old.ukr-mobil.com/index.php?route=product&amp;product_id=10005310", "Перейти")</f>
        <v>Перейти</v>
      </c>
      <c r="F3499" s="2">
        <v>10005310</v>
      </c>
      <c r="G3499" s="4" t="s">
        <v>3640</v>
      </c>
      <c r="H3499" s="1">
        <v>5</v>
      </c>
      <c r="I3499" s="1">
        <v>1</v>
      </c>
      <c r="J3499" s="1">
        <v>0</v>
      </c>
      <c r="K3499" s="2">
        <v>9.5</v>
      </c>
    </row>
    <row r="3500" spans="1:12">
      <c r="A3500" s="3" t="s">
        <v>2194</v>
      </c>
      <c r="B3500" s="3" t="s">
        <v>3589</v>
      </c>
      <c r="C3500" s="3" t="s">
        <v>814</v>
      </c>
      <c r="D3500" s="3"/>
      <c r="E3500" s="2" t="str">
        <f>HYPERLINK("https://old.ukr-mobil.com/index.php?route=product&amp;product_id=10005309", "Перейти")</f>
        <v>Перейти</v>
      </c>
      <c r="F3500" s="2">
        <v>10005309</v>
      </c>
      <c r="G3500" s="4" t="s">
        <v>3641</v>
      </c>
      <c r="H3500" s="1">
        <v>8</v>
      </c>
      <c r="I3500" s="1">
        <v>2</v>
      </c>
      <c r="J3500" s="1">
        <v>0</v>
      </c>
      <c r="K3500" s="2">
        <v>30.0</v>
      </c>
    </row>
    <row r="3501" spans="1:12">
      <c r="A3501" s="3" t="s">
        <v>2194</v>
      </c>
      <c r="B3501" s="3" t="s">
        <v>3589</v>
      </c>
      <c r="C3501" s="3" t="s">
        <v>814</v>
      </c>
      <c r="D3501" s="3"/>
      <c r="E3501" s="2" t="str">
        <f>HYPERLINK("https://old.ukr-mobil.com/index.php?route=product&amp;product_id=10005319", "Перейти")</f>
        <v>Перейти</v>
      </c>
      <c r="F3501" s="2">
        <v>10005319</v>
      </c>
      <c r="G3501" s="4" t="s">
        <v>3642</v>
      </c>
      <c r="H3501" s="1">
        <v>4</v>
      </c>
      <c r="I3501" s="1">
        <v>0</v>
      </c>
      <c r="J3501" s="1">
        <v>0</v>
      </c>
      <c r="K3501" s="2">
        <v>11.0</v>
      </c>
    </row>
    <row r="3502" spans="1:12">
      <c r="A3502" s="3" t="s">
        <v>2194</v>
      </c>
      <c r="B3502" s="3" t="s">
        <v>3589</v>
      </c>
      <c r="C3502" s="3" t="s">
        <v>814</v>
      </c>
      <c r="D3502" s="3"/>
      <c r="E3502" s="2" t="str">
        <f>HYPERLINK("https://old.ukr-mobil.com/index.php?route=product&amp;product_id=10005328", "Перейти")</f>
        <v>Перейти</v>
      </c>
      <c r="F3502" s="2">
        <v>10005328</v>
      </c>
      <c r="G3502" s="4" t="s">
        <v>3643</v>
      </c>
      <c r="H3502" s="1">
        <v>6</v>
      </c>
      <c r="I3502" s="1">
        <v>1</v>
      </c>
      <c r="J3502" s="1">
        <v>0</v>
      </c>
      <c r="K3502" s="2">
        <v>8.0</v>
      </c>
    </row>
    <row r="3503" spans="1:12">
      <c r="A3503" s="3" t="s">
        <v>2194</v>
      </c>
      <c r="B3503" s="3" t="s">
        <v>3589</v>
      </c>
      <c r="C3503" s="3" t="s">
        <v>814</v>
      </c>
      <c r="D3503" s="3"/>
      <c r="E3503" s="2" t="str">
        <f>HYPERLINK("https://old.ukr-mobil.com/index.php?route=product&amp;product_id=10005333", "Перейти")</f>
        <v>Перейти</v>
      </c>
      <c r="F3503" s="2">
        <v>10005333</v>
      </c>
      <c r="G3503" s="4" t="s">
        <v>3644</v>
      </c>
      <c r="H3503" s="1">
        <v>7</v>
      </c>
      <c r="I3503" s="1">
        <v>2</v>
      </c>
      <c r="J3503" s="1">
        <v>0</v>
      </c>
      <c r="K3503" s="2">
        <v>9.0</v>
      </c>
    </row>
    <row r="3504" spans="1:12">
      <c r="A3504" s="3" t="s">
        <v>2194</v>
      </c>
      <c r="B3504" s="3" t="s">
        <v>3589</v>
      </c>
      <c r="C3504" s="3" t="s">
        <v>814</v>
      </c>
      <c r="D3504" s="3"/>
      <c r="E3504" s="2" t="str">
        <f>HYPERLINK("https://old.ukr-mobil.com/index.php?route=product&amp;product_id=10005334", "Перейти")</f>
        <v>Перейти</v>
      </c>
      <c r="F3504" s="2">
        <v>10005334</v>
      </c>
      <c r="G3504" s="4" t="s">
        <v>3645</v>
      </c>
      <c r="H3504" s="1">
        <v>8</v>
      </c>
      <c r="I3504" s="1">
        <v>2</v>
      </c>
      <c r="J3504" s="1">
        <v>0</v>
      </c>
      <c r="K3504" s="2">
        <v>10.0</v>
      </c>
    </row>
    <row r="3505" spans="1:12">
      <c r="A3505" s="3" t="s">
        <v>2194</v>
      </c>
      <c r="B3505" s="3" t="s">
        <v>3589</v>
      </c>
      <c r="C3505" s="3" t="s">
        <v>814</v>
      </c>
      <c r="D3505" s="3"/>
      <c r="E3505" s="2" t="str">
        <f>HYPERLINK("https://old.ukr-mobil.com/index.php?route=product&amp;product_id=10005336", "Перейти")</f>
        <v>Перейти</v>
      </c>
      <c r="F3505" s="2">
        <v>10005336</v>
      </c>
      <c r="G3505" s="4" t="s">
        <v>3646</v>
      </c>
      <c r="H3505" s="1">
        <v>7</v>
      </c>
      <c r="I3505" s="1">
        <v>2</v>
      </c>
      <c r="J3505" s="1">
        <v>0</v>
      </c>
      <c r="K3505" s="2">
        <v>7.0</v>
      </c>
    </row>
    <row r="3506" spans="1:12">
      <c r="A3506" s="3" t="s">
        <v>2194</v>
      </c>
      <c r="B3506" s="3" t="s">
        <v>3589</v>
      </c>
      <c r="C3506" s="3" t="s">
        <v>814</v>
      </c>
      <c r="D3506" s="3"/>
      <c r="E3506" s="2" t="str">
        <f>HYPERLINK("https://old.ukr-mobil.com/index.php?route=product&amp;product_id=10005337", "Перейти")</f>
        <v>Перейти</v>
      </c>
      <c r="F3506" s="2">
        <v>10005337</v>
      </c>
      <c r="G3506" s="4" t="s">
        <v>3647</v>
      </c>
      <c r="H3506" s="1">
        <v>6</v>
      </c>
      <c r="I3506" s="1">
        <v>3</v>
      </c>
      <c r="J3506" s="1">
        <v>0</v>
      </c>
      <c r="K3506" s="2">
        <v>9.0</v>
      </c>
    </row>
    <row r="3507" spans="1:12">
      <c r="A3507" s="3" t="s">
        <v>2194</v>
      </c>
      <c r="B3507" s="3" t="s">
        <v>3589</v>
      </c>
      <c r="C3507" s="3" t="s">
        <v>814</v>
      </c>
      <c r="D3507" s="3"/>
      <c r="E3507" s="2" t="str">
        <f>HYPERLINK("https://old.ukr-mobil.com/index.php?route=product&amp;product_id=10005338", "Перейти")</f>
        <v>Перейти</v>
      </c>
      <c r="F3507" s="2">
        <v>10005338</v>
      </c>
      <c r="G3507" s="4" t="s">
        <v>3648</v>
      </c>
      <c r="H3507" s="1">
        <v>4</v>
      </c>
      <c r="I3507" s="1">
        <v>2</v>
      </c>
      <c r="J3507" s="1">
        <v>0</v>
      </c>
      <c r="K3507" s="2">
        <v>9.0</v>
      </c>
    </row>
    <row r="3508" spans="1:12">
      <c r="A3508" s="3" t="s">
        <v>2194</v>
      </c>
      <c r="B3508" s="3" t="s">
        <v>3589</v>
      </c>
      <c r="C3508" s="3" t="s">
        <v>814</v>
      </c>
      <c r="D3508" s="3"/>
      <c r="E3508" s="2" t="str">
        <f>HYPERLINK("https://old.ukr-mobil.com/index.php?route=product&amp;product_id=10005339", "Перейти")</f>
        <v>Перейти</v>
      </c>
      <c r="F3508" s="2">
        <v>10005339</v>
      </c>
      <c r="G3508" s="4" t="s">
        <v>3649</v>
      </c>
      <c r="H3508" s="1">
        <v>0</v>
      </c>
      <c r="I3508" s="1">
        <v>0</v>
      </c>
      <c r="J3508" s="1">
        <v>0</v>
      </c>
      <c r="K3508" s="2">
        <v>10.0</v>
      </c>
    </row>
    <row r="3509" spans="1:12">
      <c r="A3509" s="3" t="s">
        <v>2194</v>
      </c>
      <c r="B3509" s="3" t="s">
        <v>3589</v>
      </c>
      <c r="C3509" s="3" t="s">
        <v>814</v>
      </c>
      <c r="D3509" s="3"/>
      <c r="E3509" s="2" t="str">
        <f>HYPERLINK("https://old.ukr-mobil.com/index.php?route=product&amp;product_id=10005340", "Перейти")</f>
        <v>Перейти</v>
      </c>
      <c r="F3509" s="2">
        <v>10005340</v>
      </c>
      <c r="G3509" s="4" t="s">
        <v>3650</v>
      </c>
      <c r="H3509" s="1">
        <v>6</v>
      </c>
      <c r="I3509" s="1">
        <v>3</v>
      </c>
      <c r="J3509" s="1">
        <v>0</v>
      </c>
      <c r="K3509" s="2">
        <v>9.0</v>
      </c>
    </row>
    <row r="3510" spans="1:12">
      <c r="A3510" s="3" t="s">
        <v>2194</v>
      </c>
      <c r="B3510" s="3" t="s">
        <v>3589</v>
      </c>
      <c r="C3510" s="3" t="s">
        <v>814</v>
      </c>
      <c r="D3510" s="3"/>
      <c r="E3510" s="2" t="str">
        <f>HYPERLINK("https://old.ukr-mobil.com/index.php?route=product&amp;product_id=10005341", "Перейти")</f>
        <v>Перейти</v>
      </c>
      <c r="F3510" s="2">
        <v>10005341</v>
      </c>
      <c r="G3510" s="4" t="s">
        <v>3651</v>
      </c>
      <c r="H3510" s="1">
        <v>6</v>
      </c>
      <c r="I3510" s="1">
        <v>3</v>
      </c>
      <c r="J3510" s="1">
        <v>0</v>
      </c>
      <c r="K3510" s="2">
        <v>7.0</v>
      </c>
    </row>
    <row r="3511" spans="1:12">
      <c r="A3511" s="3" t="s">
        <v>2194</v>
      </c>
      <c r="B3511" s="3" t="s">
        <v>3589</v>
      </c>
      <c r="C3511" s="3" t="s">
        <v>814</v>
      </c>
      <c r="D3511" s="3"/>
      <c r="E3511" s="2" t="str">
        <f>HYPERLINK("https://old.ukr-mobil.com/index.php?route=product&amp;product_id=10005345", "Перейти")</f>
        <v>Перейти</v>
      </c>
      <c r="F3511" s="2">
        <v>10005345</v>
      </c>
      <c r="G3511" s="4" t="s">
        <v>3652</v>
      </c>
      <c r="H3511" s="1">
        <v>0</v>
      </c>
      <c r="I3511" s="1">
        <v>0</v>
      </c>
      <c r="J3511" s="1">
        <v>0</v>
      </c>
      <c r="K3511" s="2">
        <v>10.1</v>
      </c>
    </row>
    <row r="3512" spans="1:12">
      <c r="A3512" s="3" t="s">
        <v>2194</v>
      </c>
      <c r="B3512" s="3" t="s">
        <v>3589</v>
      </c>
      <c r="C3512" s="3" t="s">
        <v>814</v>
      </c>
      <c r="D3512" s="3"/>
      <c r="E3512" s="2" t="str">
        <f>HYPERLINK("https://old.ukr-mobil.com/index.php?route=product&amp;product_id=10005346", "Перейти")</f>
        <v>Перейти</v>
      </c>
      <c r="F3512" s="2">
        <v>10005346</v>
      </c>
      <c r="G3512" s="4" t="s">
        <v>3653</v>
      </c>
      <c r="H3512" s="1">
        <v>6</v>
      </c>
      <c r="I3512" s="1">
        <v>2</v>
      </c>
      <c r="J3512" s="1">
        <v>0</v>
      </c>
      <c r="K3512" s="2">
        <v>8.0</v>
      </c>
    </row>
    <row r="3513" spans="1:12">
      <c r="A3513" s="3" t="s">
        <v>2194</v>
      </c>
      <c r="B3513" s="3" t="s">
        <v>3589</v>
      </c>
      <c r="C3513" s="3" t="s">
        <v>814</v>
      </c>
      <c r="D3513" s="3"/>
      <c r="E3513" s="2" t="str">
        <f>HYPERLINK("https://old.ukr-mobil.com/index.php?route=product&amp;product_id=10005347", "Перейти")</f>
        <v>Перейти</v>
      </c>
      <c r="F3513" s="2">
        <v>10005347</v>
      </c>
      <c r="G3513" s="4" t="s">
        <v>3654</v>
      </c>
      <c r="H3513" s="1">
        <v>0</v>
      </c>
      <c r="I3513" s="1">
        <v>0</v>
      </c>
      <c r="J3513" s="1">
        <v>0</v>
      </c>
      <c r="K3513" s="2">
        <v>9.85</v>
      </c>
    </row>
    <row r="3514" spans="1:12">
      <c r="A3514" s="3" t="s">
        <v>2194</v>
      </c>
      <c r="B3514" s="3" t="s">
        <v>3589</v>
      </c>
      <c r="C3514" s="3" t="s">
        <v>814</v>
      </c>
      <c r="D3514" s="3"/>
      <c r="E3514" s="2" t="str">
        <f>HYPERLINK("https://old.ukr-mobil.com/index.php?route=product&amp;product_id=10005348", "Перейти")</f>
        <v>Перейти</v>
      </c>
      <c r="F3514" s="2">
        <v>10005348</v>
      </c>
      <c r="G3514" s="4" t="s">
        <v>3655</v>
      </c>
      <c r="H3514" s="1">
        <v>6</v>
      </c>
      <c r="I3514" s="1">
        <v>3</v>
      </c>
      <c r="J3514" s="1">
        <v>0</v>
      </c>
      <c r="K3514" s="2">
        <v>6.0</v>
      </c>
    </row>
    <row r="3515" spans="1:12">
      <c r="A3515" s="3" t="s">
        <v>2194</v>
      </c>
      <c r="B3515" s="3" t="s">
        <v>3589</v>
      </c>
      <c r="C3515" s="3" t="s">
        <v>814</v>
      </c>
      <c r="D3515" s="3"/>
      <c r="E3515" s="2" t="str">
        <f>HYPERLINK("https://old.ukr-mobil.com/index.php?route=product&amp;product_id=10005349", "Перейти")</f>
        <v>Перейти</v>
      </c>
      <c r="F3515" s="2">
        <v>10005349</v>
      </c>
      <c r="G3515" s="4" t="s">
        <v>3656</v>
      </c>
      <c r="H3515" s="1">
        <v>0</v>
      </c>
      <c r="I3515" s="1">
        <v>0</v>
      </c>
      <c r="J3515" s="1">
        <v>0</v>
      </c>
      <c r="K3515" s="2">
        <v>8.0</v>
      </c>
    </row>
    <row r="3516" spans="1:12">
      <c r="A3516" s="3" t="s">
        <v>2194</v>
      </c>
      <c r="B3516" s="3" t="s">
        <v>3589</v>
      </c>
      <c r="C3516" s="3" t="s">
        <v>814</v>
      </c>
      <c r="D3516" s="3"/>
      <c r="E3516" s="2" t="str">
        <f>HYPERLINK("https://old.ukr-mobil.com/index.php?route=product&amp;product_id=10005350", "Перейти")</f>
        <v>Перейти</v>
      </c>
      <c r="F3516" s="2">
        <v>10005350</v>
      </c>
      <c r="G3516" s="4" t="s">
        <v>3657</v>
      </c>
      <c r="H3516" s="1">
        <v>0</v>
      </c>
      <c r="I3516" s="1">
        <v>0</v>
      </c>
      <c r="J3516" s="1">
        <v>0</v>
      </c>
      <c r="K3516" s="2">
        <v>10.0</v>
      </c>
    </row>
    <row r="3517" spans="1:12">
      <c r="A3517" s="3" t="s">
        <v>2194</v>
      </c>
      <c r="B3517" s="3" t="s">
        <v>3589</v>
      </c>
      <c r="C3517" s="3" t="s">
        <v>814</v>
      </c>
      <c r="D3517" s="3"/>
      <c r="E3517" s="2" t="str">
        <f>HYPERLINK("https://old.ukr-mobil.com/index.php?route=product&amp;product_id=10005323", "Перейти")</f>
        <v>Перейти</v>
      </c>
      <c r="F3517" s="2">
        <v>10005323</v>
      </c>
      <c r="G3517" s="4" t="s">
        <v>3658</v>
      </c>
      <c r="H3517" s="1">
        <v>7</v>
      </c>
      <c r="I3517" s="1">
        <v>2</v>
      </c>
      <c r="J3517" s="1">
        <v>0</v>
      </c>
      <c r="K3517" s="2">
        <v>9.0</v>
      </c>
    </row>
    <row r="3518" spans="1:12">
      <c r="A3518" s="3" t="s">
        <v>2194</v>
      </c>
      <c r="B3518" s="3" t="s">
        <v>3589</v>
      </c>
      <c r="C3518" s="3" t="s">
        <v>814</v>
      </c>
      <c r="D3518" s="3"/>
      <c r="E3518" s="2" t="str">
        <f>HYPERLINK("https://old.ukr-mobil.com/index.php?route=product&amp;product_id=10005312", "Перейти")</f>
        <v>Перейти</v>
      </c>
      <c r="F3518" s="2">
        <v>10005312</v>
      </c>
      <c r="G3518" s="4" t="s">
        <v>3659</v>
      </c>
      <c r="H3518" s="1">
        <v>8</v>
      </c>
      <c r="I3518" s="1">
        <v>2</v>
      </c>
      <c r="J3518" s="1">
        <v>0</v>
      </c>
      <c r="K3518" s="2">
        <v>38.0</v>
      </c>
    </row>
    <row r="3519" spans="1:12">
      <c r="A3519" s="3" t="s">
        <v>2194</v>
      </c>
      <c r="B3519" s="3" t="s">
        <v>3660</v>
      </c>
      <c r="C3519" s="3"/>
      <c r="D3519" s="3"/>
      <c r="E3519" s="2" t="str">
        <f>HYPERLINK("https://old.ukr-mobil.com/knopka_vkl_sonyeric_k700_malenka_4-oh_kontaktna_347", "Перейти")</f>
        <v>Перейти</v>
      </c>
      <c r="F3519" s="2">
        <v>347</v>
      </c>
      <c r="G3519" s="4" t="s">
        <v>3661</v>
      </c>
      <c r="H3519" s="1">
        <v>1077</v>
      </c>
      <c r="I3519" s="1">
        <v>0</v>
      </c>
      <c r="J3519" s="1">
        <v>118</v>
      </c>
      <c r="K3519" s="2">
        <v>0.15</v>
      </c>
    </row>
    <row r="3520" spans="1:12">
      <c r="A3520" s="3" t="s">
        <v>2194</v>
      </c>
      <c r="B3520" s="3" t="s">
        <v>3660</v>
      </c>
      <c r="C3520" s="3"/>
      <c r="D3520" s="3"/>
      <c r="E3520" s="2" t="str">
        <f>HYPERLINK("https://old.ukr-mobil.com/knopka_vklyucheniya_regulirovki_gromkosti_iphone_6_6_plus_5835", "Перейти")</f>
        <v>Перейти</v>
      </c>
      <c r="F3520" s="2">
        <v>5835</v>
      </c>
      <c r="G3520" s="4" t="s">
        <v>3662</v>
      </c>
      <c r="H3520" s="1">
        <v>123</v>
      </c>
      <c r="I3520" s="1">
        <v>0</v>
      </c>
      <c r="J3520" s="1">
        <v>0</v>
      </c>
      <c r="K3520" s="2">
        <v>0.4</v>
      </c>
    </row>
    <row r="3521" spans="1:12">
      <c r="A3521" s="3" t="s">
        <v>2194</v>
      </c>
      <c r="B3521" s="3" t="s">
        <v>3663</v>
      </c>
      <c r="C3521" s="3" t="s">
        <v>3664</v>
      </c>
      <c r="D3521" s="3"/>
      <c r="E3521" s="2" t="str">
        <f>HYPERLINK("https://old.ukr-mobil.com/derzhatel_sim_karti_iphone_5_black_3726", "Перейти")</f>
        <v>Перейти</v>
      </c>
      <c r="F3521" s="2">
        <v>3726</v>
      </c>
      <c r="G3521" s="4" t="s">
        <v>3665</v>
      </c>
      <c r="H3521" s="1">
        <v>9</v>
      </c>
      <c r="I3521" s="1">
        <v>0</v>
      </c>
      <c r="J3521" s="1">
        <v>0</v>
      </c>
      <c r="K3521" s="2">
        <v>0.35</v>
      </c>
    </row>
    <row r="3522" spans="1:12">
      <c r="A3522" s="3" t="s">
        <v>2194</v>
      </c>
      <c r="B3522" s="3" t="s">
        <v>3663</v>
      </c>
      <c r="C3522" s="3" t="s">
        <v>3664</v>
      </c>
      <c r="D3522" s="3"/>
      <c r="E3522" s="2" t="str">
        <f>HYPERLINK("https://old.ukr-mobil.com/derzhatel_sim_karti_iphone_5_white_5351", "Перейти")</f>
        <v>Перейти</v>
      </c>
      <c r="F3522" s="2">
        <v>5351</v>
      </c>
      <c r="G3522" s="4" t="s">
        <v>3666</v>
      </c>
      <c r="H3522" s="1">
        <v>26</v>
      </c>
      <c r="I3522" s="1">
        <v>0</v>
      </c>
      <c r="J3522" s="1">
        <v>0</v>
      </c>
      <c r="K3522" s="2">
        <v>0.35</v>
      </c>
    </row>
    <row r="3523" spans="1:12">
      <c r="A3523" s="3" t="s">
        <v>2194</v>
      </c>
      <c r="B3523" s="3" t="s">
        <v>3663</v>
      </c>
      <c r="C3523" s="3" t="s">
        <v>3664</v>
      </c>
      <c r="D3523" s="3"/>
      <c r="E3523" s="2" t="str">
        <f>HYPERLINK("https://old.ukr-mobil.com/derzhatel_sim_karti_iphone_6_plus_gold_11624", "Перейти")</f>
        <v>Перейти</v>
      </c>
      <c r="F3523" s="2">
        <v>11624</v>
      </c>
      <c r="G3523" s="4" t="s">
        <v>3667</v>
      </c>
      <c r="H3523" s="1">
        <v>7</v>
      </c>
      <c r="I3523" s="1">
        <v>0</v>
      </c>
      <c r="J3523" s="1">
        <v>0</v>
      </c>
      <c r="K3523" s="2">
        <v>0.4</v>
      </c>
    </row>
    <row r="3524" spans="1:12">
      <c r="A3524" s="3" t="s">
        <v>2194</v>
      </c>
      <c r="B3524" s="3" t="s">
        <v>3663</v>
      </c>
      <c r="C3524" s="3" t="s">
        <v>3664</v>
      </c>
      <c r="D3524" s="3"/>
      <c r="E3524" s="2" t="str">
        <f>HYPERLINK("https://old.ukr-mobil.com/derzhatel_sim_karti_iphone_6_plus_space_gray_11622", "Перейти")</f>
        <v>Перейти</v>
      </c>
      <c r="F3524" s="2">
        <v>11622</v>
      </c>
      <c r="G3524" s="4" t="s">
        <v>3668</v>
      </c>
      <c r="H3524" s="1">
        <v>6</v>
      </c>
      <c r="I3524" s="1">
        <v>0</v>
      </c>
      <c r="J3524" s="1">
        <v>0</v>
      </c>
      <c r="K3524" s="2">
        <v>0.4</v>
      </c>
    </row>
    <row r="3525" spans="1:12">
      <c r="A3525" s="3" t="s">
        <v>2194</v>
      </c>
      <c r="B3525" s="3" t="s">
        <v>3663</v>
      </c>
      <c r="C3525" s="3" t="s">
        <v>3664</v>
      </c>
      <c r="D3525" s="3"/>
      <c r="E3525" s="2" t="str">
        <f>HYPERLINK("https://old.ukr-mobil.com/derzhatel_sim_karti_iphone_6_gold_11612", "Перейти")</f>
        <v>Перейти</v>
      </c>
      <c r="F3525" s="2">
        <v>11612</v>
      </c>
      <c r="G3525" s="4" t="s">
        <v>3669</v>
      </c>
      <c r="H3525" s="1">
        <v>0</v>
      </c>
      <c r="I3525" s="1">
        <v>0</v>
      </c>
      <c r="J3525" s="1">
        <v>0</v>
      </c>
      <c r="K3525" s="2">
        <v>0.4</v>
      </c>
    </row>
    <row r="3526" spans="1:12">
      <c r="A3526" s="3" t="s">
        <v>2194</v>
      </c>
      <c r="B3526" s="3" t="s">
        <v>3663</v>
      </c>
      <c r="C3526" s="3" t="s">
        <v>3664</v>
      </c>
      <c r="D3526" s="3"/>
      <c r="E3526" s="2" t="str">
        <f>HYPERLINK("https://old.ukr-mobil.com/derzhatel_sim_karti_iphone_6_silver_11613", "Перейти")</f>
        <v>Перейти</v>
      </c>
      <c r="F3526" s="2">
        <v>11613</v>
      </c>
      <c r="G3526" s="4" t="s">
        <v>3670</v>
      </c>
      <c r="H3526" s="1">
        <v>0</v>
      </c>
      <c r="I3526" s="1">
        <v>0</v>
      </c>
      <c r="J3526" s="1">
        <v>0</v>
      </c>
      <c r="K3526" s="2">
        <v>0.4</v>
      </c>
    </row>
    <row r="3527" spans="1:12">
      <c r="A3527" s="3" t="s">
        <v>2194</v>
      </c>
      <c r="B3527" s="3" t="s">
        <v>3663</v>
      </c>
      <c r="C3527" s="3" t="s">
        <v>3664</v>
      </c>
      <c r="D3527" s="3"/>
      <c r="E3527" s="2" t="str">
        <f>HYPERLINK("https://old.ukr-mobil.com/derzhatel_sim_karti_iphone_6_space_gray_11611", "Перейти")</f>
        <v>Перейти</v>
      </c>
      <c r="F3527" s="2">
        <v>11611</v>
      </c>
      <c r="G3527" s="4" t="s">
        <v>3671</v>
      </c>
      <c r="H3527" s="1">
        <v>0</v>
      </c>
      <c r="I3527" s="1">
        <v>0</v>
      </c>
      <c r="J3527" s="1">
        <v>0</v>
      </c>
      <c r="K3527" s="2">
        <v>0.4</v>
      </c>
    </row>
    <row r="3528" spans="1:12">
      <c r="A3528" s="3" t="s">
        <v>2194</v>
      </c>
      <c r="B3528" s="3" t="s">
        <v>3663</v>
      </c>
      <c r="C3528" s="3" t="s">
        <v>3664</v>
      </c>
      <c r="D3528" s="3"/>
      <c r="E3528" s="2" t="str">
        <f>HYPERLINK("https://old.ukr-mobil.com/derzhatel_sim_karti_iphone_6s_plus_gold_11627", "Перейти")</f>
        <v>Перейти</v>
      </c>
      <c r="F3528" s="2">
        <v>11627</v>
      </c>
      <c r="G3528" s="4" t="s">
        <v>3672</v>
      </c>
      <c r="H3528" s="1">
        <v>8</v>
      </c>
      <c r="I3528" s="1">
        <v>0</v>
      </c>
      <c r="J3528" s="1">
        <v>0</v>
      </c>
      <c r="K3528" s="2">
        <v>0.5</v>
      </c>
    </row>
    <row r="3529" spans="1:12">
      <c r="A3529" s="3" t="s">
        <v>2194</v>
      </c>
      <c r="B3529" s="3" t="s">
        <v>3663</v>
      </c>
      <c r="C3529" s="3" t="s">
        <v>3664</v>
      </c>
      <c r="D3529" s="3"/>
      <c r="E3529" s="2" t="str">
        <f>HYPERLINK("https://old.ukr-mobil.com/derzhatel_sim_karti_iphone_6s_plus_rose_gold_11628", "Перейти")</f>
        <v>Перейти</v>
      </c>
      <c r="F3529" s="2">
        <v>11628</v>
      </c>
      <c r="G3529" s="4" t="s">
        <v>3673</v>
      </c>
      <c r="H3529" s="1">
        <v>8</v>
      </c>
      <c r="I3529" s="1">
        <v>0</v>
      </c>
      <c r="J3529" s="1">
        <v>0</v>
      </c>
      <c r="K3529" s="2">
        <v>0.5</v>
      </c>
    </row>
    <row r="3530" spans="1:12">
      <c r="A3530" s="3" t="s">
        <v>2194</v>
      </c>
      <c r="B3530" s="3" t="s">
        <v>3663</v>
      </c>
      <c r="C3530" s="3" t="s">
        <v>3664</v>
      </c>
      <c r="D3530" s="3"/>
      <c r="E3530" s="2" t="str">
        <f>HYPERLINK("https://old.ukr-mobil.com/derzhatel_sim_karti_iphone_6s_plus_silver_11626", "Перейти")</f>
        <v>Перейти</v>
      </c>
      <c r="F3530" s="2">
        <v>11626</v>
      </c>
      <c r="G3530" s="4" t="s">
        <v>3674</v>
      </c>
      <c r="H3530" s="1">
        <v>6</v>
      </c>
      <c r="I3530" s="1">
        <v>0</v>
      </c>
      <c r="J3530" s="1">
        <v>0</v>
      </c>
      <c r="K3530" s="2">
        <v>0.5</v>
      </c>
    </row>
    <row r="3531" spans="1:12">
      <c r="A3531" s="3" t="s">
        <v>2194</v>
      </c>
      <c r="B3531" s="3" t="s">
        <v>3663</v>
      </c>
      <c r="C3531" s="3" t="s">
        <v>3664</v>
      </c>
      <c r="D3531" s="3"/>
      <c r="E3531" s="2" t="str">
        <f>HYPERLINK("https://old.ukr-mobil.com/derzhatel_sim_karti_iphone_6s_plus_space_gray_11625", "Перейти")</f>
        <v>Перейти</v>
      </c>
      <c r="F3531" s="2">
        <v>11625</v>
      </c>
      <c r="G3531" s="4" t="s">
        <v>3675</v>
      </c>
      <c r="H3531" s="1">
        <v>7</v>
      </c>
      <c r="I3531" s="1">
        <v>0</v>
      </c>
      <c r="J3531" s="1">
        <v>0</v>
      </c>
      <c r="K3531" s="2">
        <v>0.5</v>
      </c>
    </row>
    <row r="3532" spans="1:12">
      <c r="A3532" s="3" t="s">
        <v>2194</v>
      </c>
      <c r="B3532" s="3" t="s">
        <v>3663</v>
      </c>
      <c r="C3532" s="3" t="s">
        <v>3664</v>
      </c>
      <c r="D3532" s="3"/>
      <c r="E3532" s="2" t="str">
        <f>HYPERLINK("https://old.ukr-mobil.com/derzhatel_sim_karti_iphone_6s_gold_11616", "Перейти")</f>
        <v>Перейти</v>
      </c>
      <c r="F3532" s="2">
        <v>11616</v>
      </c>
      <c r="G3532" s="4" t="s">
        <v>3676</v>
      </c>
      <c r="H3532" s="1">
        <v>6</v>
      </c>
      <c r="I3532" s="1">
        <v>0</v>
      </c>
      <c r="J3532" s="1">
        <v>0</v>
      </c>
      <c r="K3532" s="2">
        <v>0.5</v>
      </c>
    </row>
    <row r="3533" spans="1:12">
      <c r="A3533" s="3" t="s">
        <v>2194</v>
      </c>
      <c r="B3533" s="3" t="s">
        <v>3663</v>
      </c>
      <c r="C3533" s="3" t="s">
        <v>3664</v>
      </c>
      <c r="D3533" s="3"/>
      <c r="E3533" s="2" t="str">
        <f>HYPERLINK("https://old.ukr-mobil.com/derzhatel_sim_karti_iphone_6s_rose_gold_11617", "Перейти")</f>
        <v>Перейти</v>
      </c>
      <c r="F3533" s="2">
        <v>11617</v>
      </c>
      <c r="G3533" s="4" t="s">
        <v>3677</v>
      </c>
      <c r="H3533" s="1">
        <v>0</v>
      </c>
      <c r="I3533" s="1">
        <v>0</v>
      </c>
      <c r="J3533" s="1">
        <v>0</v>
      </c>
      <c r="K3533" s="2">
        <v>0.5</v>
      </c>
    </row>
    <row r="3534" spans="1:12">
      <c r="A3534" s="3" t="s">
        <v>2194</v>
      </c>
      <c r="B3534" s="3" t="s">
        <v>3663</v>
      </c>
      <c r="C3534" s="3" t="s">
        <v>3664</v>
      </c>
      <c r="D3534" s="3"/>
      <c r="E3534" s="2" t="str">
        <f>HYPERLINK("https://old.ukr-mobil.com/derzhatel_sim_karti_iphone_6s_silver_11615", "Перейти")</f>
        <v>Перейти</v>
      </c>
      <c r="F3534" s="2">
        <v>11615</v>
      </c>
      <c r="G3534" s="4" t="s">
        <v>3678</v>
      </c>
      <c r="H3534" s="1">
        <v>0</v>
      </c>
      <c r="I3534" s="1">
        <v>0</v>
      </c>
      <c r="J3534" s="1">
        <v>0</v>
      </c>
      <c r="K3534" s="2">
        <v>0.5</v>
      </c>
    </row>
    <row r="3535" spans="1:12">
      <c r="A3535" s="3" t="s">
        <v>2194</v>
      </c>
      <c r="B3535" s="3" t="s">
        <v>3663</v>
      </c>
      <c r="C3535" s="3" t="s">
        <v>3664</v>
      </c>
      <c r="D3535" s="3"/>
      <c r="E3535" s="2" t="str">
        <f>HYPERLINK("https://old.ukr-mobil.com/derzhatel_sim_karti_iphone_6s_space_gray_11614", "Перейти")</f>
        <v>Перейти</v>
      </c>
      <c r="F3535" s="2">
        <v>11614</v>
      </c>
      <c r="G3535" s="4" t="s">
        <v>3679</v>
      </c>
      <c r="H3535" s="1">
        <v>0</v>
      </c>
      <c r="I3535" s="1">
        <v>0</v>
      </c>
      <c r="J3535" s="1">
        <v>0</v>
      </c>
      <c r="K3535" s="2">
        <v>0.5</v>
      </c>
    </row>
    <row r="3536" spans="1:12">
      <c r="A3536" s="3" t="s">
        <v>2194</v>
      </c>
      <c r="B3536" s="3" t="s">
        <v>3663</v>
      </c>
      <c r="C3536" s="3" t="s">
        <v>3664</v>
      </c>
      <c r="D3536" s="3"/>
      <c r="E3536" s="2" t="str">
        <f>HYPERLINK("https://old.ukr-mobil.com/derzhatel_sim_karti_iphone_7_plus_rose_gold_11634", "Перейти")</f>
        <v>Перейти</v>
      </c>
      <c r="F3536" s="2">
        <v>11634</v>
      </c>
      <c r="G3536" s="4" t="s">
        <v>3680</v>
      </c>
      <c r="H3536" s="1">
        <v>2</v>
      </c>
      <c r="I3536" s="1">
        <v>0</v>
      </c>
      <c r="J3536" s="1">
        <v>0</v>
      </c>
      <c r="K3536" s="2">
        <v>0.76</v>
      </c>
    </row>
    <row r="3537" spans="1:12">
      <c r="A3537" s="3" t="s">
        <v>2194</v>
      </c>
      <c r="B3537" s="3" t="s">
        <v>3663</v>
      </c>
      <c r="C3537" s="3" t="s">
        <v>3664</v>
      </c>
      <c r="D3537" s="3"/>
      <c r="E3537" s="2" t="str">
        <f>HYPERLINK("https://old.ukr-mobil.com/derzhatel_sim_karti_iphone_7_plus_silver_11632", "Перейти")</f>
        <v>Перейти</v>
      </c>
      <c r="F3537" s="2">
        <v>11632</v>
      </c>
      <c r="G3537" s="4" t="s">
        <v>3681</v>
      </c>
      <c r="H3537" s="1">
        <v>4</v>
      </c>
      <c r="I3537" s="1">
        <v>0</v>
      </c>
      <c r="J3537" s="1">
        <v>0</v>
      </c>
      <c r="K3537" s="2">
        <v>0.76</v>
      </c>
    </row>
    <row r="3538" spans="1:12">
      <c r="A3538" s="3" t="s">
        <v>2194</v>
      </c>
      <c r="B3538" s="3" t="s">
        <v>3663</v>
      </c>
      <c r="C3538" s="3" t="s">
        <v>3664</v>
      </c>
      <c r="D3538" s="3"/>
      <c r="E3538" s="2" t="str">
        <f>HYPERLINK("https://old.ukr-mobil.com/derzhatel_sim_karti_iphone_7_gold_11620", "Перейти")</f>
        <v>Перейти</v>
      </c>
      <c r="F3538" s="2">
        <v>11620</v>
      </c>
      <c r="G3538" s="4" t="s">
        <v>3682</v>
      </c>
      <c r="H3538" s="1">
        <v>6</v>
      </c>
      <c r="I3538" s="1">
        <v>0</v>
      </c>
      <c r="J3538" s="1">
        <v>0</v>
      </c>
      <c r="K3538" s="2">
        <v>0.76</v>
      </c>
    </row>
    <row r="3539" spans="1:12">
      <c r="A3539" s="3" t="s">
        <v>2194</v>
      </c>
      <c r="B3539" s="3" t="s">
        <v>3663</v>
      </c>
      <c r="C3539" s="3" t="s">
        <v>3664</v>
      </c>
      <c r="D3539" s="3"/>
      <c r="E3539" s="2" t="str">
        <f>HYPERLINK("https://old.ukr-mobil.com/derzhatel_sim_karti_meizu_m3_note_silver_10000583", "Перейти")</f>
        <v>Перейти</v>
      </c>
      <c r="F3539" s="2">
        <v>10000583</v>
      </c>
      <c r="G3539" s="4" t="s">
        <v>3683</v>
      </c>
      <c r="H3539" s="1">
        <v>0</v>
      </c>
      <c r="I3539" s="1">
        <v>0</v>
      </c>
      <c r="J3539" s="1">
        <v>0</v>
      </c>
      <c r="K3539" s="2">
        <v>1.0</v>
      </c>
    </row>
    <row r="3540" spans="1:12">
      <c r="A3540" s="3" t="s">
        <v>2194</v>
      </c>
      <c r="B3540" s="3" t="s">
        <v>3663</v>
      </c>
      <c r="C3540" s="3" t="s">
        <v>3664</v>
      </c>
      <c r="D3540" s="3"/>
      <c r="E3540" s="2" t="str">
        <f>HYPERLINK("https://old.ukr-mobil.com/index.php?route=product&amp;product_id=10004835", "Перейти")</f>
        <v>Перейти</v>
      </c>
      <c r="F3540" s="2">
        <v>10004835</v>
      </c>
      <c r="G3540" s="4" t="s">
        <v>3684</v>
      </c>
      <c r="H3540" s="1">
        <v>0</v>
      </c>
      <c r="I3540" s="1">
        <v>0</v>
      </c>
      <c r="J3540" s="1">
        <v>0</v>
      </c>
      <c r="K3540" s="2">
        <v>3.0</v>
      </c>
    </row>
    <row r="3541" spans="1:12">
      <c r="A3541" s="3" t="s">
        <v>2194</v>
      </c>
      <c r="B3541" s="3" t="s">
        <v>3663</v>
      </c>
      <c r="C3541" s="3" t="s">
        <v>3664</v>
      </c>
      <c r="D3541" s="3"/>
      <c r="E3541" s="2" t="str">
        <f>HYPERLINK("https://old.ukr-mobil.com/index.php?route=product&amp;product_id=10004836", "Перейти")</f>
        <v>Перейти</v>
      </c>
      <c r="F3541" s="2">
        <v>10004836</v>
      </c>
      <c r="G3541" s="4" t="s">
        <v>3685</v>
      </c>
      <c r="H3541" s="1">
        <v>3</v>
      </c>
      <c r="I3541" s="1">
        <v>1</v>
      </c>
      <c r="J3541" s="1">
        <v>1</v>
      </c>
      <c r="K3541" s="2">
        <v>2.5</v>
      </c>
    </row>
    <row r="3542" spans="1:12">
      <c r="A3542" s="3" t="s">
        <v>2194</v>
      </c>
      <c r="B3542" s="3" t="s">
        <v>3663</v>
      </c>
      <c r="C3542" s="3" t="s">
        <v>3664</v>
      </c>
      <c r="D3542" s="3"/>
      <c r="E3542" s="2" t="str">
        <f>HYPERLINK("https://old.ukr-mobil.com/index.php?route=product&amp;product_id=10004840", "Перейти")</f>
        <v>Перейти</v>
      </c>
      <c r="F3542" s="2">
        <v>10004840</v>
      </c>
      <c r="G3542" s="4" t="s">
        <v>3686</v>
      </c>
      <c r="H3542" s="1">
        <v>0</v>
      </c>
      <c r="I3542" s="1">
        <v>0</v>
      </c>
      <c r="J3542" s="1">
        <v>0</v>
      </c>
      <c r="K3542" s="2">
        <v>2.5</v>
      </c>
    </row>
    <row r="3543" spans="1:12">
      <c r="A3543" s="3" t="s">
        <v>2194</v>
      </c>
      <c r="B3543" s="3" t="s">
        <v>3663</v>
      </c>
      <c r="C3543" s="3" t="s">
        <v>3664</v>
      </c>
      <c r="D3543" s="3"/>
      <c r="E3543" s="2" t="str">
        <f>HYPERLINK("https://old.ukr-mobil.com/index.php?route=product&amp;product_id=10004841", "Перейти")</f>
        <v>Перейти</v>
      </c>
      <c r="F3543" s="2">
        <v>10004841</v>
      </c>
      <c r="G3543" s="4" t="s">
        <v>3687</v>
      </c>
      <c r="H3543" s="1">
        <v>0</v>
      </c>
      <c r="I3543" s="1">
        <v>0</v>
      </c>
      <c r="J3543" s="1">
        <v>0</v>
      </c>
      <c r="K3543" s="2">
        <v>2.5</v>
      </c>
    </row>
    <row r="3544" spans="1:12">
      <c r="A3544" s="3" t="s">
        <v>2194</v>
      </c>
      <c r="B3544" s="3" t="s">
        <v>3663</v>
      </c>
      <c r="C3544" s="3" t="s">
        <v>3664</v>
      </c>
      <c r="D3544" s="3"/>
      <c r="E3544" s="2" t="str">
        <f>HYPERLINK("https://old.ukr-mobil.com/index.php?route=product&amp;product_id=10004839", "Перейти")</f>
        <v>Перейти</v>
      </c>
      <c r="F3544" s="2">
        <v>10004839</v>
      </c>
      <c r="G3544" s="4" t="s">
        <v>3688</v>
      </c>
      <c r="H3544" s="1">
        <v>0</v>
      </c>
      <c r="I3544" s="1">
        <v>0</v>
      </c>
      <c r="J3544" s="1">
        <v>0</v>
      </c>
      <c r="K3544" s="2">
        <v>2.5</v>
      </c>
    </row>
    <row r="3545" spans="1:12">
      <c r="A3545" s="3" t="s">
        <v>2194</v>
      </c>
      <c r="B3545" s="3" t="s">
        <v>3663</v>
      </c>
      <c r="C3545" s="3" t="s">
        <v>3664</v>
      </c>
      <c r="D3545" s="3"/>
      <c r="E3545" s="2" t="str">
        <f>HYPERLINK("https://old.ukr-mobil.com/index.php?route=product&amp;product_id=10004837", "Перейти")</f>
        <v>Перейти</v>
      </c>
      <c r="F3545" s="2">
        <v>10004837</v>
      </c>
      <c r="G3545" s="4" t="s">
        <v>3689</v>
      </c>
      <c r="H3545" s="1">
        <v>0</v>
      </c>
      <c r="I3545" s="1">
        <v>0</v>
      </c>
      <c r="J3545" s="1">
        <v>0</v>
      </c>
      <c r="K3545" s="2">
        <v>3.5</v>
      </c>
    </row>
    <row r="3546" spans="1:12">
      <c r="A3546" s="3" t="s">
        <v>2194</v>
      </c>
      <c r="B3546" s="3" t="s">
        <v>3663</v>
      </c>
      <c r="C3546" s="3" t="s">
        <v>3664</v>
      </c>
      <c r="D3546" s="3"/>
      <c r="E3546" s="2" t="str">
        <f>HYPERLINK("https://old.ukr-mobil.com/index.php?route=product&amp;product_id=10004838", "Перейти")</f>
        <v>Перейти</v>
      </c>
      <c r="F3546" s="2">
        <v>10004838</v>
      </c>
      <c r="G3546" s="4" t="s">
        <v>3690</v>
      </c>
      <c r="H3546" s="1">
        <v>0</v>
      </c>
      <c r="I3546" s="1">
        <v>1</v>
      </c>
      <c r="J3546" s="1">
        <v>0</v>
      </c>
      <c r="K3546" s="2">
        <v>2.5</v>
      </c>
    </row>
    <row r="3547" spans="1:12">
      <c r="A3547" s="3" t="s">
        <v>2194</v>
      </c>
      <c r="B3547" s="3" t="s">
        <v>3663</v>
      </c>
      <c r="C3547" s="3" t="s">
        <v>3664</v>
      </c>
      <c r="D3547" s="3"/>
      <c r="E3547" s="2" t="str">
        <f>HYPERLINK("https://old.ukr-mobil.com/index.php?route=product&amp;product_id=10005139", "Перейти")</f>
        <v>Перейти</v>
      </c>
      <c r="F3547" s="2">
        <v>10005139</v>
      </c>
      <c r="G3547" s="4" t="s">
        <v>3691</v>
      </c>
      <c r="H3547" s="1">
        <v>0</v>
      </c>
      <c r="I3547" s="1">
        <v>0</v>
      </c>
      <c r="J3547" s="1">
        <v>0</v>
      </c>
      <c r="K3547" s="2">
        <v>0.0</v>
      </c>
    </row>
    <row r="3548" spans="1:12">
      <c r="A3548" s="3" t="s">
        <v>2194</v>
      </c>
      <c r="B3548" s="3" t="s">
        <v>3663</v>
      </c>
      <c r="C3548" s="3" t="s">
        <v>3664</v>
      </c>
      <c r="D3548" s="3"/>
      <c r="E3548" s="2" t="str">
        <f>HYPERLINK("https://old.ukr-mobil.com/index.php?route=product&amp;product_id=10005137", "Перейти")</f>
        <v>Перейти</v>
      </c>
      <c r="F3548" s="2">
        <v>10005137</v>
      </c>
      <c r="G3548" s="4" t="s">
        <v>3692</v>
      </c>
      <c r="H3548" s="1">
        <v>0</v>
      </c>
      <c r="I3548" s="1">
        <v>0</v>
      </c>
      <c r="J3548" s="1">
        <v>0</v>
      </c>
      <c r="K3548" s="2">
        <v>2.5</v>
      </c>
    </row>
    <row r="3549" spans="1:12">
      <c r="A3549" s="3" t="s">
        <v>2194</v>
      </c>
      <c r="B3549" s="3" t="s">
        <v>3663</v>
      </c>
      <c r="C3549" s="3" t="s">
        <v>3664</v>
      </c>
      <c r="D3549" s="3"/>
      <c r="E3549" s="2" t="str">
        <f>HYPERLINK("https://old.ukr-mobil.com/index.php?route=product&amp;product_id=10005138", "Перейти")</f>
        <v>Перейти</v>
      </c>
      <c r="F3549" s="2">
        <v>10005138</v>
      </c>
      <c r="G3549" s="4" t="s">
        <v>3693</v>
      </c>
      <c r="H3549" s="1">
        <v>1</v>
      </c>
      <c r="I3549" s="1">
        <v>1</v>
      </c>
      <c r="J3549" s="1">
        <v>1</v>
      </c>
      <c r="K3549" s="2">
        <v>2.5</v>
      </c>
    </row>
    <row r="3550" spans="1:12">
      <c r="A3550" s="3" t="s">
        <v>2194</v>
      </c>
      <c r="B3550" s="3" t="s">
        <v>3663</v>
      </c>
      <c r="C3550" s="3" t="s">
        <v>3664</v>
      </c>
      <c r="D3550" s="3"/>
      <c r="E3550" s="2" t="str">
        <f>HYPERLINK("https://old.ukr-mobil.com/index.php?route=product&amp;product_id=10005135", "Перейти")</f>
        <v>Перейти</v>
      </c>
      <c r="F3550" s="2">
        <v>10005135</v>
      </c>
      <c r="G3550" s="4" t="s">
        <v>3694</v>
      </c>
      <c r="H3550" s="1">
        <v>0</v>
      </c>
      <c r="I3550" s="1">
        <v>1</v>
      </c>
      <c r="J3550" s="1">
        <v>2</v>
      </c>
      <c r="K3550" s="2">
        <v>2.5</v>
      </c>
    </row>
    <row r="3551" spans="1:12">
      <c r="A3551" s="3" t="s">
        <v>2194</v>
      </c>
      <c r="B3551" s="3" t="s">
        <v>3663</v>
      </c>
      <c r="C3551" s="3" t="s">
        <v>3664</v>
      </c>
      <c r="D3551" s="3"/>
      <c r="E3551" s="2" t="str">
        <f>HYPERLINK("https://old.ukr-mobil.com/index.php?route=product&amp;product_id=10005134", "Перейти")</f>
        <v>Перейти</v>
      </c>
      <c r="F3551" s="2">
        <v>10005134</v>
      </c>
      <c r="G3551" s="4" t="s">
        <v>3695</v>
      </c>
      <c r="H3551" s="1">
        <v>0</v>
      </c>
      <c r="I3551" s="1">
        <v>0</v>
      </c>
      <c r="J3551" s="1">
        <v>0</v>
      </c>
      <c r="K3551" s="2">
        <v>2.5</v>
      </c>
    </row>
    <row r="3552" spans="1:12">
      <c r="A3552" s="3" t="s">
        <v>2194</v>
      </c>
      <c r="B3552" s="3" t="s">
        <v>3663</v>
      </c>
      <c r="C3552" s="3" t="s">
        <v>3664</v>
      </c>
      <c r="D3552" s="3"/>
      <c r="E3552" s="2" t="str">
        <f>HYPERLINK("https://old.ukr-mobil.com/index.php?route=product&amp;product_id=10005136", "Перейти")</f>
        <v>Перейти</v>
      </c>
      <c r="F3552" s="2">
        <v>10005136</v>
      </c>
      <c r="G3552" s="4" t="s">
        <v>3696</v>
      </c>
      <c r="H3552" s="1">
        <v>5</v>
      </c>
      <c r="I3552" s="1">
        <v>3</v>
      </c>
      <c r="J3552" s="1">
        <v>2</v>
      </c>
      <c r="K3552" s="2">
        <v>2.5</v>
      </c>
    </row>
    <row r="3553" spans="1:12">
      <c r="A3553" s="3" t="s">
        <v>2194</v>
      </c>
      <c r="B3553" s="3" t="s">
        <v>3663</v>
      </c>
      <c r="C3553" s="3" t="s">
        <v>3664</v>
      </c>
      <c r="D3553" s="3"/>
      <c r="E3553" s="2" t="str">
        <f>HYPERLINK("https://old.ukr-mobil.com/index.php?route=product&amp;product_id=10005142", "Перейти")</f>
        <v>Перейти</v>
      </c>
      <c r="F3553" s="2">
        <v>10005142</v>
      </c>
      <c r="G3553" s="4" t="s">
        <v>3697</v>
      </c>
      <c r="H3553" s="1">
        <v>1</v>
      </c>
      <c r="I3553" s="1">
        <v>1</v>
      </c>
      <c r="J3553" s="1">
        <v>2</v>
      </c>
      <c r="K3553" s="2">
        <v>3.25</v>
      </c>
    </row>
    <row r="3554" spans="1:12">
      <c r="A3554" s="3" t="s">
        <v>2194</v>
      </c>
      <c r="B3554" s="3" t="s">
        <v>3663</v>
      </c>
      <c r="C3554" s="3" t="s">
        <v>3664</v>
      </c>
      <c r="D3554" s="3"/>
      <c r="E3554" s="2" t="str">
        <f>HYPERLINK("https://old.ukr-mobil.com/index.php?route=product&amp;product_id=10005143", "Перейти")</f>
        <v>Перейти</v>
      </c>
      <c r="F3554" s="2">
        <v>10005143</v>
      </c>
      <c r="G3554" s="4" t="s">
        <v>3698</v>
      </c>
      <c r="H3554" s="1">
        <v>1</v>
      </c>
      <c r="I3554" s="1">
        <v>1</v>
      </c>
      <c r="J3554" s="1">
        <v>0</v>
      </c>
      <c r="K3554" s="2">
        <v>3.25</v>
      </c>
    </row>
    <row r="3555" spans="1:12">
      <c r="A3555" s="3" t="s">
        <v>2194</v>
      </c>
      <c r="B3555" s="3" t="s">
        <v>3663</v>
      </c>
      <c r="C3555" s="3" t="s">
        <v>3664</v>
      </c>
      <c r="D3555" s="3"/>
      <c r="E3555" s="2" t="str">
        <f>HYPERLINK("https://old.ukr-mobil.com/index.php?route=product&amp;product_id=10005141", "Перейти")</f>
        <v>Перейти</v>
      </c>
      <c r="F3555" s="2">
        <v>10005141</v>
      </c>
      <c r="G3555" s="4" t="s">
        <v>3699</v>
      </c>
      <c r="H3555" s="1">
        <v>1</v>
      </c>
      <c r="I3555" s="1">
        <v>3</v>
      </c>
      <c r="J3555" s="1">
        <v>2</v>
      </c>
      <c r="K3555" s="2">
        <v>3.25</v>
      </c>
    </row>
    <row r="3556" spans="1:12">
      <c r="A3556" s="3" t="s">
        <v>2194</v>
      </c>
      <c r="B3556" s="3" t="s">
        <v>3663</v>
      </c>
      <c r="C3556" s="3" t="s">
        <v>3664</v>
      </c>
      <c r="D3556" s="3"/>
      <c r="E3556" s="2" t="str">
        <f>HYPERLINK("https://old.ukr-mobil.com/index.php?route=product&amp;product_id=10005145", "Перейти")</f>
        <v>Перейти</v>
      </c>
      <c r="F3556" s="2">
        <v>10005145</v>
      </c>
      <c r="G3556" s="4" t="s">
        <v>3700</v>
      </c>
      <c r="H3556" s="1">
        <v>0</v>
      </c>
      <c r="I3556" s="1">
        <v>0</v>
      </c>
      <c r="J3556" s="1">
        <v>1</v>
      </c>
      <c r="K3556" s="2">
        <v>3.4</v>
      </c>
    </row>
    <row r="3557" spans="1:12">
      <c r="A3557" s="3" t="s">
        <v>2194</v>
      </c>
      <c r="B3557" s="3" t="s">
        <v>3663</v>
      </c>
      <c r="C3557" s="3" t="s">
        <v>3664</v>
      </c>
      <c r="D3557" s="3"/>
      <c r="E3557" s="2" t="str">
        <f>HYPERLINK("https://old.ukr-mobil.com/index.php?route=product&amp;product_id=10005146", "Перейти")</f>
        <v>Перейти</v>
      </c>
      <c r="F3557" s="2">
        <v>10005146</v>
      </c>
      <c r="G3557" s="4" t="s">
        <v>3701</v>
      </c>
      <c r="H3557" s="1">
        <v>4</v>
      </c>
      <c r="I3557" s="1">
        <v>3</v>
      </c>
      <c r="J3557" s="1">
        <v>2</v>
      </c>
      <c r="K3557" s="2">
        <v>3.4</v>
      </c>
    </row>
    <row r="3558" spans="1:12">
      <c r="A3558" s="3" t="s">
        <v>2194</v>
      </c>
      <c r="B3558" s="3" t="s">
        <v>3663</v>
      </c>
      <c r="C3558" s="3" t="s">
        <v>3664</v>
      </c>
      <c r="D3558" s="3"/>
      <c r="E3558" s="2" t="str">
        <f>HYPERLINK("https://old.ukr-mobil.com/index.php?route=product&amp;product_id=10005147", "Перейти")</f>
        <v>Перейти</v>
      </c>
      <c r="F3558" s="2">
        <v>10005147</v>
      </c>
      <c r="G3558" s="4" t="s">
        <v>3702</v>
      </c>
      <c r="H3558" s="1">
        <v>4</v>
      </c>
      <c r="I3558" s="1">
        <v>3</v>
      </c>
      <c r="J3558" s="1">
        <v>2</v>
      </c>
      <c r="K3558" s="2">
        <v>3.4</v>
      </c>
    </row>
    <row r="3559" spans="1:12">
      <c r="A3559" s="3" t="s">
        <v>2194</v>
      </c>
      <c r="B3559" s="3" t="s">
        <v>3663</v>
      </c>
      <c r="C3559" s="3" t="s">
        <v>3664</v>
      </c>
      <c r="D3559" s="3"/>
      <c r="E3559" s="2" t="str">
        <f>HYPERLINK("https://old.ukr-mobil.com/index.php?route=product&amp;product_id=10005148", "Перейти")</f>
        <v>Перейти</v>
      </c>
      <c r="F3559" s="2">
        <v>10005148</v>
      </c>
      <c r="G3559" s="4" t="s">
        <v>3703</v>
      </c>
      <c r="H3559" s="1">
        <v>0</v>
      </c>
      <c r="I3559" s="1">
        <v>0</v>
      </c>
      <c r="J3559" s="1">
        <v>0</v>
      </c>
      <c r="K3559" s="2">
        <v>3.4</v>
      </c>
    </row>
    <row r="3560" spans="1:12">
      <c r="A3560" s="3" t="s">
        <v>2194</v>
      </c>
      <c r="B3560" s="3" t="s">
        <v>3663</v>
      </c>
      <c r="C3560" s="3" t="s">
        <v>3664</v>
      </c>
      <c r="D3560" s="3"/>
      <c r="E3560" s="2" t="str">
        <f>HYPERLINK("https://old.ukr-mobil.com/index.php?route=product&amp;product_id=10005150", "Перейти")</f>
        <v>Перейти</v>
      </c>
      <c r="F3560" s="2">
        <v>10005150</v>
      </c>
      <c r="G3560" s="4" t="s">
        <v>3704</v>
      </c>
      <c r="H3560" s="1">
        <v>5</v>
      </c>
      <c r="I3560" s="1">
        <v>1</v>
      </c>
      <c r="J3560" s="1">
        <v>2</v>
      </c>
      <c r="K3560" s="2">
        <v>3.4</v>
      </c>
    </row>
    <row r="3561" spans="1:12">
      <c r="A3561" s="3" t="s">
        <v>2194</v>
      </c>
      <c r="B3561" s="3" t="s">
        <v>3663</v>
      </c>
      <c r="C3561" s="3" t="s">
        <v>3664</v>
      </c>
      <c r="D3561" s="3"/>
      <c r="E3561" s="2" t="str">
        <f>HYPERLINK("https://old.ukr-mobil.com/index.php?route=product&amp;product_id=10005149", "Перейти")</f>
        <v>Перейти</v>
      </c>
      <c r="F3561" s="2">
        <v>10005149</v>
      </c>
      <c r="G3561" s="4" t="s">
        <v>3705</v>
      </c>
      <c r="H3561" s="1">
        <v>3</v>
      </c>
      <c r="I3561" s="1">
        <v>2</v>
      </c>
      <c r="J3561" s="1">
        <v>2</v>
      </c>
      <c r="K3561" s="2">
        <v>3.4</v>
      </c>
    </row>
    <row r="3562" spans="1:12">
      <c r="A3562" s="3" t="s">
        <v>2194</v>
      </c>
      <c r="B3562" s="3" t="s">
        <v>3663</v>
      </c>
      <c r="C3562" s="3" t="s">
        <v>3664</v>
      </c>
      <c r="D3562" s="3"/>
      <c r="E3562" s="2" t="str">
        <f>HYPERLINK("https://old.ukr-mobil.com/index.php?route=product&amp;product_id=10005154", "Перейти")</f>
        <v>Перейти</v>
      </c>
      <c r="F3562" s="2">
        <v>10005154</v>
      </c>
      <c r="G3562" s="4" t="s">
        <v>3706</v>
      </c>
      <c r="H3562" s="1">
        <v>0</v>
      </c>
      <c r="I3562" s="1">
        <v>0</v>
      </c>
      <c r="J3562" s="1">
        <v>0</v>
      </c>
      <c r="K3562" s="2">
        <v>3.4</v>
      </c>
    </row>
    <row r="3563" spans="1:12">
      <c r="A3563" s="3" t="s">
        <v>2194</v>
      </c>
      <c r="B3563" s="3" t="s">
        <v>3663</v>
      </c>
      <c r="C3563" s="3" t="s">
        <v>3664</v>
      </c>
      <c r="D3563" s="3"/>
      <c r="E3563" s="2" t="str">
        <f>HYPERLINK("https://old.ukr-mobil.com/index.php?route=product&amp;product_id=10005151", "Перейти")</f>
        <v>Перейти</v>
      </c>
      <c r="F3563" s="2">
        <v>10005151</v>
      </c>
      <c r="G3563" s="4" t="s">
        <v>3707</v>
      </c>
      <c r="H3563" s="1">
        <v>0</v>
      </c>
      <c r="I3563" s="1">
        <v>0</v>
      </c>
      <c r="J3563" s="1">
        <v>0</v>
      </c>
      <c r="K3563" s="2">
        <v>3.4</v>
      </c>
    </row>
    <row r="3564" spans="1:12">
      <c r="A3564" s="3" t="s">
        <v>2194</v>
      </c>
      <c r="B3564" s="3" t="s">
        <v>3663</v>
      </c>
      <c r="C3564" s="3" t="s">
        <v>3664</v>
      </c>
      <c r="D3564" s="3"/>
      <c r="E3564" s="2" t="str">
        <f>HYPERLINK("https://old.ukr-mobil.com/index.php?route=product&amp;product_id=10005152", "Перейти")</f>
        <v>Перейти</v>
      </c>
      <c r="F3564" s="2">
        <v>10005152</v>
      </c>
      <c r="G3564" s="4" t="s">
        <v>3708</v>
      </c>
      <c r="H3564" s="1">
        <v>5</v>
      </c>
      <c r="I3564" s="1">
        <v>3</v>
      </c>
      <c r="J3564" s="1">
        <v>2</v>
      </c>
      <c r="K3564" s="2">
        <v>3.4</v>
      </c>
    </row>
    <row r="3565" spans="1:12">
      <c r="A3565" s="3" t="s">
        <v>2194</v>
      </c>
      <c r="B3565" s="3" t="s">
        <v>3663</v>
      </c>
      <c r="C3565" s="3" t="s">
        <v>3664</v>
      </c>
      <c r="D3565" s="3"/>
      <c r="E3565" s="2" t="str">
        <f>HYPERLINK("https://old.ukr-mobil.com/index.php?route=product&amp;product_id=10005153", "Перейти")</f>
        <v>Перейти</v>
      </c>
      <c r="F3565" s="2">
        <v>10005153</v>
      </c>
      <c r="G3565" s="4" t="s">
        <v>3709</v>
      </c>
      <c r="H3565" s="1">
        <v>4</v>
      </c>
      <c r="I3565" s="1">
        <v>3</v>
      </c>
      <c r="J3565" s="1">
        <v>2</v>
      </c>
      <c r="K3565" s="2">
        <v>3.4</v>
      </c>
    </row>
    <row r="3566" spans="1:12">
      <c r="A3566" s="3" t="s">
        <v>2194</v>
      </c>
      <c r="B3566" s="3" t="s">
        <v>3663</v>
      </c>
      <c r="C3566" s="3" t="s">
        <v>3664</v>
      </c>
      <c r="D3566" s="3"/>
      <c r="E3566" s="2" t="str">
        <f>HYPERLINK("https://old.ukr-mobil.com/index.php?route=product&amp;product_id=10005155", "Перейти")</f>
        <v>Перейти</v>
      </c>
      <c r="F3566" s="2">
        <v>10005155</v>
      </c>
      <c r="G3566" s="4" t="s">
        <v>3710</v>
      </c>
      <c r="H3566" s="1">
        <v>0</v>
      </c>
      <c r="I3566" s="1">
        <v>0</v>
      </c>
      <c r="J3566" s="1">
        <v>0</v>
      </c>
      <c r="K3566" s="2">
        <v>3.4</v>
      </c>
    </row>
    <row r="3567" spans="1:12">
      <c r="A3567" s="3" t="s">
        <v>2194</v>
      </c>
      <c r="B3567" s="3" t="s">
        <v>3663</v>
      </c>
      <c r="C3567" s="3" t="s">
        <v>3664</v>
      </c>
      <c r="D3567" s="3"/>
      <c r="E3567" s="2" t="str">
        <f>HYPERLINK("https://old.ukr-mobil.com/index.php?route=product&amp;product_id=10005156", "Перейти")</f>
        <v>Перейти</v>
      </c>
      <c r="F3567" s="2">
        <v>10005156</v>
      </c>
      <c r="G3567" s="4" t="s">
        <v>3711</v>
      </c>
      <c r="H3567" s="1">
        <v>4</v>
      </c>
      <c r="I3567" s="1">
        <v>3</v>
      </c>
      <c r="J3567" s="1">
        <v>2</v>
      </c>
      <c r="K3567" s="2">
        <v>3.4</v>
      </c>
    </row>
    <row r="3568" spans="1:12">
      <c r="A3568" s="3" t="s">
        <v>2194</v>
      </c>
      <c r="B3568" s="3" t="s">
        <v>3663</v>
      </c>
      <c r="C3568" s="3" t="s">
        <v>3664</v>
      </c>
      <c r="D3568" s="3"/>
      <c r="E3568" s="2" t="str">
        <f>HYPERLINK("https://old.ukr-mobil.com/index.php?route=product&amp;product_id=10005157", "Перейти")</f>
        <v>Перейти</v>
      </c>
      <c r="F3568" s="2">
        <v>10005157</v>
      </c>
      <c r="G3568" s="4" t="s">
        <v>3712</v>
      </c>
      <c r="H3568" s="1">
        <v>5</v>
      </c>
      <c r="I3568" s="1">
        <v>2</v>
      </c>
      <c r="J3568" s="1">
        <v>2</v>
      </c>
      <c r="K3568" s="2">
        <v>3.4</v>
      </c>
    </row>
    <row r="3569" spans="1:12">
      <c r="A3569" s="3" t="s">
        <v>2194</v>
      </c>
      <c r="B3569" s="3" t="s">
        <v>3663</v>
      </c>
      <c r="C3569" s="3" t="s">
        <v>3664</v>
      </c>
      <c r="D3569" s="3"/>
      <c r="E3569" s="2" t="str">
        <f>HYPERLINK("https://old.ukr-mobil.com/index.php?route=product&amp;product_id=10005158", "Перейти")</f>
        <v>Перейти</v>
      </c>
      <c r="F3569" s="2">
        <v>10005158</v>
      </c>
      <c r="G3569" s="4" t="s">
        <v>3713</v>
      </c>
      <c r="H3569" s="1">
        <v>3</v>
      </c>
      <c r="I3569" s="1">
        <v>3</v>
      </c>
      <c r="J3569" s="1">
        <v>2</v>
      </c>
      <c r="K3569" s="2">
        <v>3.4</v>
      </c>
    </row>
    <row r="3570" spans="1:12">
      <c r="A3570" s="3" t="s">
        <v>2194</v>
      </c>
      <c r="B3570" s="3" t="s">
        <v>3663</v>
      </c>
      <c r="C3570" s="3" t="s">
        <v>3664</v>
      </c>
      <c r="D3570" s="3"/>
      <c r="E3570" s="2" t="str">
        <f>HYPERLINK("https://old.ukr-mobil.com/index.php?route=product&amp;product_id=10005159", "Перейти")</f>
        <v>Перейти</v>
      </c>
      <c r="F3570" s="2">
        <v>10005159</v>
      </c>
      <c r="G3570" s="4" t="s">
        <v>3714</v>
      </c>
      <c r="H3570" s="1">
        <v>0</v>
      </c>
      <c r="I3570" s="1">
        <v>0</v>
      </c>
      <c r="J3570" s="1">
        <v>0</v>
      </c>
      <c r="K3570" s="2">
        <v>3.4</v>
      </c>
    </row>
    <row r="3571" spans="1:12">
      <c r="A3571" s="3" t="s">
        <v>2194</v>
      </c>
      <c r="B3571" s="3" t="s">
        <v>3663</v>
      </c>
      <c r="C3571" s="3" t="s">
        <v>3664</v>
      </c>
      <c r="D3571" s="3"/>
      <c r="E3571" s="2" t="str">
        <f>HYPERLINK("https://old.ukr-mobil.com/index.php?route=product&amp;product_id=10005161", "Перейти")</f>
        <v>Перейти</v>
      </c>
      <c r="F3571" s="2">
        <v>10005161</v>
      </c>
      <c r="G3571" s="4" t="s">
        <v>3715</v>
      </c>
      <c r="H3571" s="1">
        <v>5</v>
      </c>
      <c r="I3571" s="1">
        <v>3</v>
      </c>
      <c r="J3571" s="1">
        <v>2</v>
      </c>
      <c r="K3571" s="2">
        <v>3.4</v>
      </c>
    </row>
    <row r="3572" spans="1:12">
      <c r="A3572" s="3" t="s">
        <v>2194</v>
      </c>
      <c r="B3572" s="3" t="s">
        <v>3663</v>
      </c>
      <c r="C3572" s="3" t="s">
        <v>3664</v>
      </c>
      <c r="D3572" s="3"/>
      <c r="E3572" s="2" t="str">
        <f>HYPERLINK("https://old.ukr-mobil.com/index.php?route=product&amp;product_id=10005162", "Перейти")</f>
        <v>Перейти</v>
      </c>
      <c r="F3572" s="2">
        <v>10005162</v>
      </c>
      <c r="G3572" s="4" t="s">
        <v>3716</v>
      </c>
      <c r="H3572" s="1">
        <v>0</v>
      </c>
      <c r="I3572" s="1">
        <v>3</v>
      </c>
      <c r="J3572" s="1">
        <v>2</v>
      </c>
      <c r="K3572" s="2">
        <v>3.4</v>
      </c>
    </row>
    <row r="3573" spans="1:12">
      <c r="A3573" s="3" t="s">
        <v>2194</v>
      </c>
      <c r="B3573" s="3" t="s">
        <v>3663</v>
      </c>
      <c r="C3573" s="3" t="s">
        <v>3664</v>
      </c>
      <c r="D3573" s="3"/>
      <c r="E3573" s="2" t="str">
        <f>HYPERLINK("https://old.ukr-mobil.com/index.php?route=product&amp;product_id=10005160", "Перейти")</f>
        <v>Перейти</v>
      </c>
      <c r="F3573" s="2">
        <v>10005160</v>
      </c>
      <c r="G3573" s="4" t="s">
        <v>3717</v>
      </c>
      <c r="H3573" s="1">
        <v>3</v>
      </c>
      <c r="I3573" s="1">
        <v>3</v>
      </c>
      <c r="J3573" s="1">
        <v>2</v>
      </c>
      <c r="K3573" s="2">
        <v>3.4</v>
      </c>
    </row>
    <row r="3574" spans="1:12">
      <c r="A3574" s="3" t="s">
        <v>2194</v>
      </c>
      <c r="B3574" s="3" t="s">
        <v>3663</v>
      </c>
      <c r="C3574" s="3" t="s">
        <v>3664</v>
      </c>
      <c r="D3574" s="3"/>
      <c r="E3574" s="2" t="str">
        <f>HYPERLINK("https://old.ukr-mobil.com/index.php?route=product&amp;product_id=10005163", "Перейти")</f>
        <v>Перейти</v>
      </c>
      <c r="F3574" s="2">
        <v>10005163</v>
      </c>
      <c r="G3574" s="4" t="s">
        <v>3718</v>
      </c>
      <c r="H3574" s="1">
        <v>0</v>
      </c>
      <c r="I3574" s="1">
        <v>0</v>
      </c>
      <c r="J3574" s="1">
        <v>0</v>
      </c>
      <c r="K3574" s="2">
        <v>3.4</v>
      </c>
    </row>
    <row r="3575" spans="1:12">
      <c r="A3575" s="3" t="s">
        <v>2194</v>
      </c>
      <c r="B3575" s="3" t="s">
        <v>3663</v>
      </c>
      <c r="C3575" s="3" t="s">
        <v>3664</v>
      </c>
      <c r="D3575" s="3"/>
      <c r="E3575" s="2" t="str">
        <f>HYPERLINK("https://old.ukr-mobil.com/index.php?route=product&amp;product_id=10005164", "Перейти")</f>
        <v>Перейти</v>
      </c>
      <c r="F3575" s="2">
        <v>10005164</v>
      </c>
      <c r="G3575" s="4" t="s">
        <v>3719</v>
      </c>
      <c r="H3575" s="1">
        <v>1</v>
      </c>
      <c r="I3575" s="1">
        <v>3</v>
      </c>
      <c r="J3575" s="1">
        <v>2</v>
      </c>
      <c r="K3575" s="2">
        <v>3.4</v>
      </c>
    </row>
    <row r="3576" spans="1:12">
      <c r="A3576" s="3" t="s">
        <v>2194</v>
      </c>
      <c r="B3576" s="3" t="s">
        <v>3663</v>
      </c>
      <c r="C3576" s="3" t="s">
        <v>3664</v>
      </c>
      <c r="D3576" s="3"/>
      <c r="E3576" s="2" t="str">
        <f>HYPERLINK("https://old.ukr-mobil.com/index.php?route=product&amp;product_id=10005167", "Перейти")</f>
        <v>Перейти</v>
      </c>
      <c r="F3576" s="2">
        <v>10005167</v>
      </c>
      <c r="G3576" s="4" t="s">
        <v>3720</v>
      </c>
      <c r="H3576" s="1">
        <v>0</v>
      </c>
      <c r="I3576" s="1">
        <v>2</v>
      </c>
      <c r="J3576" s="1">
        <v>1</v>
      </c>
      <c r="K3576" s="2">
        <v>3.4</v>
      </c>
    </row>
    <row r="3577" spans="1:12">
      <c r="A3577" s="3" t="s">
        <v>2194</v>
      </c>
      <c r="B3577" s="3" t="s">
        <v>3663</v>
      </c>
      <c r="C3577" s="3" t="s">
        <v>3664</v>
      </c>
      <c r="D3577" s="3"/>
      <c r="E3577" s="2" t="str">
        <f>HYPERLINK("https://old.ukr-mobil.com/index.php?route=product&amp;product_id=10005165", "Перейти")</f>
        <v>Перейти</v>
      </c>
      <c r="F3577" s="2">
        <v>10005165</v>
      </c>
      <c r="G3577" s="4" t="s">
        <v>3721</v>
      </c>
      <c r="H3577" s="1">
        <v>4</v>
      </c>
      <c r="I3577" s="1">
        <v>1</v>
      </c>
      <c r="J3577" s="1">
        <v>2</v>
      </c>
      <c r="K3577" s="2">
        <v>3.4</v>
      </c>
    </row>
    <row r="3578" spans="1:12">
      <c r="A3578" s="3" t="s">
        <v>2194</v>
      </c>
      <c r="B3578" s="3" t="s">
        <v>3663</v>
      </c>
      <c r="C3578" s="3" t="s">
        <v>3664</v>
      </c>
      <c r="D3578" s="3"/>
      <c r="E3578" s="2" t="str">
        <f>HYPERLINK("https://old.ukr-mobil.com/index.php?route=product&amp;product_id=10005166", "Перейти")</f>
        <v>Перейти</v>
      </c>
      <c r="F3578" s="2">
        <v>10005166</v>
      </c>
      <c r="G3578" s="4" t="s">
        <v>3722</v>
      </c>
      <c r="H3578" s="1">
        <v>4</v>
      </c>
      <c r="I3578" s="1">
        <v>3</v>
      </c>
      <c r="J3578" s="1">
        <v>2</v>
      </c>
      <c r="K3578" s="2">
        <v>3.4</v>
      </c>
    </row>
    <row r="3579" spans="1:12">
      <c r="A3579" s="3" t="s">
        <v>2194</v>
      </c>
      <c r="B3579" s="3" t="s">
        <v>3663</v>
      </c>
      <c r="C3579" s="3" t="s">
        <v>3664</v>
      </c>
      <c r="D3579" s="3"/>
      <c r="E3579" s="2" t="str">
        <f>HYPERLINK("https://old.ukr-mobil.com/index.php?route=product&amp;product_id=10005131", "Перейти")</f>
        <v>Перейти</v>
      </c>
      <c r="F3579" s="2">
        <v>10005131</v>
      </c>
      <c r="G3579" s="4" t="s">
        <v>3723</v>
      </c>
      <c r="H3579" s="1">
        <v>0</v>
      </c>
      <c r="I3579" s="1">
        <v>0</v>
      </c>
      <c r="J3579" s="1">
        <v>0</v>
      </c>
      <c r="K3579" s="2">
        <v>1.35</v>
      </c>
    </row>
    <row r="3580" spans="1:12">
      <c r="A3580" s="3" t="s">
        <v>2194</v>
      </c>
      <c r="B3580" s="3" t="s">
        <v>3663</v>
      </c>
      <c r="C3580" s="3" t="s">
        <v>3664</v>
      </c>
      <c r="D3580" s="3"/>
      <c r="E3580" s="2" t="str">
        <f>HYPERLINK("https://old.ukr-mobil.com/index.php?route=product&amp;product_id=10005133", "Перейти")</f>
        <v>Перейти</v>
      </c>
      <c r="F3580" s="2">
        <v>10005133</v>
      </c>
      <c r="G3580" s="4" t="s">
        <v>3724</v>
      </c>
      <c r="H3580" s="1">
        <v>4</v>
      </c>
      <c r="I3580" s="1">
        <v>3</v>
      </c>
      <c r="J3580" s="1">
        <v>1</v>
      </c>
      <c r="K3580" s="2">
        <v>1.35</v>
      </c>
    </row>
    <row r="3581" spans="1:12">
      <c r="A3581" s="3" t="s">
        <v>2194</v>
      </c>
      <c r="B3581" s="3" t="s">
        <v>3663</v>
      </c>
      <c r="C3581" s="3" t="s">
        <v>3664</v>
      </c>
      <c r="D3581" s="3"/>
      <c r="E3581" s="2" t="str">
        <f>HYPERLINK("https://old.ukr-mobil.com/index.php?route=product&amp;product_id=10005132", "Перейти")</f>
        <v>Перейти</v>
      </c>
      <c r="F3581" s="2">
        <v>10005132</v>
      </c>
      <c r="G3581" s="4" t="s">
        <v>3725</v>
      </c>
      <c r="H3581" s="1">
        <v>1</v>
      </c>
      <c r="I3581" s="1">
        <v>2</v>
      </c>
      <c r="J3581" s="1">
        <v>1</v>
      </c>
      <c r="K3581" s="2">
        <v>1.35</v>
      </c>
    </row>
    <row r="3582" spans="1:12">
      <c r="A3582" s="3" t="s">
        <v>2194</v>
      </c>
      <c r="B3582" s="3" t="s">
        <v>3663</v>
      </c>
      <c r="C3582" s="3" t="s">
        <v>3664</v>
      </c>
      <c r="D3582" s="3"/>
      <c r="E3582" s="2" t="str">
        <f>HYPERLINK("https://old.ukr-mobil.com/index.php?route=product&amp;product_id=10005128", "Перейти")</f>
        <v>Перейти</v>
      </c>
      <c r="F3582" s="2">
        <v>10005128</v>
      </c>
      <c r="G3582" s="4" t="s">
        <v>3726</v>
      </c>
      <c r="H3582" s="1">
        <v>0</v>
      </c>
      <c r="I3582" s="1">
        <v>0</v>
      </c>
      <c r="J3582" s="1">
        <v>0</v>
      </c>
      <c r="K3582" s="2">
        <v>1.3</v>
      </c>
    </row>
    <row r="3583" spans="1:12">
      <c r="A3583" s="3" t="s">
        <v>2194</v>
      </c>
      <c r="B3583" s="3" t="s">
        <v>3663</v>
      </c>
      <c r="C3583" s="3" t="s">
        <v>3664</v>
      </c>
      <c r="D3583" s="3"/>
      <c r="E3583" s="2" t="str">
        <f>HYPERLINK("https://old.ukr-mobil.com/index.php?route=product&amp;product_id=10005129", "Перейти")</f>
        <v>Перейти</v>
      </c>
      <c r="F3583" s="2">
        <v>10005129</v>
      </c>
      <c r="G3583" s="4" t="s">
        <v>3727</v>
      </c>
      <c r="H3583" s="1">
        <v>2</v>
      </c>
      <c r="I3583" s="1">
        <v>3</v>
      </c>
      <c r="J3583" s="1">
        <v>1</v>
      </c>
      <c r="K3583" s="2">
        <v>1.5</v>
      </c>
    </row>
    <row r="3584" spans="1:12">
      <c r="A3584" s="3" t="s">
        <v>2194</v>
      </c>
      <c r="B3584" s="3" t="s">
        <v>3663</v>
      </c>
      <c r="C3584" s="3" t="s">
        <v>3664</v>
      </c>
      <c r="D3584" s="3"/>
      <c r="E3584" s="2" t="str">
        <f>HYPERLINK("https://old.ukr-mobil.com/index.php?route=product&amp;product_id=10005130", "Перейти")</f>
        <v>Перейти</v>
      </c>
      <c r="F3584" s="2">
        <v>10005130</v>
      </c>
      <c r="G3584" s="4" t="s">
        <v>3728</v>
      </c>
      <c r="H3584" s="1">
        <v>3</v>
      </c>
      <c r="I3584" s="1">
        <v>3</v>
      </c>
      <c r="J3584" s="1">
        <v>2</v>
      </c>
      <c r="K3584" s="2">
        <v>1.35</v>
      </c>
    </row>
    <row r="3585" spans="1:12">
      <c r="A3585" s="3" t="s">
        <v>2194</v>
      </c>
      <c r="B3585" s="3" t="s">
        <v>3663</v>
      </c>
      <c r="C3585" s="3" t="s">
        <v>3664</v>
      </c>
      <c r="D3585" s="3"/>
      <c r="E3585" s="2" t="str">
        <f>HYPERLINK("https://old.ukr-mobil.com/index.php?route=product&amp;product_id=10005116", "Перейти")</f>
        <v>Перейти</v>
      </c>
      <c r="F3585" s="2">
        <v>10005116</v>
      </c>
      <c r="G3585" s="4" t="s">
        <v>3729</v>
      </c>
      <c r="H3585" s="1">
        <v>0</v>
      </c>
      <c r="I3585" s="1">
        <v>0</v>
      </c>
      <c r="J3585" s="1">
        <v>0</v>
      </c>
      <c r="K3585" s="2">
        <v>1.25</v>
      </c>
    </row>
    <row r="3586" spans="1:12">
      <c r="A3586" s="3" t="s">
        <v>2194</v>
      </c>
      <c r="B3586" s="3" t="s">
        <v>3663</v>
      </c>
      <c r="C3586" s="3" t="s">
        <v>3664</v>
      </c>
      <c r="D3586" s="3"/>
      <c r="E3586" s="2" t="str">
        <f>HYPERLINK("https://old.ukr-mobil.com/index.php?route=product&amp;product_id=10005126", "Перейти")</f>
        <v>Перейти</v>
      </c>
      <c r="F3586" s="2">
        <v>10005126</v>
      </c>
      <c r="G3586" s="4" t="s">
        <v>3730</v>
      </c>
      <c r="H3586" s="1">
        <v>0</v>
      </c>
      <c r="I3586" s="1">
        <v>2</v>
      </c>
      <c r="J3586" s="1">
        <v>1</v>
      </c>
      <c r="K3586" s="2">
        <v>1.5</v>
      </c>
    </row>
    <row r="3587" spans="1:12">
      <c r="A3587" s="3" t="s">
        <v>2194</v>
      </c>
      <c r="B3587" s="3" t="s">
        <v>3663</v>
      </c>
      <c r="C3587" s="3" t="s">
        <v>3664</v>
      </c>
      <c r="D3587" s="3"/>
      <c r="E3587" s="2" t="str">
        <f>HYPERLINK("https://old.ukr-mobil.com/index.php?route=product&amp;product_id=10005127", "Перейти")</f>
        <v>Перейти</v>
      </c>
      <c r="F3587" s="2">
        <v>10005127</v>
      </c>
      <c r="G3587" s="4" t="s">
        <v>3731</v>
      </c>
      <c r="H3587" s="1">
        <v>2</v>
      </c>
      <c r="I3587" s="1">
        <v>6</v>
      </c>
      <c r="J3587" s="1">
        <v>4</v>
      </c>
      <c r="K3587" s="2">
        <v>1.3</v>
      </c>
    </row>
    <row r="3588" spans="1:12">
      <c r="A3588" s="3" t="s">
        <v>2194</v>
      </c>
      <c r="B3588" s="3" t="s">
        <v>3663</v>
      </c>
      <c r="C3588" s="3" t="s">
        <v>3664</v>
      </c>
      <c r="D3588" s="3"/>
      <c r="E3588" s="2" t="str">
        <f>HYPERLINK("https://old.ukr-mobil.com/index.php?route=product&amp;product_id=10005117", "Перейти")</f>
        <v>Перейти</v>
      </c>
      <c r="F3588" s="2">
        <v>10005117</v>
      </c>
      <c r="G3588" s="4" t="s">
        <v>3732</v>
      </c>
      <c r="H3588" s="1">
        <v>0</v>
      </c>
      <c r="I3588" s="1">
        <v>0</v>
      </c>
      <c r="J3588" s="1">
        <v>0</v>
      </c>
      <c r="K3588" s="2">
        <v>1.35</v>
      </c>
    </row>
    <row r="3589" spans="1:12">
      <c r="A3589" s="3" t="s">
        <v>2194</v>
      </c>
      <c r="B3589" s="3" t="s">
        <v>3663</v>
      </c>
      <c r="C3589" s="3" t="s">
        <v>3664</v>
      </c>
      <c r="D3589" s="3"/>
      <c r="E3589" s="2" t="str">
        <f>HYPERLINK("https://old.ukr-mobil.com/index.php?route=product&amp;product_id=10005112", "Перейти")</f>
        <v>Перейти</v>
      </c>
      <c r="F3589" s="2">
        <v>10005112</v>
      </c>
      <c r="G3589" s="4" t="s">
        <v>3733</v>
      </c>
      <c r="H3589" s="1">
        <v>4</v>
      </c>
      <c r="I3589" s="1">
        <v>3</v>
      </c>
      <c r="J3589" s="1">
        <v>2</v>
      </c>
      <c r="K3589" s="2">
        <v>1.5</v>
      </c>
    </row>
    <row r="3590" spans="1:12">
      <c r="A3590" s="3" t="s">
        <v>2194</v>
      </c>
      <c r="B3590" s="3" t="s">
        <v>3663</v>
      </c>
      <c r="C3590" s="3" t="s">
        <v>3664</v>
      </c>
      <c r="D3590" s="3"/>
      <c r="E3590" s="2" t="str">
        <f>HYPERLINK("https://old.ukr-mobil.com/index.php?route=product&amp;product_id=10005111", "Перейти")</f>
        <v>Перейти</v>
      </c>
      <c r="F3590" s="2">
        <v>10005111</v>
      </c>
      <c r="G3590" s="4" t="s">
        <v>3734</v>
      </c>
      <c r="H3590" s="1">
        <v>3</v>
      </c>
      <c r="I3590" s="1">
        <v>3</v>
      </c>
      <c r="J3590" s="1">
        <v>2</v>
      </c>
      <c r="K3590" s="2">
        <v>1.5</v>
      </c>
    </row>
    <row r="3591" spans="1:12">
      <c r="A3591" s="3" t="s">
        <v>2194</v>
      </c>
      <c r="B3591" s="3" t="s">
        <v>3663</v>
      </c>
      <c r="C3591" s="3" t="s">
        <v>3664</v>
      </c>
      <c r="D3591" s="3"/>
      <c r="E3591" s="2" t="str">
        <f>HYPERLINK("https://old.ukr-mobil.com/index.php?route=product&amp;product_id=10005110", "Перейти")</f>
        <v>Перейти</v>
      </c>
      <c r="F3591" s="2">
        <v>10005110</v>
      </c>
      <c r="G3591" s="4" t="s">
        <v>3735</v>
      </c>
      <c r="H3591" s="1">
        <v>0</v>
      </c>
      <c r="I3591" s="1">
        <v>2</v>
      </c>
      <c r="J3591" s="1">
        <v>0</v>
      </c>
      <c r="K3591" s="2">
        <v>1.0</v>
      </c>
    </row>
    <row r="3592" spans="1:12">
      <c r="A3592" s="3" t="s">
        <v>2194</v>
      </c>
      <c r="B3592" s="3" t="s">
        <v>3663</v>
      </c>
      <c r="C3592" s="3" t="s">
        <v>3664</v>
      </c>
      <c r="D3592" s="3"/>
      <c r="E3592" s="2" t="str">
        <f>HYPERLINK("https://old.ukr-mobil.com/index.php?route=product&amp;product_id=10005107", "Перейти")</f>
        <v>Перейти</v>
      </c>
      <c r="F3592" s="2">
        <v>10005107</v>
      </c>
      <c r="G3592" s="4" t="s">
        <v>3736</v>
      </c>
      <c r="H3592" s="1">
        <v>0</v>
      </c>
      <c r="I3592" s="1">
        <v>0</v>
      </c>
      <c r="J3592" s="1">
        <v>0</v>
      </c>
      <c r="K3592" s="2">
        <v>0.95</v>
      </c>
    </row>
    <row r="3593" spans="1:12">
      <c r="A3593" s="3" t="s">
        <v>2194</v>
      </c>
      <c r="B3593" s="3" t="s">
        <v>3663</v>
      </c>
      <c r="C3593" s="3" t="s">
        <v>3664</v>
      </c>
      <c r="D3593" s="3"/>
      <c r="E3593" s="2" t="str">
        <f>HYPERLINK("https://old.ukr-mobil.com/index.php?route=product&amp;product_id=10005109", "Перейти")</f>
        <v>Перейти</v>
      </c>
      <c r="F3593" s="2">
        <v>10005109</v>
      </c>
      <c r="G3593" s="4" t="s">
        <v>3737</v>
      </c>
      <c r="H3593" s="1">
        <v>5</v>
      </c>
      <c r="I3593" s="1">
        <v>2</v>
      </c>
      <c r="J3593" s="1">
        <v>1</v>
      </c>
      <c r="K3593" s="2">
        <v>0.95</v>
      </c>
    </row>
    <row r="3594" spans="1:12">
      <c r="A3594" s="3" t="s">
        <v>2194</v>
      </c>
      <c r="B3594" s="3" t="s">
        <v>3663</v>
      </c>
      <c r="C3594" s="3" t="s">
        <v>3664</v>
      </c>
      <c r="D3594" s="3"/>
      <c r="E3594" s="2" t="str">
        <f>HYPERLINK("https://old.ukr-mobil.com/index.php?route=product&amp;product_id=10005108", "Перейти")</f>
        <v>Перейти</v>
      </c>
      <c r="F3594" s="2">
        <v>10005108</v>
      </c>
      <c r="G3594" s="4" t="s">
        <v>3738</v>
      </c>
      <c r="H3594" s="1">
        <v>0</v>
      </c>
      <c r="I3594" s="1">
        <v>1</v>
      </c>
      <c r="J3594" s="1">
        <v>1</v>
      </c>
      <c r="K3594" s="2">
        <v>0.95</v>
      </c>
    </row>
    <row r="3595" spans="1:12">
      <c r="A3595" s="3" t="s">
        <v>2194</v>
      </c>
      <c r="B3595" s="3" t="s">
        <v>3663</v>
      </c>
      <c r="C3595" s="3" t="s">
        <v>3664</v>
      </c>
      <c r="D3595" s="3"/>
      <c r="E3595" s="2" t="str">
        <f>HYPERLINK("https://old.ukr-mobil.com/index.php?route=product&amp;product_id=10005114", "Перейти")</f>
        <v>Перейти</v>
      </c>
      <c r="F3595" s="2">
        <v>10005114</v>
      </c>
      <c r="G3595" s="4" t="s">
        <v>3739</v>
      </c>
      <c r="H3595" s="1">
        <v>0</v>
      </c>
      <c r="I3595" s="1">
        <v>0</v>
      </c>
      <c r="J3595" s="1">
        <v>0</v>
      </c>
      <c r="K3595" s="2">
        <v>1.0</v>
      </c>
    </row>
    <row r="3596" spans="1:12">
      <c r="A3596" s="3" t="s">
        <v>2194</v>
      </c>
      <c r="B3596" s="3" t="s">
        <v>3663</v>
      </c>
      <c r="C3596" s="3" t="s">
        <v>3664</v>
      </c>
      <c r="D3596" s="3"/>
      <c r="E3596" s="2" t="str">
        <f>HYPERLINK("https://old.ukr-mobil.com/index.php?route=product&amp;product_id=10005113", "Перейти")</f>
        <v>Перейти</v>
      </c>
      <c r="F3596" s="2">
        <v>10005113</v>
      </c>
      <c r="G3596" s="4" t="s">
        <v>3740</v>
      </c>
      <c r="H3596" s="1">
        <v>0</v>
      </c>
      <c r="I3596" s="1">
        <v>0</v>
      </c>
      <c r="J3596" s="1">
        <v>0</v>
      </c>
      <c r="K3596" s="2">
        <v>1.0</v>
      </c>
    </row>
    <row r="3597" spans="1:12">
      <c r="A3597" s="3" t="s">
        <v>2194</v>
      </c>
      <c r="B3597" s="3" t="s">
        <v>3663</v>
      </c>
      <c r="C3597" s="3" t="s">
        <v>3664</v>
      </c>
      <c r="D3597" s="3"/>
      <c r="E3597" s="2" t="str">
        <f>HYPERLINK("https://old.ukr-mobil.com/index.php?route=product&amp;product_id=10005105", "Перейти")</f>
        <v>Перейти</v>
      </c>
      <c r="F3597" s="2">
        <v>10005105</v>
      </c>
      <c r="G3597" s="4" t="s">
        <v>3741</v>
      </c>
      <c r="H3597" s="1">
        <v>0</v>
      </c>
      <c r="I3597" s="1">
        <v>1</v>
      </c>
      <c r="J3597" s="1">
        <v>1</v>
      </c>
      <c r="K3597" s="2">
        <v>1.5</v>
      </c>
    </row>
    <row r="3598" spans="1:12">
      <c r="A3598" s="3" t="s">
        <v>2194</v>
      </c>
      <c r="B3598" s="3" t="s">
        <v>3663</v>
      </c>
      <c r="C3598" s="3" t="s">
        <v>3664</v>
      </c>
      <c r="D3598" s="3"/>
      <c r="E3598" s="2" t="str">
        <f>HYPERLINK("https://old.ukr-mobil.com/index.php?route=product&amp;product_id=10005106", "Перейти")</f>
        <v>Перейти</v>
      </c>
      <c r="F3598" s="2">
        <v>10005106</v>
      </c>
      <c r="G3598" s="4" t="s">
        <v>3742</v>
      </c>
      <c r="H3598" s="1">
        <v>0</v>
      </c>
      <c r="I3598" s="1">
        <v>3</v>
      </c>
      <c r="J3598" s="1">
        <v>1</v>
      </c>
      <c r="K3598" s="2">
        <v>1.5</v>
      </c>
    </row>
    <row r="3599" spans="1:12">
      <c r="A3599" s="3" t="s">
        <v>2194</v>
      </c>
      <c r="B3599" s="3" t="s">
        <v>3663</v>
      </c>
      <c r="C3599" s="3" t="s">
        <v>3664</v>
      </c>
      <c r="D3599" s="3"/>
      <c r="E3599" s="2" t="str">
        <f>HYPERLINK("https://old.ukr-mobil.com/index.php?route=product&amp;product_id=10005103", "Перейти")</f>
        <v>Перейти</v>
      </c>
      <c r="F3599" s="2">
        <v>10005103</v>
      </c>
      <c r="G3599" s="4" t="s">
        <v>3743</v>
      </c>
      <c r="H3599" s="1">
        <v>3</v>
      </c>
      <c r="I3599" s="1">
        <v>3</v>
      </c>
      <c r="J3599" s="1">
        <v>2</v>
      </c>
      <c r="K3599" s="2">
        <v>1.25</v>
      </c>
    </row>
    <row r="3600" spans="1:12">
      <c r="A3600" s="3" t="s">
        <v>2194</v>
      </c>
      <c r="B3600" s="3" t="s">
        <v>3663</v>
      </c>
      <c r="C3600" s="3" t="s">
        <v>3664</v>
      </c>
      <c r="D3600" s="3"/>
      <c r="E3600" s="2" t="str">
        <f>HYPERLINK("https://old.ukr-mobil.com/index.php?route=product&amp;product_id=10005104", "Перейти")</f>
        <v>Перейти</v>
      </c>
      <c r="F3600" s="2">
        <v>10005104</v>
      </c>
      <c r="G3600" s="4" t="s">
        <v>3744</v>
      </c>
      <c r="H3600" s="1">
        <v>0</v>
      </c>
      <c r="I3600" s="1">
        <v>2</v>
      </c>
      <c r="J3600" s="1">
        <v>1</v>
      </c>
      <c r="K3600" s="2">
        <v>1.25</v>
      </c>
    </row>
    <row r="3601" spans="1:12">
      <c r="A3601" s="3" t="s">
        <v>2194</v>
      </c>
      <c r="B3601" s="3" t="s">
        <v>3663</v>
      </c>
      <c r="C3601" s="3" t="s">
        <v>3664</v>
      </c>
      <c r="D3601" s="3"/>
      <c r="E3601" s="2" t="str">
        <f>HYPERLINK("https://old.ukr-mobil.com/derzhatel_sim_karty_google_pixel_4a_black_10002735", "Перейти")</f>
        <v>Перейти</v>
      </c>
      <c r="F3601" s="2">
        <v>10002735</v>
      </c>
      <c r="G3601" s="4" t="s">
        <v>3745</v>
      </c>
      <c r="H3601" s="1">
        <v>2</v>
      </c>
      <c r="I3601" s="1">
        <v>3</v>
      </c>
      <c r="J3601" s="1">
        <v>0</v>
      </c>
      <c r="K3601" s="2">
        <v>4.0</v>
      </c>
    </row>
    <row r="3602" spans="1:12">
      <c r="A3602" s="3" t="s">
        <v>2194</v>
      </c>
      <c r="B3602" s="3" t="s">
        <v>3663</v>
      </c>
      <c r="C3602" s="3" t="s">
        <v>3664</v>
      </c>
      <c r="D3602" s="3"/>
      <c r="E3602" s="2" t="str">
        <f>HYPERLINK("https://old.ukr-mobil.com/derzhatel_sim_karty_google_pixel_4a_white_10002736", "Перейти")</f>
        <v>Перейти</v>
      </c>
      <c r="F3602" s="2">
        <v>10002736</v>
      </c>
      <c r="G3602" s="4" t="s">
        <v>3746</v>
      </c>
      <c r="H3602" s="1">
        <v>0</v>
      </c>
      <c r="I3602" s="1">
        <v>3</v>
      </c>
      <c r="J3602" s="1">
        <v>0</v>
      </c>
      <c r="K3602" s="2">
        <v>4.0</v>
      </c>
    </row>
    <row r="3603" spans="1:12">
      <c r="A3603" s="3" t="s">
        <v>2194</v>
      </c>
      <c r="B3603" s="3" t="s">
        <v>3663</v>
      </c>
      <c r="C3603" s="3" t="s">
        <v>3664</v>
      </c>
      <c r="D3603" s="3"/>
      <c r="E3603" s="2" t="str">
        <f>HYPERLINK("https://old.ukr-mobil.com/derzhatel_sim-karty_samsung_g930f_galaxy_s7_blue_9186", "Перейти")</f>
        <v>Перейти</v>
      </c>
      <c r="F3603" s="2">
        <v>9186</v>
      </c>
      <c r="G3603" s="4" t="s">
        <v>3747</v>
      </c>
      <c r="H3603" s="1">
        <v>0</v>
      </c>
      <c r="I3603" s="1">
        <v>0</v>
      </c>
      <c r="J3603" s="1">
        <v>0</v>
      </c>
      <c r="K3603" s="2">
        <v>1.01</v>
      </c>
    </row>
    <row r="3604" spans="1:12">
      <c r="A3604" s="3" t="s">
        <v>2194</v>
      </c>
      <c r="B3604" s="3" t="s">
        <v>3663</v>
      </c>
      <c r="C3604" s="3" t="s">
        <v>3664</v>
      </c>
      <c r="D3604" s="3"/>
      <c r="E3604" s="2" t="str">
        <f>HYPERLINK("https://old.ukr-mobil.com/derzhatel_sim-karty_sony_d6502_xperia_z2_d6503_xperia_z2_9174", "Перейти")</f>
        <v>Перейти</v>
      </c>
      <c r="F3604" s="2">
        <v>9174</v>
      </c>
      <c r="G3604" s="4" t="s">
        <v>3748</v>
      </c>
      <c r="H3604" s="1">
        <v>0</v>
      </c>
      <c r="I3604" s="1">
        <v>0</v>
      </c>
      <c r="J3604" s="1">
        <v>0</v>
      </c>
      <c r="K3604" s="2">
        <v>1.51</v>
      </c>
    </row>
    <row r="3605" spans="1:12">
      <c r="A3605" s="3" t="s">
        <v>2194</v>
      </c>
      <c r="B3605" s="3" t="s">
        <v>3663</v>
      </c>
      <c r="C3605" s="3" t="s">
        <v>3749</v>
      </c>
      <c r="D3605" s="3"/>
      <c r="E3605" s="2" t="str">
        <f>HYPERLINK("https://old.ukr-mobil.com/index.php?route=product&amp;product_id=10004967", "Перейти")</f>
        <v>Перейти</v>
      </c>
      <c r="F3605" s="2">
        <v>10004967</v>
      </c>
      <c r="G3605" s="4" t="s">
        <v>3750</v>
      </c>
      <c r="H3605" s="1">
        <v>0</v>
      </c>
      <c r="I3605" s="1">
        <v>1</v>
      </c>
      <c r="J3605" s="1">
        <v>0</v>
      </c>
      <c r="K3605" s="2">
        <v>3.5</v>
      </c>
    </row>
    <row r="3606" spans="1:12">
      <c r="A3606" s="3" t="s">
        <v>2194</v>
      </c>
      <c r="B3606" s="3" t="s">
        <v>3663</v>
      </c>
      <c r="C3606" s="3" t="s">
        <v>3749</v>
      </c>
      <c r="D3606" s="3"/>
      <c r="E3606" s="2" t="str">
        <f>HYPERLINK("https://old.ukr-mobil.com/zadnyaya_kryshka_iphone_11_pro_max_original_white_10000484", "Перейти")</f>
        <v>Перейти</v>
      </c>
      <c r="F3606" s="2">
        <v>10000484</v>
      </c>
      <c r="G3606" s="4" t="s">
        <v>3751</v>
      </c>
      <c r="H3606" s="1">
        <v>2</v>
      </c>
      <c r="I3606" s="1">
        <v>0</v>
      </c>
      <c r="J3606" s="1">
        <v>0</v>
      </c>
      <c r="K3606" s="2">
        <v>5.0</v>
      </c>
    </row>
    <row r="3607" spans="1:12">
      <c r="A3607" s="3" t="s">
        <v>2194</v>
      </c>
      <c r="B3607" s="3" t="s">
        <v>3663</v>
      </c>
      <c r="C3607" s="3" t="s">
        <v>3749</v>
      </c>
      <c r="D3607" s="3"/>
      <c r="E3607" s="2" t="str">
        <f>HYPERLINK("https://old.ukr-mobil.com/zadnyaya_kryshka_apple_iphone_11_pro_max_bolshoj_vyrez_pod_kameru_original_gold_10002644", "Перейти")</f>
        <v>Перейти</v>
      </c>
      <c r="F3607" s="2">
        <v>10002644</v>
      </c>
      <c r="G3607" s="4" t="s">
        <v>3752</v>
      </c>
      <c r="H3607" s="1">
        <v>5</v>
      </c>
      <c r="I3607" s="1">
        <v>2</v>
      </c>
      <c r="J3607" s="1">
        <v>0</v>
      </c>
      <c r="K3607" s="2">
        <v>6.5</v>
      </c>
    </row>
    <row r="3608" spans="1:12">
      <c r="A3608" s="3" t="s">
        <v>2194</v>
      </c>
      <c r="B3608" s="3" t="s">
        <v>3663</v>
      </c>
      <c r="C3608" s="3" t="s">
        <v>3749</v>
      </c>
      <c r="D3608" s="3"/>
      <c r="E3608" s="2" t="str">
        <f>HYPERLINK("https://old.ukr-mobil.com/zadnyaya_kryshka_apple_iphone_11_pro_max_bolshoj_vyrez_pod_kameru_original_midnight_green_10002645", "Перейти")</f>
        <v>Перейти</v>
      </c>
      <c r="F3608" s="2">
        <v>10002645</v>
      </c>
      <c r="G3608" s="4" t="s">
        <v>3753</v>
      </c>
      <c r="H3608" s="1">
        <v>0</v>
      </c>
      <c r="I3608" s="1">
        <v>0</v>
      </c>
      <c r="J3608" s="1">
        <v>2</v>
      </c>
      <c r="K3608" s="2">
        <v>6.0</v>
      </c>
    </row>
    <row r="3609" spans="1:12">
      <c r="A3609" s="3" t="s">
        <v>2194</v>
      </c>
      <c r="B3609" s="3" t="s">
        <v>3663</v>
      </c>
      <c r="C3609" s="3" t="s">
        <v>3749</v>
      </c>
      <c r="D3609" s="3"/>
      <c r="E3609" s="2" t="str">
        <f>HYPERLINK("https://old.ukr-mobil.com/zadnyaya_kryshka_apple_iphone_11_pro_max_bolshoj_vyrez_pod_kameru_original_space_gray_10002646", "Перейти")</f>
        <v>Перейти</v>
      </c>
      <c r="F3609" s="2">
        <v>10002646</v>
      </c>
      <c r="G3609" s="4" t="s">
        <v>3754</v>
      </c>
      <c r="H3609" s="1">
        <v>20</v>
      </c>
      <c r="I3609" s="1">
        <v>2</v>
      </c>
      <c r="J3609" s="1">
        <v>0</v>
      </c>
      <c r="K3609" s="2">
        <v>6.0</v>
      </c>
    </row>
    <row r="3610" spans="1:12">
      <c r="A3610" s="3" t="s">
        <v>2194</v>
      </c>
      <c r="B3610" s="3" t="s">
        <v>3663</v>
      </c>
      <c r="C3610" s="3" t="s">
        <v>3749</v>
      </c>
      <c r="D3610" s="3"/>
      <c r="E3610" s="2" t="str">
        <f>HYPERLINK("https://old.ukr-mobil.com/zadnyaya_kryshka_apple_iphone_11_pro_max_bolshoj_vyrez_pod_kameru_original_white_10002647", "Перейти")</f>
        <v>Перейти</v>
      </c>
      <c r="F3610" s="2">
        <v>10002647</v>
      </c>
      <c r="G3610" s="4" t="s">
        <v>3755</v>
      </c>
      <c r="H3610" s="1">
        <v>11</v>
      </c>
      <c r="I3610" s="1">
        <v>3</v>
      </c>
      <c r="J3610" s="1">
        <v>0</v>
      </c>
      <c r="K3610" s="2">
        <v>7.0</v>
      </c>
    </row>
    <row r="3611" spans="1:12">
      <c r="A3611" s="3" t="s">
        <v>2194</v>
      </c>
      <c r="B3611" s="3" t="s">
        <v>3663</v>
      </c>
      <c r="C3611" s="3" t="s">
        <v>3749</v>
      </c>
      <c r="D3611" s="3"/>
      <c r="E3611" s="2" t="str">
        <f>HYPERLINK("https://old.ukr-mobil.com/zadnyaya_kryshka_iphone_11_pro_original_white_10000481", "Перейти")</f>
        <v>Перейти</v>
      </c>
      <c r="F3611" s="2">
        <v>10000481</v>
      </c>
      <c r="G3611" s="4" t="s">
        <v>3756</v>
      </c>
      <c r="H3611" s="1">
        <v>3</v>
      </c>
      <c r="I3611" s="1">
        <v>0</v>
      </c>
      <c r="J3611" s="1">
        <v>0</v>
      </c>
      <c r="K3611" s="2">
        <v>7.8</v>
      </c>
    </row>
    <row r="3612" spans="1:12">
      <c r="A3612" s="3" t="s">
        <v>2194</v>
      </c>
      <c r="B3612" s="3" t="s">
        <v>3663</v>
      </c>
      <c r="C3612" s="3" t="s">
        <v>3749</v>
      </c>
      <c r="D3612" s="3"/>
      <c r="E3612" s="2" t="str">
        <f>HYPERLINK("https://old.ukr-mobil.com/zadnyaya_kryshka_iphone_11_pro_original_midnight_green_10000486", "Перейти")</f>
        <v>Перейти</v>
      </c>
      <c r="F3612" s="2">
        <v>10000486</v>
      </c>
      <c r="G3612" s="4" t="s">
        <v>3757</v>
      </c>
      <c r="H3612" s="1">
        <v>10</v>
      </c>
      <c r="I3612" s="1">
        <v>7</v>
      </c>
      <c r="J3612" s="1">
        <v>2</v>
      </c>
      <c r="K3612" s="2">
        <v>5.0</v>
      </c>
    </row>
    <row r="3613" spans="1:12">
      <c r="A3613" s="3" t="s">
        <v>2194</v>
      </c>
      <c r="B3613" s="3" t="s">
        <v>3663</v>
      </c>
      <c r="C3613" s="3" t="s">
        <v>3749</v>
      </c>
      <c r="D3613" s="3"/>
      <c r="E3613" s="2" t="str">
        <f>HYPERLINK("https://old.ukr-mobil.com/zadnyaya_kryshka_apple_iphone_11_pro_bolshoj_vyrez_pod_kameru_original_gold_10002651", "Перейти")</f>
        <v>Перейти</v>
      </c>
      <c r="F3613" s="2">
        <v>10002651</v>
      </c>
      <c r="G3613" s="4" t="s">
        <v>3758</v>
      </c>
      <c r="H3613" s="1">
        <v>6</v>
      </c>
      <c r="I3613" s="1">
        <v>1</v>
      </c>
      <c r="J3613" s="1">
        <v>3</v>
      </c>
      <c r="K3613" s="2">
        <v>5.0</v>
      </c>
    </row>
    <row r="3614" spans="1:12">
      <c r="A3614" s="3" t="s">
        <v>2194</v>
      </c>
      <c r="B3614" s="3" t="s">
        <v>3663</v>
      </c>
      <c r="C3614" s="3" t="s">
        <v>3749</v>
      </c>
      <c r="D3614" s="3"/>
      <c r="E3614" s="2" t="str">
        <f>HYPERLINK("https://old.ukr-mobil.com/zadnyaya_kryshka_apple_iphone_11_pro_bolshoj_vyrez_pod_kameru_original_midnight_green_10002648", "Перейти")</f>
        <v>Перейти</v>
      </c>
      <c r="F3614" s="2">
        <v>10002648</v>
      </c>
      <c r="G3614" s="4" t="s">
        <v>3759</v>
      </c>
      <c r="H3614" s="1">
        <v>12</v>
      </c>
      <c r="I3614" s="1">
        <v>3</v>
      </c>
      <c r="J3614" s="1">
        <v>3</v>
      </c>
      <c r="K3614" s="2">
        <v>6.0</v>
      </c>
    </row>
    <row r="3615" spans="1:12">
      <c r="A3615" s="3" t="s">
        <v>2194</v>
      </c>
      <c r="B3615" s="3" t="s">
        <v>3663</v>
      </c>
      <c r="C3615" s="3" t="s">
        <v>3749</v>
      </c>
      <c r="D3615" s="3"/>
      <c r="E3615" s="2" t="str">
        <f>HYPERLINK("https://old.ukr-mobil.com/zadnyaya_kryshka_apple_iphone_11_pro_bolshoj_vyrez_pod_kameru_original_space_gray_10002649", "Перейти")</f>
        <v>Перейти</v>
      </c>
      <c r="F3615" s="2">
        <v>10002649</v>
      </c>
      <c r="G3615" s="4" t="s">
        <v>3760</v>
      </c>
      <c r="H3615" s="1">
        <v>0</v>
      </c>
      <c r="I3615" s="1">
        <v>0</v>
      </c>
      <c r="J3615" s="1">
        <v>0</v>
      </c>
      <c r="K3615" s="2">
        <v>5.25</v>
      </c>
    </row>
    <row r="3616" spans="1:12">
      <c r="A3616" s="3" t="s">
        <v>2194</v>
      </c>
      <c r="B3616" s="3" t="s">
        <v>3663</v>
      </c>
      <c r="C3616" s="3" t="s">
        <v>3749</v>
      </c>
      <c r="D3616" s="3"/>
      <c r="E3616" s="2" t="str">
        <f>HYPERLINK("https://old.ukr-mobil.com/zadnyaya_kryshka_apple_iphone_11_pro_bolshoj_vyrez_pod_kameru_original_white_10002650", "Перейти")</f>
        <v>Перейти</v>
      </c>
      <c r="F3616" s="2">
        <v>10002650</v>
      </c>
      <c r="G3616" s="4" t="s">
        <v>3761</v>
      </c>
      <c r="H3616" s="1">
        <v>6</v>
      </c>
      <c r="I3616" s="1">
        <v>6</v>
      </c>
      <c r="J3616" s="1">
        <v>5</v>
      </c>
      <c r="K3616" s="2">
        <v>7.0</v>
      </c>
    </row>
    <row r="3617" spans="1:12">
      <c r="A3617" s="3" t="s">
        <v>2194</v>
      </c>
      <c r="B3617" s="3" t="s">
        <v>3663</v>
      </c>
      <c r="C3617" s="3" t="s">
        <v>3749</v>
      </c>
      <c r="D3617" s="3"/>
      <c r="E3617" s="2" t="str">
        <f>HYPERLINK("https://old.ukr-mobil.com/zadnyaya_kryshka_iphone_11_dlya_zameny_bez_razborki_korpusa_black_10000477", "Перейти")</f>
        <v>Перейти</v>
      </c>
      <c r="F3617" s="2">
        <v>10000477</v>
      </c>
      <c r="G3617" s="4" t="s">
        <v>3762</v>
      </c>
      <c r="H3617" s="1">
        <v>0</v>
      </c>
      <c r="I3617" s="1">
        <v>0</v>
      </c>
      <c r="J3617" s="1">
        <v>0</v>
      </c>
      <c r="K3617" s="2">
        <v>2.0</v>
      </c>
    </row>
    <row r="3618" spans="1:12">
      <c r="A3618" s="3" t="s">
        <v>2194</v>
      </c>
      <c r="B3618" s="3" t="s">
        <v>3663</v>
      </c>
      <c r="C3618" s="3" t="s">
        <v>3749</v>
      </c>
      <c r="D3618" s="3"/>
      <c r="E3618" s="2" t="str">
        <f>HYPERLINK("https://old.ukr-mobil.com/zadnyaya_kryshka_iphone_11_dlya_zameny_bez_razborki_korpusa_green_10000478", "Перейти")</f>
        <v>Перейти</v>
      </c>
      <c r="F3618" s="2">
        <v>10000478</v>
      </c>
      <c r="G3618" s="4" t="s">
        <v>3763</v>
      </c>
      <c r="H3618" s="1">
        <v>0</v>
      </c>
      <c r="I3618" s="1">
        <v>0</v>
      </c>
      <c r="J3618" s="1">
        <v>0</v>
      </c>
      <c r="K3618" s="2">
        <v>3.0</v>
      </c>
    </row>
    <row r="3619" spans="1:12">
      <c r="A3619" s="3" t="s">
        <v>2194</v>
      </c>
      <c r="B3619" s="3" t="s">
        <v>3663</v>
      </c>
      <c r="C3619" s="3" t="s">
        <v>3749</v>
      </c>
      <c r="D3619" s="3"/>
      <c r="E3619" s="2" t="str">
        <f>HYPERLINK("https://old.ukr-mobil.com/zadnyaya_kryshka_iphone_11_dlya_zameny_bez_razborki_korpusa_purple_10000479", "Перейти")</f>
        <v>Перейти</v>
      </c>
      <c r="F3619" s="2">
        <v>10000479</v>
      </c>
      <c r="G3619" s="4" t="s">
        <v>3764</v>
      </c>
      <c r="H3619" s="1">
        <v>0</v>
      </c>
      <c r="I3619" s="1">
        <v>0</v>
      </c>
      <c r="J3619" s="1">
        <v>0</v>
      </c>
      <c r="K3619" s="2">
        <v>2.5</v>
      </c>
    </row>
    <row r="3620" spans="1:12">
      <c r="A3620" s="3" t="s">
        <v>2194</v>
      </c>
      <c r="B3620" s="3" t="s">
        <v>3663</v>
      </c>
      <c r="C3620" s="3" t="s">
        <v>3749</v>
      </c>
      <c r="D3620" s="3"/>
      <c r="E3620" s="2" t="str">
        <f>HYPERLINK("https://old.ukr-mobil.com/zadnyaya_kryshka_iphone_11_dlya_zameny_bez_razborki_korpusa_white_10000475", "Перейти")</f>
        <v>Перейти</v>
      </c>
      <c r="F3620" s="2">
        <v>10000475</v>
      </c>
      <c r="G3620" s="4" t="s">
        <v>3765</v>
      </c>
      <c r="H3620" s="1">
        <v>0</v>
      </c>
      <c r="I3620" s="1">
        <v>0</v>
      </c>
      <c r="J3620" s="1">
        <v>0</v>
      </c>
      <c r="K3620" s="2">
        <v>3.0</v>
      </c>
    </row>
    <row r="3621" spans="1:12">
      <c r="A3621" s="3" t="s">
        <v>2194</v>
      </c>
      <c r="B3621" s="3" t="s">
        <v>3663</v>
      </c>
      <c r="C3621" s="3" t="s">
        <v>3749</v>
      </c>
      <c r="D3621" s="3"/>
      <c r="E3621" s="2" t="str">
        <f>HYPERLINK("https://old.ukr-mobil.com/zadnyaya_kryshka_apple_iphone_11_bolshoj_vyrez_pod_kameru_original_prc_black_10002652", "Перейти")</f>
        <v>Перейти</v>
      </c>
      <c r="F3621" s="2">
        <v>10002652</v>
      </c>
      <c r="G3621" s="4" t="s">
        <v>3766</v>
      </c>
      <c r="H3621" s="1">
        <v>12</v>
      </c>
      <c r="I3621" s="1">
        <v>0</v>
      </c>
      <c r="J3621" s="1">
        <v>3</v>
      </c>
      <c r="K3621" s="2">
        <v>3.0</v>
      </c>
    </row>
    <row r="3622" spans="1:12">
      <c r="A3622" s="3" t="s">
        <v>2194</v>
      </c>
      <c r="B3622" s="3" t="s">
        <v>3663</v>
      </c>
      <c r="C3622" s="3" t="s">
        <v>3749</v>
      </c>
      <c r="D3622" s="3"/>
      <c r="E3622" s="2" t="str">
        <f>HYPERLINK("https://old.ukr-mobil.com/zadnyaya_kryshka_apple_iphone_11_bolshoj_vyrez_pod_kameru_original_prc_green_10002653", "Перейти")</f>
        <v>Перейти</v>
      </c>
      <c r="F3622" s="2">
        <v>10002653</v>
      </c>
      <c r="G3622" s="4" t="s">
        <v>3767</v>
      </c>
      <c r="H3622" s="1">
        <v>4</v>
      </c>
      <c r="I3622" s="1">
        <v>2</v>
      </c>
      <c r="J3622" s="1">
        <v>4</v>
      </c>
      <c r="K3622" s="2">
        <v>4.0</v>
      </c>
    </row>
    <row r="3623" spans="1:12">
      <c r="A3623" s="3" t="s">
        <v>2194</v>
      </c>
      <c r="B3623" s="3" t="s">
        <v>3663</v>
      </c>
      <c r="C3623" s="3" t="s">
        <v>3749</v>
      </c>
      <c r="D3623" s="3"/>
      <c r="E3623" s="2" t="str">
        <f>HYPERLINK("https://old.ukr-mobil.com/zadnyaya_kryshka_apple_iphone_11_bolshoj_vyrez_pod_kameru_original_prc_red_10002654", "Перейти")</f>
        <v>Перейти</v>
      </c>
      <c r="F3623" s="2">
        <v>10002654</v>
      </c>
      <c r="G3623" s="4" t="s">
        <v>3768</v>
      </c>
      <c r="H3623" s="1">
        <v>3</v>
      </c>
      <c r="I3623" s="1">
        <v>0</v>
      </c>
      <c r="J3623" s="1">
        <v>2</v>
      </c>
      <c r="K3623" s="2">
        <v>4.0</v>
      </c>
    </row>
    <row r="3624" spans="1:12">
      <c r="A3624" s="3" t="s">
        <v>2194</v>
      </c>
      <c r="B3624" s="3" t="s">
        <v>3663</v>
      </c>
      <c r="C3624" s="3" t="s">
        <v>3749</v>
      </c>
      <c r="D3624" s="3"/>
      <c r="E3624" s="2" t="str">
        <f>HYPERLINK("https://old.ukr-mobil.com/zadnyaya_kryshka_apple_iphone_12_pro_max_bolshoj_vyrez_pod_kameru_blue_10001599", "Перейти")</f>
        <v>Перейти</v>
      </c>
      <c r="F3624" s="2">
        <v>10001599</v>
      </c>
      <c r="G3624" s="4" t="s">
        <v>3769</v>
      </c>
      <c r="H3624" s="1">
        <v>3</v>
      </c>
      <c r="I3624" s="1">
        <v>0</v>
      </c>
      <c r="J3624" s="1">
        <v>0</v>
      </c>
      <c r="K3624" s="2">
        <v>5.0</v>
      </c>
    </row>
    <row r="3625" spans="1:12">
      <c r="A3625" s="3" t="s">
        <v>2194</v>
      </c>
      <c r="B3625" s="3" t="s">
        <v>3663</v>
      </c>
      <c r="C3625" s="3" t="s">
        <v>3749</v>
      </c>
      <c r="D3625" s="3"/>
      <c r="E3625" s="2" t="str">
        <f>HYPERLINK("https://old.ukr-mobil.com/zadnyaya_kryshka_apple_iphone_12_pro_max_bolshoj_vyrez_pod_kameru_gold_10001612", "Перейти")</f>
        <v>Перейти</v>
      </c>
      <c r="F3625" s="2">
        <v>10001612</v>
      </c>
      <c r="G3625" s="4" t="s">
        <v>3770</v>
      </c>
      <c r="H3625" s="1">
        <v>0</v>
      </c>
      <c r="I3625" s="1">
        <v>0</v>
      </c>
      <c r="J3625" s="1">
        <v>0</v>
      </c>
      <c r="K3625" s="2">
        <v>5.0</v>
      </c>
    </row>
    <row r="3626" spans="1:12">
      <c r="A3626" s="3" t="s">
        <v>2194</v>
      </c>
      <c r="B3626" s="3" t="s">
        <v>3663</v>
      </c>
      <c r="C3626" s="3" t="s">
        <v>3749</v>
      </c>
      <c r="D3626" s="3"/>
      <c r="E3626" s="2" t="str">
        <f>HYPERLINK("https://old.ukr-mobil.com/zadnyaya_kryshka_apple_iphone_12_pro_max_bolshoj_vyrez_pod_kameru_black_10001598", "Перейти")</f>
        <v>Перейти</v>
      </c>
      <c r="F3626" s="2">
        <v>10001598</v>
      </c>
      <c r="G3626" s="4" t="s">
        <v>3771</v>
      </c>
      <c r="H3626" s="1">
        <v>0</v>
      </c>
      <c r="I3626" s="1">
        <v>0</v>
      </c>
      <c r="J3626" s="1">
        <v>0</v>
      </c>
      <c r="K3626" s="2">
        <v>4.95</v>
      </c>
    </row>
    <row r="3627" spans="1:12">
      <c r="A3627" s="3" t="s">
        <v>2194</v>
      </c>
      <c r="B3627" s="3" t="s">
        <v>3663</v>
      </c>
      <c r="C3627" s="3" t="s">
        <v>3749</v>
      </c>
      <c r="D3627" s="3"/>
      <c r="E3627" s="2" t="str">
        <f>HYPERLINK("https://old.ukr-mobil.com/zadnyaya_kryshka_apple_iphone_12_pro_max_bolshoj_vyrez_pod_kameru_white_10001611", "Перейти")</f>
        <v>Перейти</v>
      </c>
      <c r="F3627" s="2">
        <v>10001611</v>
      </c>
      <c r="G3627" s="4" t="s">
        <v>3772</v>
      </c>
      <c r="H3627" s="1">
        <v>14</v>
      </c>
      <c r="I3627" s="1">
        <v>5</v>
      </c>
      <c r="J3627" s="1">
        <v>0</v>
      </c>
      <c r="K3627" s="2">
        <v>4.95</v>
      </c>
    </row>
    <row r="3628" spans="1:12">
      <c r="A3628" s="3" t="s">
        <v>2194</v>
      </c>
      <c r="B3628" s="3" t="s">
        <v>3663</v>
      </c>
      <c r="C3628" s="3" t="s">
        <v>3749</v>
      </c>
      <c r="D3628" s="3"/>
      <c r="E3628" s="2" t="str">
        <f>HYPERLINK("https://old.ukr-mobil.com/zadnyaya_kryshka_apple_iphone_12_pro_max_bolshoj_vyrez_pod_kameru_original_gold_10002957", "Перейти")</f>
        <v>Перейти</v>
      </c>
      <c r="F3628" s="2">
        <v>10002957</v>
      </c>
      <c r="G3628" s="4" t="s">
        <v>3773</v>
      </c>
      <c r="H3628" s="1">
        <v>29</v>
      </c>
      <c r="I3628" s="1">
        <v>10</v>
      </c>
      <c r="J3628" s="1">
        <v>0</v>
      </c>
      <c r="K3628" s="2">
        <v>9.0</v>
      </c>
    </row>
    <row r="3629" spans="1:12">
      <c r="A3629" s="3" t="s">
        <v>2194</v>
      </c>
      <c r="B3629" s="3" t="s">
        <v>3663</v>
      </c>
      <c r="C3629" s="3" t="s">
        <v>3749</v>
      </c>
      <c r="D3629" s="3"/>
      <c r="E3629" s="2" t="str">
        <f>HYPERLINK("https://old.ukr-mobil.com/index.php?route=product&amp;product_id=10004604", "Перейти")</f>
        <v>Перейти</v>
      </c>
      <c r="F3629" s="2">
        <v>10004604</v>
      </c>
      <c r="G3629" s="4" t="s">
        <v>3774</v>
      </c>
      <c r="H3629" s="1">
        <v>22</v>
      </c>
      <c r="I3629" s="1">
        <v>9</v>
      </c>
      <c r="J3629" s="1">
        <v>0</v>
      </c>
      <c r="K3629" s="2">
        <v>9.0</v>
      </c>
    </row>
    <row r="3630" spans="1:12">
      <c r="A3630" s="3" t="s">
        <v>2194</v>
      </c>
      <c r="B3630" s="3" t="s">
        <v>3663</v>
      </c>
      <c r="C3630" s="3" t="s">
        <v>3749</v>
      </c>
      <c r="D3630" s="3"/>
      <c r="E3630" s="2" t="str">
        <f>HYPERLINK("https://old.ukr-mobil.com/zadnyaya_kryshka_apple_iphone_12_pro_max_bolshoj_vyrez_pod_kameru_original_blue_10002956", "Перейти")</f>
        <v>Перейти</v>
      </c>
      <c r="F3630" s="2">
        <v>10002956</v>
      </c>
      <c r="G3630" s="4" t="s">
        <v>3775</v>
      </c>
      <c r="H3630" s="1">
        <v>28</v>
      </c>
      <c r="I3630" s="1">
        <v>9</v>
      </c>
      <c r="J3630" s="1">
        <v>0</v>
      </c>
      <c r="K3630" s="2">
        <v>9.0</v>
      </c>
    </row>
    <row r="3631" spans="1:12">
      <c r="A3631" s="3" t="s">
        <v>2194</v>
      </c>
      <c r="B3631" s="3" t="s">
        <v>3663</v>
      </c>
      <c r="C3631" s="3" t="s">
        <v>3749</v>
      </c>
      <c r="D3631" s="3"/>
      <c r="E3631" s="2" t="str">
        <f>HYPERLINK("https://old.ukr-mobil.com/index.php?route=product&amp;product_id=10004605", "Перейти")</f>
        <v>Перейти</v>
      </c>
      <c r="F3631" s="2">
        <v>10004605</v>
      </c>
      <c r="G3631" s="4" t="s">
        <v>3776</v>
      </c>
      <c r="H3631" s="1">
        <v>7</v>
      </c>
      <c r="I3631" s="1">
        <v>5</v>
      </c>
      <c r="J3631" s="1">
        <v>4</v>
      </c>
      <c r="K3631" s="2">
        <v>9.0</v>
      </c>
    </row>
    <row r="3632" spans="1:12">
      <c r="A3632" s="3" t="s">
        <v>2194</v>
      </c>
      <c r="B3632" s="3" t="s">
        <v>3663</v>
      </c>
      <c r="C3632" s="3" t="s">
        <v>3749</v>
      </c>
      <c r="D3632" s="3"/>
      <c r="E3632" s="2" t="str">
        <f>HYPERLINK("https://old.ukr-mobil.com/zadnyaya_kryshka_apple_iphone_12_pro_bolshoj_vyrez_pod_kameru_blue_10001597", "Перейти")</f>
        <v>Перейти</v>
      </c>
      <c r="F3632" s="2">
        <v>10001597</v>
      </c>
      <c r="G3632" s="4" t="s">
        <v>3777</v>
      </c>
      <c r="H3632" s="1">
        <v>19</v>
      </c>
      <c r="I3632" s="1">
        <v>5</v>
      </c>
      <c r="J3632" s="1">
        <v>0</v>
      </c>
      <c r="K3632" s="2">
        <v>9.0</v>
      </c>
    </row>
    <row r="3633" spans="1:12">
      <c r="A3633" s="3" t="s">
        <v>2194</v>
      </c>
      <c r="B3633" s="3" t="s">
        <v>3663</v>
      </c>
      <c r="C3633" s="3" t="s">
        <v>3749</v>
      </c>
      <c r="D3633" s="3"/>
      <c r="E3633" s="2" t="str">
        <f>HYPERLINK("https://old.ukr-mobil.com/zadnyaya_kryshka_apple_iphone_12_pro_bolshoj_vyrez_pod_kameru_gold_10001613", "Перейти")</f>
        <v>Перейти</v>
      </c>
      <c r="F3633" s="2">
        <v>10001613</v>
      </c>
      <c r="G3633" s="4" t="s">
        <v>3778</v>
      </c>
      <c r="H3633" s="1">
        <v>18</v>
      </c>
      <c r="I3633" s="1">
        <v>5</v>
      </c>
      <c r="J3633" s="1">
        <v>0</v>
      </c>
      <c r="K3633" s="2">
        <v>9.0</v>
      </c>
    </row>
    <row r="3634" spans="1:12">
      <c r="A3634" s="3" t="s">
        <v>2194</v>
      </c>
      <c r="B3634" s="3" t="s">
        <v>3663</v>
      </c>
      <c r="C3634" s="3" t="s">
        <v>3749</v>
      </c>
      <c r="D3634" s="3"/>
      <c r="E3634" s="2" t="str">
        <f>HYPERLINK("https://old.ukr-mobil.com/zadnyaya_kryshka_apple_iphone_12_pro_bolshoj_vyrez_pod_kameru_black_10001596", "Перейти")</f>
        <v>Перейти</v>
      </c>
      <c r="F3634" s="2">
        <v>10001596</v>
      </c>
      <c r="G3634" s="4" t="s">
        <v>3779</v>
      </c>
      <c r="H3634" s="1">
        <v>22</v>
      </c>
      <c r="I3634" s="1">
        <v>7</v>
      </c>
      <c r="J3634" s="1">
        <v>2</v>
      </c>
      <c r="K3634" s="2">
        <v>8.35</v>
      </c>
    </row>
    <row r="3635" spans="1:12">
      <c r="A3635" s="3" t="s">
        <v>2194</v>
      </c>
      <c r="B3635" s="3" t="s">
        <v>3663</v>
      </c>
      <c r="C3635" s="3" t="s">
        <v>3749</v>
      </c>
      <c r="D3635" s="3"/>
      <c r="E3635" s="2" t="str">
        <f>HYPERLINK("https://old.ukr-mobil.com/zadnyaya_kryshka_apple_iphone_12_bolshoj_vyrez_pod_kameru_black_10001595", "Перейти")</f>
        <v>Перейти</v>
      </c>
      <c r="F3635" s="2">
        <v>10001595</v>
      </c>
      <c r="G3635" s="4" t="s">
        <v>3780</v>
      </c>
      <c r="H3635" s="1">
        <v>24</v>
      </c>
      <c r="I3635" s="1">
        <v>2</v>
      </c>
      <c r="J3635" s="1">
        <v>4</v>
      </c>
      <c r="K3635" s="2">
        <v>4.0</v>
      </c>
    </row>
    <row r="3636" spans="1:12">
      <c r="A3636" s="3" t="s">
        <v>2194</v>
      </c>
      <c r="B3636" s="3" t="s">
        <v>3663</v>
      </c>
      <c r="C3636" s="3" t="s">
        <v>3749</v>
      </c>
      <c r="D3636" s="3"/>
      <c r="E3636" s="2" t="str">
        <f>HYPERLINK("https://old.ukr-mobil.com/zadnyaya_kryshka_apple_iphone_12_bolshoj_vyrez_pod_kameru_blue_10001610", "Перейти")</f>
        <v>Перейти</v>
      </c>
      <c r="F3636" s="2">
        <v>10001610</v>
      </c>
      <c r="G3636" s="4" t="s">
        <v>3781</v>
      </c>
      <c r="H3636" s="1">
        <v>28</v>
      </c>
      <c r="I3636" s="1">
        <v>3</v>
      </c>
      <c r="J3636" s="1">
        <v>0</v>
      </c>
      <c r="K3636" s="2">
        <v>4.0</v>
      </c>
    </row>
    <row r="3637" spans="1:12">
      <c r="A3637" s="3" t="s">
        <v>2194</v>
      </c>
      <c r="B3637" s="3" t="s">
        <v>3663</v>
      </c>
      <c r="C3637" s="3" t="s">
        <v>3749</v>
      </c>
      <c r="D3637" s="3"/>
      <c r="E3637" s="2" t="str">
        <f>HYPERLINK("https://old.ukr-mobil.com/zadnyaya_kryshka_apple_iphone_12_bolshoj_vyrez_pod_kameru_green_10001608", "Перейти")</f>
        <v>Перейти</v>
      </c>
      <c r="F3637" s="2">
        <v>10001608</v>
      </c>
      <c r="G3637" s="4" t="s">
        <v>3782</v>
      </c>
      <c r="H3637" s="1">
        <v>27</v>
      </c>
      <c r="I3637" s="1">
        <v>8</v>
      </c>
      <c r="J3637" s="1">
        <v>0</v>
      </c>
      <c r="K3637" s="2">
        <v>4.0</v>
      </c>
    </row>
    <row r="3638" spans="1:12">
      <c r="A3638" s="3" t="s">
        <v>2194</v>
      </c>
      <c r="B3638" s="3" t="s">
        <v>3663</v>
      </c>
      <c r="C3638" s="3" t="s">
        <v>3749</v>
      </c>
      <c r="D3638" s="3"/>
      <c r="E3638" s="2" t="str">
        <f>HYPERLINK("https://old.ukr-mobil.com/zadnyaya_kryshka_apple_iphone_12_bolshoj_vyrez_pod_kameru_white_10001609", "Перейти")</f>
        <v>Перейти</v>
      </c>
      <c r="F3638" s="2">
        <v>10001609</v>
      </c>
      <c r="G3638" s="4" t="s">
        <v>3783</v>
      </c>
      <c r="H3638" s="1">
        <v>22</v>
      </c>
      <c r="I3638" s="1">
        <v>5</v>
      </c>
      <c r="J3638" s="1">
        <v>0</v>
      </c>
      <c r="K3638" s="2">
        <v>4.0</v>
      </c>
    </row>
    <row r="3639" spans="1:12">
      <c r="A3639" s="3" t="s">
        <v>2194</v>
      </c>
      <c r="B3639" s="3" t="s">
        <v>3663</v>
      </c>
      <c r="C3639" s="3" t="s">
        <v>3749</v>
      </c>
      <c r="D3639" s="3"/>
      <c r="E3639" s="2" t="str">
        <f>HYPERLINK("https://old.ukr-mobil.com/zadnyaya_kryshka_apple_iphone_13_pro_max_bolshoj_vyrez_pod_kameru_gold_10002124", "Перейти")</f>
        <v>Перейти</v>
      </c>
      <c r="F3639" s="2">
        <v>10002124</v>
      </c>
      <c r="G3639" s="4" t="s">
        <v>3784</v>
      </c>
      <c r="H3639" s="1">
        <v>1</v>
      </c>
      <c r="I3639" s="1">
        <v>6</v>
      </c>
      <c r="J3639" s="1">
        <v>0</v>
      </c>
      <c r="K3639" s="2">
        <v>6.0</v>
      </c>
    </row>
    <row r="3640" spans="1:12">
      <c r="A3640" s="3" t="s">
        <v>2194</v>
      </c>
      <c r="B3640" s="3" t="s">
        <v>3663</v>
      </c>
      <c r="C3640" s="3" t="s">
        <v>3749</v>
      </c>
      <c r="D3640" s="3"/>
      <c r="E3640" s="2" t="str">
        <f>HYPERLINK("https://old.ukr-mobil.com/zadnyaya_kryshka_apple_iphone_13_pro_max_bolshoj_vyrez_pod_kameru_graphite_10002121", "Перейти")</f>
        <v>Перейти</v>
      </c>
      <c r="F3640" s="2">
        <v>10002121</v>
      </c>
      <c r="G3640" s="4" t="s">
        <v>3785</v>
      </c>
      <c r="H3640" s="1">
        <v>0</v>
      </c>
      <c r="I3640" s="1">
        <v>0</v>
      </c>
      <c r="J3640" s="1">
        <v>1</v>
      </c>
      <c r="K3640" s="2">
        <v>6.0</v>
      </c>
    </row>
    <row r="3641" spans="1:12">
      <c r="A3641" s="3" t="s">
        <v>2194</v>
      </c>
      <c r="B3641" s="3" t="s">
        <v>3663</v>
      </c>
      <c r="C3641" s="3" t="s">
        <v>3749</v>
      </c>
      <c r="D3641" s="3"/>
      <c r="E3641" s="2" t="str">
        <f>HYPERLINK("https://old.ukr-mobil.com/zadnyaya_kryshka_apple_iphone_13_pro_max_bolshoj_vyrez_pod_kameru_sierra_blue_10002122", "Перейти")</f>
        <v>Перейти</v>
      </c>
      <c r="F3641" s="2">
        <v>10002122</v>
      </c>
      <c r="G3641" s="4" t="s">
        <v>3786</v>
      </c>
      <c r="H3641" s="1">
        <v>0</v>
      </c>
      <c r="I3641" s="1">
        <v>0</v>
      </c>
      <c r="J3641" s="1">
        <v>0</v>
      </c>
      <c r="K3641" s="2">
        <v>6.0</v>
      </c>
    </row>
    <row r="3642" spans="1:12">
      <c r="A3642" s="3" t="s">
        <v>2194</v>
      </c>
      <c r="B3642" s="3" t="s">
        <v>3663</v>
      </c>
      <c r="C3642" s="3" t="s">
        <v>3749</v>
      </c>
      <c r="D3642" s="3"/>
      <c r="E3642" s="2" t="str">
        <f>HYPERLINK("https://old.ukr-mobil.com/zadnyaya_kryshka_apple_iphone_13_pro_max_bolshoj_vyrez_pod_kameru_original_sierra_blue_10002954", "Перейти")</f>
        <v>Перейти</v>
      </c>
      <c r="F3642" s="2">
        <v>10002954</v>
      </c>
      <c r="G3642" s="4" t="s">
        <v>3787</v>
      </c>
      <c r="H3642" s="1">
        <v>39</v>
      </c>
      <c r="I3642" s="1">
        <v>9</v>
      </c>
      <c r="J3642" s="1">
        <v>0</v>
      </c>
      <c r="K3642" s="2">
        <v>13.0</v>
      </c>
    </row>
    <row r="3643" spans="1:12">
      <c r="A3643" s="3" t="s">
        <v>2194</v>
      </c>
      <c r="B3643" s="3" t="s">
        <v>3663</v>
      </c>
      <c r="C3643" s="3" t="s">
        <v>3749</v>
      </c>
      <c r="D3643" s="3"/>
      <c r="E3643" s="2" t="str">
        <f>HYPERLINK("https://old.ukr-mobil.com/index.php?route=product&amp;product_id=10004607", "Перейти")</f>
        <v>Перейти</v>
      </c>
      <c r="F3643" s="2">
        <v>10004607</v>
      </c>
      <c r="G3643" s="4" t="s">
        <v>3788</v>
      </c>
      <c r="H3643" s="1">
        <v>4</v>
      </c>
      <c r="I3643" s="1">
        <v>3</v>
      </c>
      <c r="J3643" s="1">
        <v>0</v>
      </c>
      <c r="K3643" s="2">
        <v>13.0</v>
      </c>
    </row>
    <row r="3644" spans="1:12">
      <c r="A3644" s="3" t="s">
        <v>2194</v>
      </c>
      <c r="B3644" s="3" t="s">
        <v>3663</v>
      </c>
      <c r="C3644" s="3" t="s">
        <v>3749</v>
      </c>
      <c r="D3644" s="3"/>
      <c r="E3644" s="2" t="str">
        <f>HYPERLINK("https://old.ukr-mobil.com/zadnyaya_kryshka_apple_iphone_13_pro_bolshoj_vyrez_pod_kameru_black_10002193", "Перейти")</f>
        <v>Перейти</v>
      </c>
      <c r="F3644" s="2">
        <v>10002193</v>
      </c>
      <c r="G3644" s="4" t="s">
        <v>3789</v>
      </c>
      <c r="H3644" s="1">
        <v>0</v>
      </c>
      <c r="I3644" s="1">
        <v>0</v>
      </c>
      <c r="J3644" s="1">
        <v>0</v>
      </c>
      <c r="K3644" s="2">
        <v>6.0</v>
      </c>
    </row>
    <row r="3645" spans="1:12">
      <c r="A3645" s="3" t="s">
        <v>2194</v>
      </c>
      <c r="B3645" s="3" t="s">
        <v>3663</v>
      </c>
      <c r="C3645" s="3" t="s">
        <v>3749</v>
      </c>
      <c r="D3645" s="3"/>
      <c r="E3645" s="2" t="str">
        <f>HYPERLINK("https://old.ukr-mobil.com/zadnyaya_kryshka_apple_iphone_13_pro_bolshoj_vyrez_pod_kameru_gold_10002195", "Перейти")</f>
        <v>Перейти</v>
      </c>
      <c r="F3645" s="2">
        <v>10002195</v>
      </c>
      <c r="G3645" s="4" t="s">
        <v>3790</v>
      </c>
      <c r="H3645" s="1">
        <v>4</v>
      </c>
      <c r="I3645" s="1">
        <v>1</v>
      </c>
      <c r="J3645" s="1">
        <v>0</v>
      </c>
      <c r="K3645" s="2">
        <v>6.0</v>
      </c>
    </row>
    <row r="3646" spans="1:12">
      <c r="A3646" s="3" t="s">
        <v>2194</v>
      </c>
      <c r="B3646" s="3" t="s">
        <v>3663</v>
      </c>
      <c r="C3646" s="3" t="s">
        <v>3749</v>
      </c>
      <c r="D3646" s="3"/>
      <c r="E3646" s="2" t="str">
        <f>HYPERLINK("https://old.ukr-mobil.com/zadnyaya_kryshka_apple_iphone_13_pro_bolshoj_vyrez_pod_kameru_original_black_10002952", "Перейти")</f>
        <v>Перейти</v>
      </c>
      <c r="F3646" s="2">
        <v>10002952</v>
      </c>
      <c r="G3646" s="4" t="s">
        <v>3791</v>
      </c>
      <c r="H3646" s="1">
        <v>35</v>
      </c>
      <c r="I3646" s="1">
        <v>10</v>
      </c>
      <c r="J3646" s="1">
        <v>4</v>
      </c>
      <c r="K3646" s="2">
        <v>11.0</v>
      </c>
    </row>
    <row r="3647" spans="1:12">
      <c r="A3647" s="3" t="s">
        <v>2194</v>
      </c>
      <c r="B3647" s="3" t="s">
        <v>3663</v>
      </c>
      <c r="C3647" s="3" t="s">
        <v>3749</v>
      </c>
      <c r="D3647" s="3"/>
      <c r="E3647" s="2" t="str">
        <f>HYPERLINK("https://old.ukr-mobil.com/zadnyaya_kryshka_apple_iphone_13_pro_bolshoj_vyrez_pod_kameru_original_blue_10002953", "Перейти")</f>
        <v>Перейти</v>
      </c>
      <c r="F3647" s="2">
        <v>10002953</v>
      </c>
      <c r="G3647" s="4" t="s">
        <v>3792</v>
      </c>
      <c r="H3647" s="1">
        <v>29</v>
      </c>
      <c r="I3647" s="1">
        <v>10</v>
      </c>
      <c r="J3647" s="1">
        <v>0</v>
      </c>
      <c r="K3647" s="2">
        <v>11.0</v>
      </c>
    </row>
    <row r="3648" spans="1:12">
      <c r="A3648" s="3" t="s">
        <v>2194</v>
      </c>
      <c r="B3648" s="3" t="s">
        <v>3663</v>
      </c>
      <c r="C3648" s="3" t="s">
        <v>3749</v>
      </c>
      <c r="D3648" s="3"/>
      <c r="E3648" s="2" t="str">
        <f>HYPERLINK("https://old.ukr-mobil.com/index.php?route=product&amp;product_id=10004606", "Перейти")</f>
        <v>Перейти</v>
      </c>
      <c r="F3648" s="2">
        <v>10004606</v>
      </c>
      <c r="G3648" s="4" t="s">
        <v>3793</v>
      </c>
      <c r="H3648" s="1">
        <v>8</v>
      </c>
      <c r="I3648" s="1">
        <v>3</v>
      </c>
      <c r="J3648" s="1">
        <v>5</v>
      </c>
      <c r="K3648" s="2">
        <v>11.0</v>
      </c>
    </row>
    <row r="3649" spans="1:12">
      <c r="A3649" s="3" t="s">
        <v>2194</v>
      </c>
      <c r="B3649" s="3" t="s">
        <v>3663</v>
      </c>
      <c r="C3649" s="3" t="s">
        <v>3749</v>
      </c>
      <c r="D3649" s="3"/>
      <c r="E3649" s="2" t="str">
        <f>HYPERLINK("https://old.ukr-mobil.com/zadnyaya_kryshka_apple_iphone_13_pro_bolshoj_vyrez_pod_kameru_graphite_10002125", "Перейти")</f>
        <v>Перейти</v>
      </c>
      <c r="F3649" s="2">
        <v>10002125</v>
      </c>
      <c r="G3649" s="4" t="s">
        <v>3794</v>
      </c>
      <c r="H3649" s="1">
        <v>2</v>
      </c>
      <c r="I3649" s="1">
        <v>1</v>
      </c>
      <c r="J3649" s="1">
        <v>2</v>
      </c>
      <c r="K3649" s="2">
        <v>3.0</v>
      </c>
    </row>
    <row r="3650" spans="1:12">
      <c r="A3650" s="3" t="s">
        <v>2194</v>
      </c>
      <c r="B3650" s="3" t="s">
        <v>3663</v>
      </c>
      <c r="C3650" s="3" t="s">
        <v>3749</v>
      </c>
      <c r="D3650" s="3"/>
      <c r="E3650" s="2" t="str">
        <f>HYPERLINK("https://old.ukr-mobil.com/zadnyaya_kryshka_apple_iphone_13_pro_bolshoj_vyrez_pod_kameru_sierra_blue_10002127", "Перейти")</f>
        <v>Перейти</v>
      </c>
      <c r="F3650" s="2">
        <v>10002127</v>
      </c>
      <c r="G3650" s="4" t="s">
        <v>3795</v>
      </c>
      <c r="H3650" s="1">
        <v>1</v>
      </c>
      <c r="I3650" s="1">
        <v>8</v>
      </c>
      <c r="J3650" s="1">
        <v>0</v>
      </c>
      <c r="K3650" s="2">
        <v>4.0</v>
      </c>
    </row>
    <row r="3651" spans="1:12">
      <c r="A3651" s="3" t="s">
        <v>2194</v>
      </c>
      <c r="B3651" s="3" t="s">
        <v>3663</v>
      </c>
      <c r="C3651" s="3" t="s">
        <v>3749</v>
      </c>
      <c r="D3651" s="3"/>
      <c r="E3651" s="2" t="str">
        <f>HYPERLINK("https://old.ukr-mobil.com/zadnyaya_kryshka_apple_iphone_13_pro_bolshoj_vyrez_pod_kameru_gold_10002126", "Перейти")</f>
        <v>Перейти</v>
      </c>
      <c r="F3651" s="2">
        <v>10002126</v>
      </c>
      <c r="G3651" s="4" t="s">
        <v>3796</v>
      </c>
      <c r="H3651" s="1">
        <v>0</v>
      </c>
      <c r="I3651" s="1">
        <v>0</v>
      </c>
      <c r="J3651" s="1">
        <v>0</v>
      </c>
      <c r="K3651" s="2">
        <v>4.0</v>
      </c>
    </row>
    <row r="3652" spans="1:12">
      <c r="A3652" s="3" t="s">
        <v>2194</v>
      </c>
      <c r="B3652" s="3" t="s">
        <v>3663</v>
      </c>
      <c r="C3652" s="3" t="s">
        <v>3749</v>
      </c>
      <c r="D3652" s="3"/>
      <c r="E3652" s="2" t="str">
        <f>HYPERLINK("https://old.ukr-mobil.com/zadnyaya_kryshka_apple_iphone_13_bolshoj_vyrez_pod_kameru_red_10002204", "Перейти")</f>
        <v>Перейти</v>
      </c>
      <c r="F3652" s="2">
        <v>10002204</v>
      </c>
      <c r="G3652" s="4" t="s">
        <v>3797</v>
      </c>
      <c r="H3652" s="1">
        <v>0</v>
      </c>
      <c r="I3652" s="1">
        <v>2</v>
      </c>
      <c r="J3652" s="1">
        <v>1</v>
      </c>
      <c r="K3652" s="2">
        <v>4.0</v>
      </c>
    </row>
    <row r="3653" spans="1:12">
      <c r="A3653" s="3" t="s">
        <v>2194</v>
      </c>
      <c r="B3653" s="3" t="s">
        <v>3663</v>
      </c>
      <c r="C3653" s="3" t="s">
        <v>3749</v>
      </c>
      <c r="D3653" s="3"/>
      <c r="E3653" s="2" t="str">
        <f>HYPERLINK("https://old.ukr-mobil.com/zadnyaya_kryshka_apple_iphone_13_pro_bolshoj_vyrez_pod_kameru_silver_10002128", "Перейти")</f>
        <v>Перейти</v>
      </c>
      <c r="F3653" s="2">
        <v>10002128</v>
      </c>
      <c r="G3653" s="4" t="s">
        <v>3798</v>
      </c>
      <c r="H3653" s="1">
        <v>1</v>
      </c>
      <c r="I3653" s="1">
        <v>0</v>
      </c>
      <c r="J3653" s="1">
        <v>0</v>
      </c>
      <c r="K3653" s="2">
        <v>4.0</v>
      </c>
    </row>
    <row r="3654" spans="1:12">
      <c r="A3654" s="3" t="s">
        <v>2194</v>
      </c>
      <c r="B3654" s="3" t="s">
        <v>3663</v>
      </c>
      <c r="C3654" s="3" t="s">
        <v>3749</v>
      </c>
      <c r="D3654" s="3"/>
      <c r="E3654" s="2" t="str">
        <f>HYPERLINK("https://old.ukr-mobil.com/index.php?route=product&amp;product_id=10004771", "Перейти")</f>
        <v>Перейти</v>
      </c>
      <c r="F3654" s="2">
        <v>10004771</v>
      </c>
      <c r="G3654" s="4" t="s">
        <v>3799</v>
      </c>
      <c r="H3654" s="1">
        <v>14</v>
      </c>
      <c r="I3654" s="1">
        <v>7</v>
      </c>
      <c r="J3654" s="1">
        <v>4</v>
      </c>
      <c r="K3654" s="2">
        <v>7.85</v>
      </c>
    </row>
    <row r="3655" spans="1:12">
      <c r="A3655" s="3" t="s">
        <v>2194</v>
      </c>
      <c r="B3655" s="3" t="s">
        <v>3663</v>
      </c>
      <c r="C3655" s="3" t="s">
        <v>3749</v>
      </c>
      <c r="D3655" s="3"/>
      <c r="E3655" s="2" t="str">
        <f>HYPERLINK("https://old.ukr-mobil.com/index.php?route=product&amp;product_id=10004772", "Перейти")</f>
        <v>Перейти</v>
      </c>
      <c r="F3655" s="2">
        <v>10004772</v>
      </c>
      <c r="G3655" s="4" t="s">
        <v>3800</v>
      </c>
      <c r="H3655" s="1">
        <v>11</v>
      </c>
      <c r="I3655" s="1">
        <v>2</v>
      </c>
      <c r="J3655" s="1">
        <v>5</v>
      </c>
      <c r="K3655" s="2">
        <v>7.85</v>
      </c>
    </row>
    <row r="3656" spans="1:12">
      <c r="A3656" s="3" t="s">
        <v>2194</v>
      </c>
      <c r="B3656" s="3" t="s">
        <v>3663</v>
      </c>
      <c r="C3656" s="3" t="s">
        <v>3749</v>
      </c>
      <c r="D3656" s="3"/>
      <c r="E3656" s="2" t="str">
        <f>HYPERLINK("https://old.ukr-mobil.com/index.php?route=product&amp;product_id=10004773", "Перейти")</f>
        <v>Перейти</v>
      </c>
      <c r="F3656" s="2">
        <v>10004773</v>
      </c>
      <c r="G3656" s="4" t="s">
        <v>3801</v>
      </c>
      <c r="H3656" s="1">
        <v>17</v>
      </c>
      <c r="I3656" s="1">
        <v>7</v>
      </c>
      <c r="J3656" s="1">
        <v>3</v>
      </c>
      <c r="K3656" s="2">
        <v>7.85</v>
      </c>
    </row>
    <row r="3657" spans="1:12">
      <c r="A3657" s="3" t="s">
        <v>2194</v>
      </c>
      <c r="B3657" s="3" t="s">
        <v>3663</v>
      </c>
      <c r="C3657" s="3" t="s">
        <v>3749</v>
      </c>
      <c r="D3657" s="3"/>
      <c r="E3657" s="2" t="str">
        <f>HYPERLINK("https://old.ukr-mobil.com/zadnyaya_kryshka_apple_iphone_14_plus_bolshoj_vyrez_pod_kameru_high_quality_blue_10003750", "Перейти")</f>
        <v>Перейти</v>
      </c>
      <c r="F3657" s="2">
        <v>10003750</v>
      </c>
      <c r="G3657" s="4" t="s">
        <v>3802</v>
      </c>
      <c r="H3657" s="1">
        <v>9</v>
      </c>
      <c r="I3657" s="1">
        <v>4</v>
      </c>
      <c r="J3657" s="1">
        <v>3</v>
      </c>
      <c r="K3657" s="2">
        <v>6.0</v>
      </c>
    </row>
    <row r="3658" spans="1:12">
      <c r="A3658" s="3" t="s">
        <v>2194</v>
      </c>
      <c r="B3658" s="3" t="s">
        <v>3663</v>
      </c>
      <c r="C3658" s="3" t="s">
        <v>3749</v>
      </c>
      <c r="D3658" s="3"/>
      <c r="E3658" s="2" t="str">
        <f>HYPERLINK("https://old.ukr-mobil.com/zadnyaya_kryshka_apple_iphone_14_plus_bolshoj_vyrez_pod_kameru_high_quality_midnight_10003746", "Перейти")</f>
        <v>Перейти</v>
      </c>
      <c r="F3658" s="2">
        <v>10003746</v>
      </c>
      <c r="G3658" s="4" t="s">
        <v>3803</v>
      </c>
      <c r="H3658" s="1">
        <v>11</v>
      </c>
      <c r="I3658" s="1">
        <v>4</v>
      </c>
      <c r="J3658" s="1">
        <v>2</v>
      </c>
      <c r="K3658" s="2">
        <v>6.0</v>
      </c>
    </row>
    <row r="3659" spans="1:12">
      <c r="A3659" s="3" t="s">
        <v>2194</v>
      </c>
      <c r="B3659" s="3" t="s">
        <v>3663</v>
      </c>
      <c r="C3659" s="3" t="s">
        <v>3749</v>
      </c>
      <c r="D3659" s="3"/>
      <c r="E3659" s="2" t="str">
        <f>HYPERLINK("https://old.ukr-mobil.com/zadnyaya_kryshka_apple_iphone_14_plus_bolshoj_vyrez_pod_kameru_high_quality_purple_10003748", "Перейти")</f>
        <v>Перейти</v>
      </c>
      <c r="F3659" s="2">
        <v>10003748</v>
      </c>
      <c r="G3659" s="4" t="s">
        <v>3804</v>
      </c>
      <c r="H3659" s="1">
        <v>11</v>
      </c>
      <c r="I3659" s="1">
        <v>4</v>
      </c>
      <c r="J3659" s="1">
        <v>4</v>
      </c>
      <c r="K3659" s="2">
        <v>6.0</v>
      </c>
    </row>
    <row r="3660" spans="1:12">
      <c r="A3660" s="3" t="s">
        <v>2194</v>
      </c>
      <c r="B3660" s="3" t="s">
        <v>3663</v>
      </c>
      <c r="C3660" s="3" t="s">
        <v>3749</v>
      </c>
      <c r="D3660" s="3"/>
      <c r="E3660" s="2" t="str">
        <f>HYPERLINK("https://old.ukr-mobil.com/zadnyaya_kryshka_apple_iphone_14_plus_bolshoj_vyrez_pod_kameru_high_quality_red_10003747", "Перейти")</f>
        <v>Перейти</v>
      </c>
      <c r="F3660" s="2">
        <v>10003747</v>
      </c>
      <c r="G3660" s="4" t="s">
        <v>3805</v>
      </c>
      <c r="H3660" s="1">
        <v>7</v>
      </c>
      <c r="I3660" s="1">
        <v>4</v>
      </c>
      <c r="J3660" s="1">
        <v>3</v>
      </c>
      <c r="K3660" s="2">
        <v>6.0</v>
      </c>
    </row>
    <row r="3661" spans="1:12">
      <c r="A3661" s="3" t="s">
        <v>2194</v>
      </c>
      <c r="B3661" s="3" t="s">
        <v>3663</v>
      </c>
      <c r="C3661" s="3" t="s">
        <v>3749</v>
      </c>
      <c r="D3661" s="3"/>
      <c r="E3661" s="2" t="str">
        <f>HYPERLINK("https://old.ukr-mobil.com/zadnyaya_kryshka_apple_iphone_14_plus_bolshoj_vyrez_pod_kameru_high_quality_starlight_10003745", "Перейти")</f>
        <v>Перейти</v>
      </c>
      <c r="F3661" s="2">
        <v>10003745</v>
      </c>
      <c r="G3661" s="4" t="s">
        <v>3806</v>
      </c>
      <c r="H3661" s="1">
        <v>9</v>
      </c>
      <c r="I3661" s="1">
        <v>4</v>
      </c>
      <c r="J3661" s="1">
        <v>2</v>
      </c>
      <c r="K3661" s="2">
        <v>6.0</v>
      </c>
    </row>
    <row r="3662" spans="1:12">
      <c r="A3662" s="3" t="s">
        <v>2194</v>
      </c>
      <c r="B3662" s="3" t="s">
        <v>3663</v>
      </c>
      <c r="C3662" s="3" t="s">
        <v>3749</v>
      </c>
      <c r="D3662" s="3"/>
      <c r="E3662" s="2" t="str">
        <f>HYPERLINK("https://old.ukr-mobil.com/zadnyaya_kryshka_apple_iphone_14_plus_bolshoj_vyrez_pod_kameru_high_quality_yellow_10003749", "Перейти")</f>
        <v>Перейти</v>
      </c>
      <c r="F3662" s="2">
        <v>10003749</v>
      </c>
      <c r="G3662" s="4" t="s">
        <v>3807</v>
      </c>
      <c r="H3662" s="1">
        <v>7</v>
      </c>
      <c r="I3662" s="1">
        <v>4</v>
      </c>
      <c r="J3662" s="1">
        <v>3</v>
      </c>
      <c r="K3662" s="2">
        <v>6.0</v>
      </c>
    </row>
    <row r="3663" spans="1:12">
      <c r="A3663" s="3" t="s">
        <v>2194</v>
      </c>
      <c r="B3663" s="3" t="s">
        <v>3663</v>
      </c>
      <c r="C3663" s="3" t="s">
        <v>3749</v>
      </c>
      <c r="D3663" s="3"/>
      <c r="E3663" s="2" t="str">
        <f>HYPERLINK("https://old.ukr-mobil.com/zadnyaya_kryshka_apple_iphone_14_pro_max_bolshoj_vyrez_pod_kameru_high_quality_deep_purple_10003741", "Перейти")</f>
        <v>Перейти</v>
      </c>
      <c r="F3663" s="2">
        <v>10003741</v>
      </c>
      <c r="G3663" s="4" t="s">
        <v>3808</v>
      </c>
      <c r="H3663" s="1">
        <v>0</v>
      </c>
      <c r="I3663" s="1">
        <v>5</v>
      </c>
      <c r="J3663" s="1">
        <v>0</v>
      </c>
      <c r="K3663" s="2">
        <v>9.35</v>
      </c>
    </row>
    <row r="3664" spans="1:12">
      <c r="A3664" s="3" t="s">
        <v>2194</v>
      </c>
      <c r="B3664" s="3" t="s">
        <v>3663</v>
      </c>
      <c r="C3664" s="3" t="s">
        <v>3749</v>
      </c>
      <c r="D3664" s="3"/>
      <c r="E3664" s="2" t="str">
        <f>HYPERLINK("https://old.ukr-mobil.com/zadnyaya_kryshka_apple_iphone_14_pro_max_bolshoj_vyrez_pod_kameru_high_quality_gold_10003740", "Перейти")</f>
        <v>Перейти</v>
      </c>
      <c r="F3664" s="2">
        <v>10003740</v>
      </c>
      <c r="G3664" s="4" t="s">
        <v>3809</v>
      </c>
      <c r="H3664" s="1">
        <v>0</v>
      </c>
      <c r="I3664" s="1">
        <v>2</v>
      </c>
      <c r="J3664" s="1">
        <v>0</v>
      </c>
      <c r="K3664" s="2">
        <v>7.0</v>
      </c>
    </row>
    <row r="3665" spans="1:12">
      <c r="A3665" s="3" t="s">
        <v>2194</v>
      </c>
      <c r="B3665" s="3" t="s">
        <v>3663</v>
      </c>
      <c r="C3665" s="3" t="s">
        <v>3749</v>
      </c>
      <c r="D3665" s="3"/>
      <c r="E3665" s="2" t="str">
        <f>HYPERLINK("https://old.ukr-mobil.com/zadnyaya_kryshka_apple_iphone_14_pro_max_bolshoj_vyrez_pod_kameru_high_quality_space_black_10003739", "Перейти")</f>
        <v>Перейти</v>
      </c>
      <c r="F3665" s="2">
        <v>10003739</v>
      </c>
      <c r="G3665" s="4" t="s">
        <v>3810</v>
      </c>
      <c r="H3665" s="1">
        <v>0</v>
      </c>
      <c r="I3665" s="1">
        <v>0</v>
      </c>
      <c r="J3665" s="1">
        <v>0</v>
      </c>
      <c r="K3665" s="2">
        <v>7.0</v>
      </c>
    </row>
    <row r="3666" spans="1:12">
      <c r="A3666" s="3" t="s">
        <v>2194</v>
      </c>
      <c r="B3666" s="3" t="s">
        <v>3663</v>
      </c>
      <c r="C3666" s="3" t="s">
        <v>3749</v>
      </c>
      <c r="D3666" s="3"/>
      <c r="E3666" s="2" t="str">
        <f>HYPERLINK("https://old.ukr-mobil.com/zadnyaya_kryshka_apple_iphone_14_pro_max_bolshoj_vyrez_pod_kameru_high_quality_white_10003738", "Перейти")</f>
        <v>Перейти</v>
      </c>
      <c r="F3666" s="2">
        <v>10003738</v>
      </c>
      <c r="G3666" s="4" t="s">
        <v>3811</v>
      </c>
      <c r="H3666" s="1">
        <v>3</v>
      </c>
      <c r="I3666" s="1">
        <v>3</v>
      </c>
      <c r="J3666" s="1">
        <v>1</v>
      </c>
      <c r="K3666" s="2">
        <v>7.0</v>
      </c>
    </row>
    <row r="3667" spans="1:12">
      <c r="A3667" s="3" t="s">
        <v>2194</v>
      </c>
      <c r="B3667" s="3" t="s">
        <v>3663</v>
      </c>
      <c r="C3667" s="3" t="s">
        <v>3749</v>
      </c>
      <c r="D3667" s="3"/>
      <c r="E3667" s="2" t="str">
        <f>HYPERLINK("https://old.ukr-mobil.com/zadnyaya_kryshka_apple_iphone_14_pro_max_bolshoj_vyrez_pod_kameru_original_deep_purple_10003073", "Перейти")</f>
        <v>Перейти</v>
      </c>
      <c r="F3667" s="2">
        <v>10003073</v>
      </c>
      <c r="G3667" s="4" t="s">
        <v>3812</v>
      </c>
      <c r="H3667" s="1">
        <v>40</v>
      </c>
      <c r="I3667" s="1">
        <v>7</v>
      </c>
      <c r="J3667" s="1">
        <v>0</v>
      </c>
      <c r="K3667" s="2">
        <v>15.0</v>
      </c>
    </row>
    <row r="3668" spans="1:12">
      <c r="A3668" s="3" t="s">
        <v>2194</v>
      </c>
      <c r="B3668" s="3" t="s">
        <v>3663</v>
      </c>
      <c r="C3668" s="3" t="s">
        <v>3749</v>
      </c>
      <c r="D3668" s="3"/>
      <c r="E3668" s="2" t="str">
        <f>HYPERLINK("https://old.ukr-mobil.com/zadnyaya_kryshka_apple_iphone_14_pro_bolshoj_vyrez_pod_kameru_high_quality_gold_10003744", "Перейти")</f>
        <v>Перейти</v>
      </c>
      <c r="F3668" s="2">
        <v>10003744</v>
      </c>
      <c r="G3668" s="4" t="s">
        <v>3813</v>
      </c>
      <c r="H3668" s="1">
        <v>4</v>
      </c>
      <c r="I3668" s="1">
        <v>4</v>
      </c>
      <c r="J3668" s="1">
        <v>5</v>
      </c>
      <c r="K3668" s="2">
        <v>7.0</v>
      </c>
    </row>
    <row r="3669" spans="1:12">
      <c r="A3669" s="3" t="s">
        <v>2194</v>
      </c>
      <c r="B3669" s="3" t="s">
        <v>3663</v>
      </c>
      <c r="C3669" s="3" t="s">
        <v>3749</v>
      </c>
      <c r="D3669" s="3"/>
      <c r="E3669" s="2" t="str">
        <f>HYPERLINK("https://old.ukr-mobil.com/zadnyaya_kryshka_apple_iphone_14_pro_bolshoj_vyrez_pod_kameru_high_quality_space_black_10003743", "Перейти")</f>
        <v>Перейти</v>
      </c>
      <c r="F3669" s="2">
        <v>10003743</v>
      </c>
      <c r="G3669" s="4" t="s">
        <v>3814</v>
      </c>
      <c r="H3669" s="1">
        <v>0</v>
      </c>
      <c r="I3669" s="1">
        <v>0</v>
      </c>
      <c r="J3669" s="1">
        <v>0</v>
      </c>
      <c r="K3669" s="2">
        <v>7.0</v>
      </c>
    </row>
    <row r="3670" spans="1:12">
      <c r="A3670" s="3" t="s">
        <v>2194</v>
      </c>
      <c r="B3670" s="3" t="s">
        <v>3663</v>
      </c>
      <c r="C3670" s="3" t="s">
        <v>3749</v>
      </c>
      <c r="D3670" s="3"/>
      <c r="E3670" s="2" t="str">
        <f>HYPERLINK("https://old.ukr-mobil.com/zadnyaya_kryshka_apple_iphone_14_pro_bolshoj_vyrez_pod_kameru_high_quality_white_10003742", "Перейти")</f>
        <v>Перейти</v>
      </c>
      <c r="F3670" s="2">
        <v>10003742</v>
      </c>
      <c r="G3670" s="4" t="s">
        <v>3815</v>
      </c>
      <c r="H3670" s="1">
        <v>0</v>
      </c>
      <c r="I3670" s="1">
        <v>0</v>
      </c>
      <c r="J3670" s="1">
        <v>0</v>
      </c>
      <c r="K3670" s="2">
        <v>7.0</v>
      </c>
    </row>
    <row r="3671" spans="1:12">
      <c r="A3671" s="3" t="s">
        <v>2194</v>
      </c>
      <c r="B3671" s="3" t="s">
        <v>3663</v>
      </c>
      <c r="C3671" s="3" t="s">
        <v>3749</v>
      </c>
      <c r="D3671" s="3"/>
      <c r="E3671" s="2" t="str">
        <f>HYPERLINK("https://old.ukr-mobil.com/zadnyaya_kryshka_apple_iphone_14_pro_bolshoj_vyrez_pod_kameru_original_deep_purple_10003313", "Перейти")</f>
        <v>Перейти</v>
      </c>
      <c r="F3671" s="2">
        <v>10003313</v>
      </c>
      <c r="G3671" s="4" t="s">
        <v>3816</v>
      </c>
      <c r="H3671" s="1">
        <v>40</v>
      </c>
      <c r="I3671" s="1">
        <v>10</v>
      </c>
      <c r="J3671" s="1">
        <v>0</v>
      </c>
      <c r="K3671" s="2">
        <v>15.0</v>
      </c>
    </row>
    <row r="3672" spans="1:12">
      <c r="A3672" s="3" t="s">
        <v>2194</v>
      </c>
      <c r="B3672" s="3" t="s">
        <v>3663</v>
      </c>
      <c r="C3672" s="3" t="s">
        <v>3749</v>
      </c>
      <c r="D3672" s="3"/>
      <c r="E3672" s="2" t="str">
        <f>HYPERLINK("https://old.ukr-mobil.com/zadnyaya_kryshka_apple_iphone_14_bolshoj_vyrez_pod_kameru_high_quality_blue_10003756", "Перейти")</f>
        <v>Перейти</v>
      </c>
      <c r="F3672" s="2">
        <v>10003756</v>
      </c>
      <c r="G3672" s="4" t="s">
        <v>3817</v>
      </c>
      <c r="H3672" s="1">
        <v>10</v>
      </c>
      <c r="I3672" s="1">
        <v>4</v>
      </c>
      <c r="J3672" s="1">
        <v>5</v>
      </c>
      <c r="K3672" s="2">
        <v>6.0</v>
      </c>
    </row>
    <row r="3673" spans="1:12">
      <c r="A3673" s="3" t="s">
        <v>2194</v>
      </c>
      <c r="B3673" s="3" t="s">
        <v>3663</v>
      </c>
      <c r="C3673" s="3" t="s">
        <v>3749</v>
      </c>
      <c r="D3673" s="3"/>
      <c r="E3673" s="2" t="str">
        <f>HYPERLINK("https://old.ukr-mobil.com/zadnyaya_kryshka_apple_iphone_14_bolshoj_vyrez_pod_kameru_high_quality_midnight_10003755", "Перейти")</f>
        <v>Перейти</v>
      </c>
      <c r="F3673" s="2">
        <v>10003755</v>
      </c>
      <c r="G3673" s="4" t="s">
        <v>3818</v>
      </c>
      <c r="H3673" s="1">
        <v>0</v>
      </c>
      <c r="I3673" s="1">
        <v>3</v>
      </c>
      <c r="J3673" s="1">
        <v>5</v>
      </c>
      <c r="K3673" s="2">
        <v>6.0</v>
      </c>
    </row>
    <row r="3674" spans="1:12">
      <c r="A3674" s="3" t="s">
        <v>2194</v>
      </c>
      <c r="B3674" s="3" t="s">
        <v>3663</v>
      </c>
      <c r="C3674" s="3" t="s">
        <v>3749</v>
      </c>
      <c r="D3674" s="3"/>
      <c r="E3674" s="2" t="str">
        <f>HYPERLINK("https://old.ukr-mobil.com/zadnyaya_kryshka_apple_iphone_14_bolshoj_vyrez_pod_kameru_high_quality_purple_10003753", "Перейти")</f>
        <v>Перейти</v>
      </c>
      <c r="F3674" s="2">
        <v>10003753</v>
      </c>
      <c r="G3674" s="4" t="s">
        <v>3819</v>
      </c>
      <c r="H3674" s="1">
        <v>5</v>
      </c>
      <c r="I3674" s="1">
        <v>4</v>
      </c>
      <c r="J3674" s="1">
        <v>5</v>
      </c>
      <c r="K3674" s="2">
        <v>6.0</v>
      </c>
    </row>
    <row r="3675" spans="1:12">
      <c r="A3675" s="3" t="s">
        <v>2194</v>
      </c>
      <c r="B3675" s="3" t="s">
        <v>3663</v>
      </c>
      <c r="C3675" s="3" t="s">
        <v>3749</v>
      </c>
      <c r="D3675" s="3"/>
      <c r="E3675" s="2" t="str">
        <f>HYPERLINK("https://old.ukr-mobil.com/zadnyaya_kryshka_apple_iphone_14_bolshoj_vyrez_pod_kameru_high_quality_red_10003752", "Перейти")</f>
        <v>Перейти</v>
      </c>
      <c r="F3675" s="2">
        <v>10003752</v>
      </c>
      <c r="G3675" s="4" t="s">
        <v>3820</v>
      </c>
      <c r="H3675" s="1">
        <v>7</v>
      </c>
      <c r="I3675" s="1">
        <v>4</v>
      </c>
      <c r="J3675" s="1">
        <v>5</v>
      </c>
      <c r="K3675" s="2">
        <v>6.0</v>
      </c>
    </row>
    <row r="3676" spans="1:12">
      <c r="A3676" s="3" t="s">
        <v>2194</v>
      </c>
      <c r="B3676" s="3" t="s">
        <v>3663</v>
      </c>
      <c r="C3676" s="3" t="s">
        <v>3749</v>
      </c>
      <c r="D3676" s="3"/>
      <c r="E3676" s="2" t="str">
        <f>HYPERLINK("https://old.ukr-mobil.com/zadnyaya_kryshka_apple_iphone_14_bolshoj_vyrez_pod_kameru_high_quality_starlight_10003751", "Перейти")</f>
        <v>Перейти</v>
      </c>
      <c r="F3676" s="2">
        <v>10003751</v>
      </c>
      <c r="G3676" s="4" t="s">
        <v>3821</v>
      </c>
      <c r="H3676" s="1">
        <v>12</v>
      </c>
      <c r="I3676" s="1">
        <v>3</v>
      </c>
      <c r="J3676" s="1">
        <v>5</v>
      </c>
      <c r="K3676" s="2">
        <v>6.0</v>
      </c>
    </row>
    <row r="3677" spans="1:12">
      <c r="A3677" s="3" t="s">
        <v>2194</v>
      </c>
      <c r="B3677" s="3" t="s">
        <v>3663</v>
      </c>
      <c r="C3677" s="3" t="s">
        <v>3749</v>
      </c>
      <c r="D3677" s="3"/>
      <c r="E3677" s="2" t="str">
        <f>HYPERLINK("https://old.ukr-mobil.com/zadnyaya_kryshka_apple_iphone_14_bolshoj_vyrez_pod_kameru_high_quality_yellow_10003754", "Перейти")</f>
        <v>Перейти</v>
      </c>
      <c r="F3677" s="2">
        <v>10003754</v>
      </c>
      <c r="G3677" s="4" t="s">
        <v>3822</v>
      </c>
      <c r="H3677" s="1">
        <v>10</v>
      </c>
      <c r="I3677" s="1">
        <v>4</v>
      </c>
      <c r="J3677" s="1">
        <v>5</v>
      </c>
      <c r="K3677" s="2">
        <v>6.0</v>
      </c>
    </row>
    <row r="3678" spans="1:12">
      <c r="A3678" s="3" t="s">
        <v>2194</v>
      </c>
      <c r="B3678" s="3" t="s">
        <v>3663</v>
      </c>
      <c r="C3678" s="3" t="s">
        <v>3749</v>
      </c>
      <c r="D3678" s="3"/>
      <c r="E3678" s="2" t="str">
        <f>HYPERLINK("https://old.ukr-mobil.com/index.php?route=product&amp;product_id=10006090", "Перейти")</f>
        <v>Перейти</v>
      </c>
      <c r="F3678" s="2">
        <v>10006090</v>
      </c>
      <c r="G3678" s="4" t="s">
        <v>3823</v>
      </c>
      <c r="H3678" s="1">
        <v>18</v>
      </c>
      <c r="I3678" s="1">
        <v>2</v>
      </c>
      <c r="J3678" s="1">
        <v>0</v>
      </c>
      <c r="K3678" s="2">
        <v>21.5</v>
      </c>
    </row>
    <row r="3679" spans="1:12">
      <c r="A3679" s="3" t="s">
        <v>2194</v>
      </c>
      <c r="B3679" s="3" t="s">
        <v>3663</v>
      </c>
      <c r="C3679" s="3" t="s">
        <v>3749</v>
      </c>
      <c r="D3679" s="3"/>
      <c r="E3679" s="2" t="str">
        <f>HYPERLINK("https://old.ukr-mobil.com/index.php?route=product&amp;product_id=10006094", "Перейти")</f>
        <v>Перейти</v>
      </c>
      <c r="F3679" s="2">
        <v>10006094</v>
      </c>
      <c r="G3679" s="4" t="s">
        <v>3824</v>
      </c>
      <c r="H3679" s="1">
        <v>18</v>
      </c>
      <c r="I3679" s="1">
        <v>2</v>
      </c>
      <c r="J3679" s="1">
        <v>0</v>
      </c>
      <c r="K3679" s="2">
        <v>20.5</v>
      </c>
    </row>
    <row r="3680" spans="1:12">
      <c r="A3680" s="3" t="s">
        <v>2194</v>
      </c>
      <c r="B3680" s="3" t="s">
        <v>3663</v>
      </c>
      <c r="C3680" s="3" t="s">
        <v>3749</v>
      </c>
      <c r="D3680" s="3"/>
      <c r="E3680" s="2" t="str">
        <f>HYPERLINK("https://old.ukr-mobil.com/index.php?route=product&amp;product_id=10006092", "Перейти")</f>
        <v>Перейти</v>
      </c>
      <c r="F3680" s="2">
        <v>10006092</v>
      </c>
      <c r="G3680" s="4" t="s">
        <v>3825</v>
      </c>
      <c r="H3680" s="1">
        <v>18</v>
      </c>
      <c r="I3680" s="1">
        <v>2</v>
      </c>
      <c r="J3680" s="1">
        <v>0</v>
      </c>
      <c r="K3680" s="2">
        <v>20.5</v>
      </c>
    </row>
    <row r="3681" spans="1:12">
      <c r="A3681" s="3" t="s">
        <v>2194</v>
      </c>
      <c r="B3681" s="3" t="s">
        <v>3663</v>
      </c>
      <c r="C3681" s="3" t="s">
        <v>3749</v>
      </c>
      <c r="D3681" s="3"/>
      <c r="E3681" s="2" t="str">
        <f>HYPERLINK("https://old.ukr-mobil.com/index.php?route=product&amp;product_id=10006091", "Перейти")</f>
        <v>Перейти</v>
      </c>
      <c r="F3681" s="2">
        <v>10006091</v>
      </c>
      <c r="G3681" s="4" t="s">
        <v>3826</v>
      </c>
      <c r="H3681" s="1">
        <v>18</v>
      </c>
      <c r="I3681" s="1">
        <v>2</v>
      </c>
      <c r="J3681" s="1">
        <v>0</v>
      </c>
      <c r="K3681" s="2">
        <v>20.5</v>
      </c>
    </row>
    <row r="3682" spans="1:12">
      <c r="A3682" s="3" t="s">
        <v>2194</v>
      </c>
      <c r="B3682" s="3" t="s">
        <v>3663</v>
      </c>
      <c r="C3682" s="3" t="s">
        <v>3749</v>
      </c>
      <c r="D3682" s="3"/>
      <c r="E3682" s="2" t="str">
        <f>HYPERLINK("https://old.ukr-mobil.com/index.php?route=product&amp;product_id=10006093", "Перейти")</f>
        <v>Перейти</v>
      </c>
      <c r="F3682" s="2">
        <v>10006093</v>
      </c>
      <c r="G3682" s="4" t="s">
        <v>3827</v>
      </c>
      <c r="H3682" s="1">
        <v>18</v>
      </c>
      <c r="I3682" s="1">
        <v>2</v>
      </c>
      <c r="J3682" s="1">
        <v>0</v>
      </c>
      <c r="K3682" s="2">
        <v>20.5</v>
      </c>
    </row>
    <row r="3683" spans="1:12">
      <c r="A3683" s="3" t="s">
        <v>2194</v>
      </c>
      <c r="B3683" s="3" t="s">
        <v>3663</v>
      </c>
      <c r="C3683" s="3" t="s">
        <v>3749</v>
      </c>
      <c r="D3683" s="3"/>
      <c r="E3683" s="2" t="str">
        <f>HYPERLINK("https://old.ukr-mobil.com/index.php?route=product&amp;product_id=10006099", "Перейти")</f>
        <v>Перейти</v>
      </c>
      <c r="F3683" s="2">
        <v>10006099</v>
      </c>
      <c r="G3683" s="4" t="s">
        <v>3828</v>
      </c>
      <c r="H3683" s="1">
        <v>16</v>
      </c>
      <c r="I3683" s="1">
        <v>2</v>
      </c>
      <c r="J3683" s="1">
        <v>0</v>
      </c>
      <c r="K3683" s="2">
        <v>23.5</v>
      </c>
    </row>
    <row r="3684" spans="1:12">
      <c r="A3684" s="3" t="s">
        <v>2194</v>
      </c>
      <c r="B3684" s="3" t="s">
        <v>3663</v>
      </c>
      <c r="C3684" s="3" t="s">
        <v>3749</v>
      </c>
      <c r="D3684" s="3"/>
      <c r="E3684" s="2" t="str">
        <f>HYPERLINK("https://old.ukr-mobil.com/index.php?route=product&amp;product_id=10006100", "Перейти")</f>
        <v>Перейти</v>
      </c>
      <c r="F3684" s="2">
        <v>10006100</v>
      </c>
      <c r="G3684" s="4" t="s">
        <v>3829</v>
      </c>
      <c r="H3684" s="1">
        <v>16</v>
      </c>
      <c r="I3684" s="1">
        <v>2</v>
      </c>
      <c r="J3684" s="1">
        <v>0</v>
      </c>
      <c r="K3684" s="2">
        <v>23.5</v>
      </c>
    </row>
    <row r="3685" spans="1:12">
      <c r="A3685" s="3" t="s">
        <v>2194</v>
      </c>
      <c r="B3685" s="3" t="s">
        <v>3663</v>
      </c>
      <c r="C3685" s="3" t="s">
        <v>3749</v>
      </c>
      <c r="D3685" s="3"/>
      <c r="E3685" s="2" t="str">
        <f>HYPERLINK("https://old.ukr-mobil.com/index.php?route=product&amp;product_id=10006101", "Перейти")</f>
        <v>Перейти</v>
      </c>
      <c r="F3685" s="2">
        <v>10006101</v>
      </c>
      <c r="G3685" s="4" t="s">
        <v>3830</v>
      </c>
      <c r="H3685" s="1">
        <v>17</v>
      </c>
      <c r="I3685" s="1">
        <v>2</v>
      </c>
      <c r="J3685" s="1">
        <v>0</v>
      </c>
      <c r="K3685" s="2">
        <v>23.0</v>
      </c>
    </row>
    <row r="3686" spans="1:12">
      <c r="A3686" s="3" t="s">
        <v>2194</v>
      </c>
      <c r="B3686" s="3" t="s">
        <v>3663</v>
      </c>
      <c r="C3686" s="3" t="s">
        <v>3749</v>
      </c>
      <c r="D3686" s="3"/>
      <c r="E3686" s="2" t="str">
        <f>HYPERLINK("https://old.ukr-mobil.com/index.php?route=product&amp;product_id=10006102", "Перейти")</f>
        <v>Перейти</v>
      </c>
      <c r="F3686" s="2">
        <v>10006102</v>
      </c>
      <c r="G3686" s="4" t="s">
        <v>3831</v>
      </c>
      <c r="H3686" s="1">
        <v>17</v>
      </c>
      <c r="I3686" s="1">
        <v>2</v>
      </c>
      <c r="J3686" s="1">
        <v>0</v>
      </c>
      <c r="K3686" s="2">
        <v>23.0</v>
      </c>
    </row>
    <row r="3687" spans="1:12">
      <c r="A3687" s="3" t="s">
        <v>2194</v>
      </c>
      <c r="B3687" s="3" t="s">
        <v>3663</v>
      </c>
      <c r="C3687" s="3" t="s">
        <v>3749</v>
      </c>
      <c r="D3687" s="3"/>
      <c r="E3687" s="2" t="str">
        <f>HYPERLINK("https://old.ukr-mobil.com/index.php?route=product&amp;product_id=10006095", "Перейти")</f>
        <v>Перейти</v>
      </c>
      <c r="F3687" s="2">
        <v>10006095</v>
      </c>
      <c r="G3687" s="4" t="s">
        <v>3832</v>
      </c>
      <c r="H3687" s="1">
        <v>17</v>
      </c>
      <c r="I3687" s="1">
        <v>2</v>
      </c>
      <c r="J3687" s="1">
        <v>0</v>
      </c>
      <c r="K3687" s="2">
        <v>23.0</v>
      </c>
    </row>
    <row r="3688" spans="1:12">
      <c r="A3688" s="3" t="s">
        <v>2194</v>
      </c>
      <c r="B3688" s="3" t="s">
        <v>3663</v>
      </c>
      <c r="C3688" s="3" t="s">
        <v>3749</v>
      </c>
      <c r="D3688" s="3"/>
      <c r="E3688" s="2" t="str">
        <f>HYPERLINK("https://old.ukr-mobil.com/index.php?route=product&amp;product_id=10006096", "Перейти")</f>
        <v>Перейти</v>
      </c>
      <c r="F3688" s="2">
        <v>10006096</v>
      </c>
      <c r="G3688" s="4" t="s">
        <v>3833</v>
      </c>
      <c r="H3688" s="1">
        <v>18</v>
      </c>
      <c r="I3688" s="1">
        <v>1</v>
      </c>
      <c r="J3688" s="1">
        <v>0</v>
      </c>
      <c r="K3688" s="2">
        <v>23.0</v>
      </c>
    </row>
    <row r="3689" spans="1:12">
      <c r="A3689" s="3" t="s">
        <v>2194</v>
      </c>
      <c r="B3689" s="3" t="s">
        <v>3663</v>
      </c>
      <c r="C3689" s="3" t="s">
        <v>3749</v>
      </c>
      <c r="D3689" s="3"/>
      <c r="E3689" s="2" t="str">
        <f>HYPERLINK("https://old.ukr-mobil.com/index.php?route=product&amp;product_id=10006097", "Перейти")</f>
        <v>Перейти</v>
      </c>
      <c r="F3689" s="2">
        <v>10006097</v>
      </c>
      <c r="G3689" s="4" t="s">
        <v>3834</v>
      </c>
      <c r="H3689" s="1">
        <v>16</v>
      </c>
      <c r="I3689" s="1">
        <v>2</v>
      </c>
      <c r="J3689" s="1">
        <v>0</v>
      </c>
      <c r="K3689" s="2">
        <v>23.0</v>
      </c>
    </row>
    <row r="3690" spans="1:12">
      <c r="A3690" s="3" t="s">
        <v>2194</v>
      </c>
      <c r="B3690" s="3" t="s">
        <v>3663</v>
      </c>
      <c r="C3690" s="3" t="s">
        <v>3749</v>
      </c>
      <c r="D3690" s="3"/>
      <c r="E3690" s="2" t="str">
        <f>HYPERLINK("https://old.ukr-mobil.com/index.php?route=product&amp;product_id=10006098", "Перейти")</f>
        <v>Перейти</v>
      </c>
      <c r="F3690" s="2">
        <v>10006098</v>
      </c>
      <c r="G3690" s="4" t="s">
        <v>3835</v>
      </c>
      <c r="H3690" s="1">
        <v>18</v>
      </c>
      <c r="I3690" s="1">
        <v>2</v>
      </c>
      <c r="J3690" s="1">
        <v>0</v>
      </c>
      <c r="K3690" s="2">
        <v>22.5</v>
      </c>
    </row>
    <row r="3691" spans="1:12">
      <c r="A3691" s="3" t="s">
        <v>2194</v>
      </c>
      <c r="B3691" s="3" t="s">
        <v>3663</v>
      </c>
      <c r="C3691" s="3" t="s">
        <v>3749</v>
      </c>
      <c r="D3691" s="3"/>
      <c r="E3691" s="2" t="str">
        <f>HYPERLINK("https://old.ukr-mobil.com/index.php?route=product&amp;product_id=10006085", "Перейти")</f>
        <v>Перейти</v>
      </c>
      <c r="F3691" s="2">
        <v>10006085</v>
      </c>
      <c r="G3691" s="4" t="s">
        <v>3836</v>
      </c>
      <c r="H3691" s="1">
        <v>18</v>
      </c>
      <c r="I3691" s="1">
        <v>2</v>
      </c>
      <c r="J3691" s="1">
        <v>0</v>
      </c>
      <c r="K3691" s="2">
        <v>20.5</v>
      </c>
    </row>
    <row r="3692" spans="1:12">
      <c r="A3692" s="3" t="s">
        <v>2194</v>
      </c>
      <c r="B3692" s="3" t="s">
        <v>3663</v>
      </c>
      <c r="C3692" s="3" t="s">
        <v>3749</v>
      </c>
      <c r="D3692" s="3"/>
      <c r="E3692" s="2" t="str">
        <f>HYPERLINK("https://old.ukr-mobil.com/index.php?route=product&amp;product_id=10006089", "Перейти")</f>
        <v>Перейти</v>
      </c>
      <c r="F3692" s="2">
        <v>10006089</v>
      </c>
      <c r="G3692" s="4" t="s">
        <v>3837</v>
      </c>
      <c r="H3692" s="1">
        <v>18</v>
      </c>
      <c r="I3692" s="1">
        <v>2</v>
      </c>
      <c r="J3692" s="1">
        <v>0</v>
      </c>
      <c r="K3692" s="2">
        <v>21.0</v>
      </c>
    </row>
    <row r="3693" spans="1:12">
      <c r="A3693" s="3" t="s">
        <v>2194</v>
      </c>
      <c r="B3693" s="3" t="s">
        <v>3663</v>
      </c>
      <c r="C3693" s="3" t="s">
        <v>3749</v>
      </c>
      <c r="D3693" s="3"/>
      <c r="E3693" s="2" t="str">
        <f>HYPERLINK("https://old.ukr-mobil.com/index.php?route=product&amp;product_id=10006087", "Перейти")</f>
        <v>Перейти</v>
      </c>
      <c r="F3693" s="2">
        <v>10006087</v>
      </c>
      <c r="G3693" s="4" t="s">
        <v>3838</v>
      </c>
      <c r="H3693" s="1">
        <v>18</v>
      </c>
      <c r="I3693" s="1">
        <v>2</v>
      </c>
      <c r="J3693" s="1">
        <v>0</v>
      </c>
      <c r="K3693" s="2">
        <v>20.5</v>
      </c>
    </row>
    <row r="3694" spans="1:12">
      <c r="A3694" s="3" t="s">
        <v>2194</v>
      </c>
      <c r="B3694" s="3" t="s">
        <v>3663</v>
      </c>
      <c r="C3694" s="3" t="s">
        <v>3749</v>
      </c>
      <c r="D3694" s="3"/>
      <c r="E3694" s="2" t="str">
        <f>HYPERLINK("https://old.ukr-mobil.com/index.php?route=product&amp;product_id=10006086", "Перейти")</f>
        <v>Перейти</v>
      </c>
      <c r="F3694" s="2">
        <v>10006086</v>
      </c>
      <c r="G3694" s="4" t="s">
        <v>3839</v>
      </c>
      <c r="H3694" s="1">
        <v>18</v>
      </c>
      <c r="I3694" s="1">
        <v>2</v>
      </c>
      <c r="J3694" s="1">
        <v>0</v>
      </c>
      <c r="K3694" s="2">
        <v>20.5</v>
      </c>
    </row>
    <row r="3695" spans="1:12">
      <c r="A3695" s="3" t="s">
        <v>2194</v>
      </c>
      <c r="B3695" s="3" t="s">
        <v>3663</v>
      </c>
      <c r="C3695" s="3" t="s">
        <v>3749</v>
      </c>
      <c r="D3695" s="3"/>
      <c r="E3695" s="2" t="str">
        <f>HYPERLINK("https://old.ukr-mobil.com/index.php?route=product&amp;product_id=10006088", "Перейти")</f>
        <v>Перейти</v>
      </c>
      <c r="F3695" s="2">
        <v>10006088</v>
      </c>
      <c r="G3695" s="4" t="s">
        <v>3840</v>
      </c>
      <c r="H3695" s="1">
        <v>18</v>
      </c>
      <c r="I3695" s="1">
        <v>2</v>
      </c>
      <c r="J3695" s="1">
        <v>0</v>
      </c>
      <c r="K3695" s="2">
        <v>20.5</v>
      </c>
    </row>
    <row r="3696" spans="1:12">
      <c r="A3696" s="3" t="s">
        <v>2194</v>
      </c>
      <c r="B3696" s="3" t="s">
        <v>3663</v>
      </c>
      <c r="C3696" s="3" t="s">
        <v>3749</v>
      </c>
      <c r="D3696" s="3"/>
      <c r="E3696" s="2" t="str">
        <f>HYPERLINK("https://old.ukr-mobil.com/index.php?route=product&amp;product_id=10006103", "Перейти")</f>
        <v>Перейти</v>
      </c>
      <c r="F3696" s="2">
        <v>10006103</v>
      </c>
      <c r="G3696" s="4" t="s">
        <v>3841</v>
      </c>
      <c r="H3696" s="1">
        <v>17</v>
      </c>
      <c r="I3696" s="1">
        <v>2</v>
      </c>
      <c r="J3696" s="1">
        <v>0</v>
      </c>
      <c r="K3696" s="2">
        <v>35.0</v>
      </c>
    </row>
    <row r="3697" spans="1:12">
      <c r="A3697" s="3" t="s">
        <v>2194</v>
      </c>
      <c r="B3697" s="3" t="s">
        <v>3663</v>
      </c>
      <c r="C3697" s="3" t="s">
        <v>3749</v>
      </c>
      <c r="D3697" s="3"/>
      <c r="E3697" s="2" t="str">
        <f>HYPERLINK("https://old.ukr-mobil.com/index.php?route=product&amp;product_id=10006104", "Перейти")</f>
        <v>Перейти</v>
      </c>
      <c r="F3697" s="2">
        <v>10006104</v>
      </c>
      <c r="G3697" s="4" t="s">
        <v>3842</v>
      </c>
      <c r="H3697" s="1">
        <v>15</v>
      </c>
      <c r="I3697" s="1">
        <v>2</v>
      </c>
      <c r="J3697" s="1">
        <v>0</v>
      </c>
      <c r="K3697" s="2">
        <v>34.0</v>
      </c>
    </row>
    <row r="3698" spans="1:12">
      <c r="A3698" s="3" t="s">
        <v>2194</v>
      </c>
      <c r="B3698" s="3" t="s">
        <v>3663</v>
      </c>
      <c r="C3698" s="3" t="s">
        <v>3749</v>
      </c>
      <c r="D3698" s="3"/>
      <c r="E3698" s="2" t="str">
        <f>HYPERLINK("https://old.ukr-mobil.com/index.php?route=product&amp;product_id=10006105", "Перейти")</f>
        <v>Перейти</v>
      </c>
      <c r="F3698" s="2">
        <v>10006105</v>
      </c>
      <c r="G3698" s="4" t="s">
        <v>3843</v>
      </c>
      <c r="H3698" s="1">
        <v>17</v>
      </c>
      <c r="I3698" s="1">
        <v>2</v>
      </c>
      <c r="J3698" s="1">
        <v>0</v>
      </c>
      <c r="K3698" s="2">
        <v>34.0</v>
      </c>
    </row>
    <row r="3699" spans="1:12">
      <c r="A3699" s="3" t="s">
        <v>2194</v>
      </c>
      <c r="B3699" s="3" t="s">
        <v>3663</v>
      </c>
      <c r="C3699" s="3" t="s">
        <v>3749</v>
      </c>
      <c r="D3699" s="3"/>
      <c r="E3699" s="2" t="str">
        <f>HYPERLINK("https://old.ukr-mobil.com/index.php?route=product&amp;product_id=10006106", "Перейти")</f>
        <v>Перейти</v>
      </c>
      <c r="F3699" s="2">
        <v>10006106</v>
      </c>
      <c r="G3699" s="4" t="s">
        <v>3844</v>
      </c>
      <c r="H3699" s="1">
        <v>18</v>
      </c>
      <c r="I3699" s="1">
        <v>2</v>
      </c>
      <c r="J3699" s="1">
        <v>0</v>
      </c>
      <c r="K3699" s="2">
        <v>35.0</v>
      </c>
    </row>
    <row r="3700" spans="1:12">
      <c r="A3700" s="3" t="s">
        <v>2194</v>
      </c>
      <c r="B3700" s="3" t="s">
        <v>3663</v>
      </c>
      <c r="C3700" s="3" t="s">
        <v>3749</v>
      </c>
      <c r="D3700" s="3"/>
      <c r="E3700" s="2" t="str">
        <f>HYPERLINK("https://old.ukr-mobil.com/zadnyaya_kryshka_iphone_8_plus_dlya_zameny_bez_razborki_korpusa_black_12330", "Перейти")</f>
        <v>Перейти</v>
      </c>
      <c r="F3700" s="2">
        <v>12330</v>
      </c>
      <c r="G3700" s="4" t="s">
        <v>3845</v>
      </c>
      <c r="H3700" s="1">
        <v>0</v>
      </c>
      <c r="I3700" s="1">
        <v>0</v>
      </c>
      <c r="J3700" s="1">
        <v>0</v>
      </c>
      <c r="K3700" s="2">
        <v>2.0</v>
      </c>
    </row>
    <row r="3701" spans="1:12">
      <c r="A3701" s="3" t="s">
        <v>2194</v>
      </c>
      <c r="B3701" s="3" t="s">
        <v>3663</v>
      </c>
      <c r="C3701" s="3" t="s">
        <v>3749</v>
      </c>
      <c r="D3701" s="3"/>
      <c r="E3701" s="2" t="str">
        <f>HYPERLINK("https://old.ukr-mobil.com/zadnyaya_kryshka_iphone_8_plus_dlya_zameny_bez_razborki_korpusa_gold_12332", "Перейти")</f>
        <v>Перейти</v>
      </c>
      <c r="F3701" s="2">
        <v>12332</v>
      </c>
      <c r="G3701" s="4" t="s">
        <v>3846</v>
      </c>
      <c r="H3701" s="1">
        <v>15</v>
      </c>
      <c r="I3701" s="1">
        <v>4</v>
      </c>
      <c r="J3701" s="1">
        <v>10</v>
      </c>
      <c r="K3701" s="2">
        <v>2.0</v>
      </c>
    </row>
    <row r="3702" spans="1:12">
      <c r="A3702" s="3" t="s">
        <v>2194</v>
      </c>
      <c r="B3702" s="3" t="s">
        <v>3663</v>
      </c>
      <c r="C3702" s="3" t="s">
        <v>3749</v>
      </c>
      <c r="D3702" s="3"/>
      <c r="E3702" s="2" t="str">
        <f>HYPERLINK("https://old.ukr-mobil.com/zadnyaya_kryshka_apple_iphone_8_plus_bolshoj_vyrez_pod_kameru_red_10002575", "Перейти")</f>
        <v>Перейти</v>
      </c>
      <c r="F3702" s="2">
        <v>10002575</v>
      </c>
      <c r="G3702" s="4" t="s">
        <v>3847</v>
      </c>
      <c r="H3702" s="1">
        <v>15</v>
      </c>
      <c r="I3702" s="1">
        <v>9</v>
      </c>
      <c r="J3702" s="1">
        <v>4</v>
      </c>
      <c r="K3702" s="2">
        <v>2.5</v>
      </c>
    </row>
    <row r="3703" spans="1:12">
      <c r="A3703" s="3" t="s">
        <v>2194</v>
      </c>
      <c r="B3703" s="3" t="s">
        <v>3663</v>
      </c>
      <c r="C3703" s="3" t="s">
        <v>3749</v>
      </c>
      <c r="D3703" s="3"/>
      <c r="E3703" s="2" t="str">
        <f>HYPERLINK("https://old.ukr-mobil.com/zadnyaya_kryshka_iphone_8_plus_dlya_zameny_bez_razborki_korpusa_white_12331", "Перейти")</f>
        <v>Перейти</v>
      </c>
      <c r="F3703" s="2">
        <v>12331</v>
      </c>
      <c r="G3703" s="4" t="s">
        <v>3848</v>
      </c>
      <c r="H3703" s="1">
        <v>25</v>
      </c>
      <c r="I3703" s="1">
        <v>7</v>
      </c>
      <c r="J3703" s="1">
        <v>4</v>
      </c>
      <c r="K3703" s="2">
        <v>2.0</v>
      </c>
    </row>
    <row r="3704" spans="1:12">
      <c r="A3704" s="3" t="s">
        <v>2194</v>
      </c>
      <c r="B3704" s="3" t="s">
        <v>3663</v>
      </c>
      <c r="C3704" s="3" t="s">
        <v>3749</v>
      </c>
      <c r="D3704" s="3"/>
      <c r="E3704" s="2" t="str">
        <f>HYPERLINK("https://old.ukr-mobil.com/zadnyaya_kryshka_iphone_8_dlya_zameny_bez_razborki_korpusa_gold_10000357", "Перейти")</f>
        <v>Перейти</v>
      </c>
      <c r="F3704" s="2">
        <v>10000357</v>
      </c>
      <c r="G3704" s="4" t="s">
        <v>3849</v>
      </c>
      <c r="H3704" s="1">
        <v>0</v>
      </c>
      <c r="I3704" s="1">
        <v>0</v>
      </c>
      <c r="J3704" s="1">
        <v>0</v>
      </c>
      <c r="K3704" s="2">
        <v>2.5</v>
      </c>
    </row>
    <row r="3705" spans="1:12">
      <c r="A3705" s="3" t="s">
        <v>2194</v>
      </c>
      <c r="B3705" s="3" t="s">
        <v>3663</v>
      </c>
      <c r="C3705" s="3" t="s">
        <v>3749</v>
      </c>
      <c r="D3705" s="3"/>
      <c r="E3705" s="2" t="str">
        <f>HYPERLINK("https://old.ukr-mobil.com/zadnyaya_kryshka_iphone_8_s_steklom_kamery_white_10860", "Перейти")</f>
        <v>Перейти</v>
      </c>
      <c r="F3705" s="2">
        <v>10860</v>
      </c>
      <c r="G3705" s="4" t="s">
        <v>3850</v>
      </c>
      <c r="H3705" s="1">
        <v>0</v>
      </c>
      <c r="I3705" s="1">
        <v>0</v>
      </c>
      <c r="J3705" s="1">
        <v>0</v>
      </c>
      <c r="K3705" s="2">
        <v>4.0</v>
      </c>
    </row>
    <row r="3706" spans="1:12">
      <c r="A3706" s="3" t="s">
        <v>2194</v>
      </c>
      <c r="B3706" s="3" t="s">
        <v>3663</v>
      </c>
      <c r="C3706" s="3" t="s">
        <v>3749</v>
      </c>
      <c r="D3706" s="3"/>
      <c r="E3706" s="2" t="str">
        <f>HYPERLINK("https://old.ukr-mobil.com/zadnyaya_kryshka_iphone_x_dlya_zameny_bez_razborki_korpusa_black_12255", "Перейти")</f>
        <v>Перейти</v>
      </c>
      <c r="F3706" s="2">
        <v>12255</v>
      </c>
      <c r="G3706" s="4" t="s">
        <v>3851</v>
      </c>
      <c r="H3706" s="1">
        <v>0</v>
      </c>
      <c r="I3706" s="1">
        <v>0</v>
      </c>
      <c r="J3706" s="1">
        <v>0</v>
      </c>
      <c r="K3706" s="2">
        <v>2.0</v>
      </c>
    </row>
    <row r="3707" spans="1:12">
      <c r="A3707" s="3" t="s">
        <v>2194</v>
      </c>
      <c r="B3707" s="3" t="s">
        <v>3663</v>
      </c>
      <c r="C3707" s="3" t="s">
        <v>3749</v>
      </c>
      <c r="D3707" s="3"/>
      <c r="E3707" s="2" t="str">
        <f>HYPERLINK("https://old.ukr-mobil.com/zadnyaya_kryshka_iphone_xr_dlya_zameny_bez_razborki_korpusa_black_10000459", "Перейти")</f>
        <v>Перейти</v>
      </c>
      <c r="F3707" s="2">
        <v>10000459</v>
      </c>
      <c r="G3707" s="4" t="s">
        <v>3852</v>
      </c>
      <c r="H3707" s="1">
        <v>0</v>
      </c>
      <c r="I3707" s="1">
        <v>0</v>
      </c>
      <c r="J3707" s="1">
        <v>0</v>
      </c>
      <c r="K3707" s="2">
        <v>2.0</v>
      </c>
    </row>
    <row r="3708" spans="1:12">
      <c r="A3708" s="3" t="s">
        <v>2194</v>
      </c>
      <c r="B3708" s="3" t="s">
        <v>3663</v>
      </c>
      <c r="C3708" s="3" t="s">
        <v>3749</v>
      </c>
      <c r="D3708" s="3"/>
      <c r="E3708" s="2" t="str">
        <f>HYPERLINK("https://old.ukr-mobil.com/zadnyaya_kryshka_apple_iphone_xr_bolshoj_vyrez_pod_kameru_red_10002576", "Перейти")</f>
        <v>Перейти</v>
      </c>
      <c r="F3708" s="2">
        <v>10002576</v>
      </c>
      <c r="G3708" s="4" t="s">
        <v>3853</v>
      </c>
      <c r="H3708" s="1">
        <v>1</v>
      </c>
      <c r="I3708" s="1">
        <v>3</v>
      </c>
      <c r="J3708" s="1">
        <v>4</v>
      </c>
      <c r="K3708" s="2">
        <v>2.0</v>
      </c>
    </row>
    <row r="3709" spans="1:12">
      <c r="A3709" s="3" t="s">
        <v>2194</v>
      </c>
      <c r="B3709" s="3" t="s">
        <v>3663</v>
      </c>
      <c r="C3709" s="3" t="s">
        <v>3749</v>
      </c>
      <c r="D3709" s="3"/>
      <c r="E3709" s="2" t="str">
        <f>HYPERLINK("https://old.ukr-mobil.com/zadnyaya_kryshka_iphone_xs_max_dlya_zameny_bez_razborki_korpusa_black_12251", "Перейти")</f>
        <v>Перейти</v>
      </c>
      <c r="F3709" s="2">
        <v>12251</v>
      </c>
      <c r="G3709" s="4" t="s">
        <v>3854</v>
      </c>
      <c r="H3709" s="1">
        <v>16</v>
      </c>
      <c r="I3709" s="1">
        <v>5</v>
      </c>
      <c r="J3709" s="1">
        <v>0</v>
      </c>
      <c r="K3709" s="2">
        <v>2.0</v>
      </c>
    </row>
    <row r="3710" spans="1:12">
      <c r="A3710" s="3" t="s">
        <v>2194</v>
      </c>
      <c r="B3710" s="3" t="s">
        <v>3663</v>
      </c>
      <c r="C3710" s="3" t="s">
        <v>3749</v>
      </c>
      <c r="D3710" s="3"/>
      <c r="E3710" s="2" t="str">
        <f>HYPERLINK("https://old.ukr-mobil.com/zadnyaya_kryshka_iphone_xs_max_dlya_zameny_bez_razborki_korpusa_white_12252", "Перейти")</f>
        <v>Перейти</v>
      </c>
      <c r="F3710" s="2">
        <v>12252</v>
      </c>
      <c r="G3710" s="4" t="s">
        <v>3855</v>
      </c>
      <c r="H3710" s="1">
        <v>14</v>
      </c>
      <c r="I3710" s="1">
        <v>6</v>
      </c>
      <c r="J3710" s="1">
        <v>9</v>
      </c>
      <c r="K3710" s="2">
        <v>2.0</v>
      </c>
    </row>
    <row r="3711" spans="1:12">
      <c r="A3711" s="3" t="s">
        <v>2194</v>
      </c>
      <c r="B3711" s="3" t="s">
        <v>3663</v>
      </c>
      <c r="C3711" s="3" t="s">
        <v>3749</v>
      </c>
      <c r="D3711" s="3"/>
      <c r="E3711" s="2" t="str">
        <f>HYPERLINK("https://old.ukr-mobil.com/zadnyaya_kryshka_iphone_xs_dlya_zameny_bez_razborki_korpusa_black_12333", "Перейти")</f>
        <v>Перейти</v>
      </c>
      <c r="F3711" s="2">
        <v>12333</v>
      </c>
      <c r="G3711" s="4" t="s">
        <v>3856</v>
      </c>
      <c r="H3711" s="1">
        <v>3</v>
      </c>
      <c r="I3711" s="1">
        <v>0</v>
      </c>
      <c r="J3711" s="1">
        <v>2</v>
      </c>
      <c r="K3711" s="2">
        <v>2.0</v>
      </c>
    </row>
    <row r="3712" spans="1:12">
      <c r="A3712" s="3" t="s">
        <v>2194</v>
      </c>
      <c r="B3712" s="3" t="s">
        <v>3663</v>
      </c>
      <c r="C3712" s="3" t="s">
        <v>3749</v>
      </c>
      <c r="D3712" s="3"/>
      <c r="E3712" s="2" t="str">
        <f>HYPERLINK("https://old.ukr-mobil.com/zadnyaya_kryshka_iphone_xs_dlya_zameny_bez_razborki_korpusa_white_12253", "Перейти")</f>
        <v>Перейти</v>
      </c>
      <c r="F3712" s="2">
        <v>12253</v>
      </c>
      <c r="G3712" s="4" t="s">
        <v>3857</v>
      </c>
      <c r="H3712" s="1">
        <v>0</v>
      </c>
      <c r="I3712" s="1">
        <v>0</v>
      </c>
      <c r="J3712" s="1">
        <v>0</v>
      </c>
      <c r="K3712" s="2">
        <v>2.0</v>
      </c>
    </row>
    <row r="3713" spans="1:12">
      <c r="A3713" s="3" t="s">
        <v>2194</v>
      </c>
      <c r="B3713" s="3" t="s">
        <v>3663</v>
      </c>
      <c r="C3713" s="3" t="s">
        <v>3749</v>
      </c>
      <c r="D3713" s="3"/>
      <c r="E3713" s="2" t="str">
        <f>HYPERLINK("https://old.ukr-mobil.com/zadnyaya_kryshka_iphone_xs_s_steklom_kamery_black_12086", "Перейти")</f>
        <v>Перейти</v>
      </c>
      <c r="F3713" s="2">
        <v>12086</v>
      </c>
      <c r="G3713" s="4" t="s">
        <v>3858</v>
      </c>
      <c r="H3713" s="1">
        <v>0</v>
      </c>
      <c r="I3713" s="1">
        <v>0</v>
      </c>
      <c r="J3713" s="1">
        <v>0</v>
      </c>
      <c r="K3713" s="2">
        <v>4.0</v>
      </c>
    </row>
    <row r="3714" spans="1:12">
      <c r="A3714" s="3" t="s">
        <v>2194</v>
      </c>
      <c r="B3714" s="3" t="s">
        <v>3663</v>
      </c>
      <c r="C3714" s="3" t="s">
        <v>3749</v>
      </c>
      <c r="D3714" s="3"/>
      <c r="E3714" s="2" t="str">
        <f>HYPERLINK("https://old.ukr-mobil.com/zadnyaya_kryshka_iphone_xs_s_steklom_kamery_white_12087", "Перейти")</f>
        <v>Перейти</v>
      </c>
      <c r="F3714" s="2">
        <v>12087</v>
      </c>
      <c r="G3714" s="4" t="s">
        <v>3859</v>
      </c>
      <c r="H3714" s="1">
        <v>0</v>
      </c>
      <c r="I3714" s="1">
        <v>0</v>
      </c>
      <c r="J3714" s="1">
        <v>0</v>
      </c>
      <c r="K3714" s="2">
        <v>5.0</v>
      </c>
    </row>
    <row r="3715" spans="1:12">
      <c r="A3715" s="3" t="s">
        <v>2194</v>
      </c>
      <c r="B3715" s="3" t="s">
        <v>3663</v>
      </c>
      <c r="C3715" s="3" t="s">
        <v>3749</v>
      </c>
      <c r="D3715" s="3"/>
      <c r="E3715" s="2" t="str">
        <f>HYPERLINK("https://old.ukr-mobil.com/zadnyaya_kryshka_google_pixel_3a_original_black_10002664", "Перейти")</f>
        <v>Перейти</v>
      </c>
      <c r="F3715" s="2">
        <v>10002664</v>
      </c>
      <c r="G3715" s="4" t="s">
        <v>3860</v>
      </c>
      <c r="H3715" s="1">
        <v>3</v>
      </c>
      <c r="I3715" s="1">
        <v>0</v>
      </c>
      <c r="J3715" s="1">
        <v>2</v>
      </c>
      <c r="K3715" s="2">
        <v>5.0</v>
      </c>
    </row>
    <row r="3716" spans="1:12">
      <c r="A3716" s="3" t="s">
        <v>2194</v>
      </c>
      <c r="B3716" s="3" t="s">
        <v>3663</v>
      </c>
      <c r="C3716" s="3" t="s">
        <v>3749</v>
      </c>
      <c r="D3716" s="3"/>
      <c r="E3716" s="2" t="str">
        <f>HYPERLINK("https://old.ukr-mobil.com/zadnyaya_kryshka_google_pixel_3a_so_steklom_kamery_original_black_10002663", "Перейти")</f>
        <v>Перейти</v>
      </c>
      <c r="F3716" s="2">
        <v>10002663</v>
      </c>
      <c r="G3716" s="4" t="s">
        <v>3861</v>
      </c>
      <c r="H3716" s="1">
        <v>0</v>
      </c>
      <c r="I3716" s="1">
        <v>1</v>
      </c>
      <c r="J3716" s="1">
        <v>0</v>
      </c>
      <c r="K3716" s="2">
        <v>7.0</v>
      </c>
    </row>
    <row r="3717" spans="1:12">
      <c r="A3717" s="3" t="s">
        <v>2194</v>
      </c>
      <c r="B3717" s="3" t="s">
        <v>3663</v>
      </c>
      <c r="C3717" s="3" t="s">
        <v>3749</v>
      </c>
      <c r="D3717" s="3"/>
      <c r="E3717" s="2" t="str">
        <f>HYPERLINK("https://old.ukr-mobil.com/zadnyaya_kryshka_google_pixel_3a_so_steklom_kamery_original_purple_10002666", "Перейти")</f>
        <v>Перейти</v>
      </c>
      <c r="F3717" s="2">
        <v>10002666</v>
      </c>
      <c r="G3717" s="4" t="s">
        <v>3862</v>
      </c>
      <c r="H3717" s="1">
        <v>3</v>
      </c>
      <c r="I3717" s="1">
        <v>1</v>
      </c>
      <c r="J3717" s="1">
        <v>1</v>
      </c>
      <c r="K3717" s="2">
        <v>7.0</v>
      </c>
    </row>
    <row r="3718" spans="1:12">
      <c r="A3718" s="3" t="s">
        <v>2194</v>
      </c>
      <c r="B3718" s="3" t="s">
        <v>3663</v>
      </c>
      <c r="C3718" s="3" t="s">
        <v>3749</v>
      </c>
      <c r="D3718" s="3"/>
      <c r="E3718" s="2" t="str">
        <f>HYPERLINK("https://old.ukr-mobil.com/zadnyaya_kryshka_google_pixel_3a_so_steklom_kamery_original_white_10002665", "Перейти")</f>
        <v>Перейти</v>
      </c>
      <c r="F3718" s="2">
        <v>10002665</v>
      </c>
      <c r="G3718" s="4" t="s">
        <v>3863</v>
      </c>
      <c r="H3718" s="1">
        <v>2</v>
      </c>
      <c r="I3718" s="1">
        <v>1</v>
      </c>
      <c r="J3718" s="1">
        <v>1</v>
      </c>
      <c r="K3718" s="2">
        <v>7.0</v>
      </c>
    </row>
    <row r="3719" spans="1:12">
      <c r="A3719" s="3" t="s">
        <v>2194</v>
      </c>
      <c r="B3719" s="3" t="s">
        <v>3663</v>
      </c>
      <c r="C3719" s="3" t="s">
        <v>3749</v>
      </c>
      <c r="D3719" s="3"/>
      <c r="E3719" s="2" t="str">
        <f>HYPERLINK("https://old.ukr-mobil.com/zadnyaya_kryshka_google_pixel_4_so_steklom_kamery_original_black_10002602", "Перейти")</f>
        <v>Перейти</v>
      </c>
      <c r="F3719" s="2">
        <v>10002602</v>
      </c>
      <c r="G3719" s="4" t="s">
        <v>3864</v>
      </c>
      <c r="H3719" s="1">
        <v>5</v>
      </c>
      <c r="I3719" s="1">
        <v>1</v>
      </c>
      <c r="J3719" s="1">
        <v>2</v>
      </c>
      <c r="K3719" s="2">
        <v>7.85</v>
      </c>
    </row>
    <row r="3720" spans="1:12">
      <c r="A3720" s="3" t="s">
        <v>2194</v>
      </c>
      <c r="B3720" s="3" t="s">
        <v>3663</v>
      </c>
      <c r="C3720" s="3" t="s">
        <v>3749</v>
      </c>
      <c r="D3720" s="3"/>
      <c r="E3720" s="2" t="str">
        <f>HYPERLINK("https://old.ukr-mobil.com/zadnyaya_kryshka_google_pixel_4_so_steklom_kamery_original_orange_10002604", "Перейти")</f>
        <v>Перейти</v>
      </c>
      <c r="F3720" s="2">
        <v>10002604</v>
      </c>
      <c r="G3720" s="4" t="s">
        <v>3865</v>
      </c>
      <c r="H3720" s="1">
        <v>0</v>
      </c>
      <c r="I3720" s="1">
        <v>0</v>
      </c>
      <c r="J3720" s="1">
        <v>0</v>
      </c>
      <c r="K3720" s="2">
        <v>8.5</v>
      </c>
    </row>
    <row r="3721" spans="1:12">
      <c r="A3721" s="3" t="s">
        <v>2194</v>
      </c>
      <c r="B3721" s="3" t="s">
        <v>3663</v>
      </c>
      <c r="C3721" s="3" t="s">
        <v>3749</v>
      </c>
      <c r="D3721" s="3"/>
      <c r="E3721" s="2" t="str">
        <f>HYPERLINK("https://old.ukr-mobil.com/zadnyaya_kryshka_google_pixel_4_so_steklom_kamery_original_white_10002603", "Перейти")</f>
        <v>Перейти</v>
      </c>
      <c r="F3721" s="2">
        <v>10002603</v>
      </c>
      <c r="G3721" s="4" t="s">
        <v>3866</v>
      </c>
      <c r="H3721" s="1">
        <v>0</v>
      </c>
      <c r="I3721" s="1">
        <v>1</v>
      </c>
      <c r="J3721" s="1">
        <v>0</v>
      </c>
      <c r="K3721" s="2">
        <v>8.0</v>
      </c>
    </row>
    <row r="3722" spans="1:12">
      <c r="A3722" s="3" t="s">
        <v>2194</v>
      </c>
      <c r="B3722" s="3" t="s">
        <v>3663</v>
      </c>
      <c r="C3722" s="3" t="s">
        <v>3749</v>
      </c>
      <c r="D3722" s="3"/>
      <c r="E3722" s="2" t="str">
        <f>HYPERLINK("https://old.ukr-mobil.com/index.php?route=product&amp;product_id=10006136", "Перейти")</f>
        <v>Перейти</v>
      </c>
      <c r="F3722" s="2">
        <v>10006136</v>
      </c>
      <c r="G3722" s="4" t="s">
        <v>3867</v>
      </c>
      <c r="H3722" s="1">
        <v>0</v>
      </c>
      <c r="I3722" s="1">
        <v>2</v>
      </c>
      <c r="J3722" s="1">
        <v>0</v>
      </c>
      <c r="K3722" s="2">
        <v>7.15</v>
      </c>
    </row>
    <row r="3723" spans="1:12">
      <c r="A3723" s="3" t="s">
        <v>2194</v>
      </c>
      <c r="B3723" s="3" t="s">
        <v>3663</v>
      </c>
      <c r="C3723" s="3" t="s">
        <v>3749</v>
      </c>
      <c r="D3723" s="3"/>
      <c r="E3723" s="2" t="str">
        <f>HYPERLINK("https://old.ukr-mobil.com/zadnyaya_kryshka_google_pixel_4a_so_steklom_kamery_original_barely_blue_10002601", "Перейти")</f>
        <v>Перейти</v>
      </c>
      <c r="F3723" s="2">
        <v>10002601</v>
      </c>
      <c r="G3723" s="4" t="s">
        <v>3868</v>
      </c>
      <c r="H3723" s="1">
        <v>3</v>
      </c>
      <c r="I3723" s="1">
        <v>2</v>
      </c>
      <c r="J3723" s="1">
        <v>1</v>
      </c>
      <c r="K3723" s="2">
        <v>9.0</v>
      </c>
    </row>
    <row r="3724" spans="1:12">
      <c r="A3724" s="3" t="s">
        <v>2194</v>
      </c>
      <c r="B3724" s="3" t="s">
        <v>3663</v>
      </c>
      <c r="C3724" s="3" t="s">
        <v>3749</v>
      </c>
      <c r="D3724" s="3"/>
      <c r="E3724" s="2" t="str">
        <f>HYPERLINK("https://old.ukr-mobil.com/zadnyaya_kryshka_google_pixel_4a_so_steklom_kamery_original_black_10002600", "Перейти")</f>
        <v>Перейти</v>
      </c>
      <c r="F3724" s="2">
        <v>10002600</v>
      </c>
      <c r="G3724" s="4" t="s">
        <v>3869</v>
      </c>
      <c r="H3724" s="1">
        <v>0</v>
      </c>
      <c r="I3724" s="1">
        <v>1</v>
      </c>
      <c r="J3724" s="1">
        <v>0</v>
      </c>
      <c r="K3724" s="2">
        <v>8.5</v>
      </c>
    </row>
    <row r="3725" spans="1:12">
      <c r="A3725" s="3" t="s">
        <v>2194</v>
      </c>
      <c r="B3725" s="3" t="s">
        <v>3663</v>
      </c>
      <c r="C3725" s="3" t="s">
        <v>3749</v>
      </c>
      <c r="D3725" s="3"/>
      <c r="E3725" s="2" t="str">
        <f>HYPERLINK("https://old.ukr-mobil.com/zadnyaya_kryshka_google_pixel_5_so_steklom_kamery_original_black_10002598", "Перейти")</f>
        <v>Перейти</v>
      </c>
      <c r="F3725" s="2">
        <v>10002598</v>
      </c>
      <c r="G3725" s="4" t="s">
        <v>3870</v>
      </c>
      <c r="H3725" s="1">
        <v>4</v>
      </c>
      <c r="I3725" s="1">
        <v>1</v>
      </c>
      <c r="J3725" s="1">
        <v>1</v>
      </c>
      <c r="K3725" s="2">
        <v>20.0</v>
      </c>
    </row>
    <row r="3726" spans="1:12">
      <c r="A3726" s="3" t="s">
        <v>2194</v>
      </c>
      <c r="B3726" s="3" t="s">
        <v>3663</v>
      </c>
      <c r="C3726" s="3" t="s">
        <v>3749</v>
      </c>
      <c r="D3726" s="3"/>
      <c r="E3726" s="2" t="str">
        <f>HYPERLINK("https://old.ukr-mobil.com/zadnyaya_kryshka_google_pixel_5_so_steklom_kamery_original_green_10002599", "Перейти")</f>
        <v>Перейти</v>
      </c>
      <c r="F3726" s="2">
        <v>10002599</v>
      </c>
      <c r="G3726" s="4" t="s">
        <v>3871</v>
      </c>
      <c r="H3726" s="1">
        <v>2</v>
      </c>
      <c r="I3726" s="1">
        <v>1</v>
      </c>
      <c r="J3726" s="1">
        <v>0</v>
      </c>
      <c r="K3726" s="2">
        <v>28.0</v>
      </c>
    </row>
    <row r="3727" spans="1:12">
      <c r="A3727" s="3" t="s">
        <v>2194</v>
      </c>
      <c r="B3727" s="3" t="s">
        <v>3663</v>
      </c>
      <c r="C3727" s="3" t="s">
        <v>3749</v>
      </c>
      <c r="D3727" s="3"/>
      <c r="E3727" s="2" t="str">
        <f>HYPERLINK("https://old.ukr-mobil.com/index.php?route=product&amp;product_id=10004824", "Перейти")</f>
        <v>Перейти</v>
      </c>
      <c r="F3727" s="2">
        <v>10004824</v>
      </c>
      <c r="G3727" s="4" t="s">
        <v>3872</v>
      </c>
      <c r="H3727" s="1">
        <v>0</v>
      </c>
      <c r="I3727" s="1">
        <v>0</v>
      </c>
      <c r="J3727" s="1">
        <v>0</v>
      </c>
      <c r="K3727" s="2">
        <v>10.0</v>
      </c>
    </row>
    <row r="3728" spans="1:12">
      <c r="A3728" s="3" t="s">
        <v>2194</v>
      </c>
      <c r="B3728" s="3" t="s">
        <v>3663</v>
      </c>
      <c r="C3728" s="3" t="s">
        <v>3749</v>
      </c>
      <c r="D3728" s="3"/>
      <c r="E3728" s="2" t="str">
        <f>HYPERLINK("https://old.ukr-mobil.com/index.php?route=product&amp;product_id=10004823", "Перейти")</f>
        <v>Перейти</v>
      </c>
      <c r="F3728" s="2">
        <v>10004823</v>
      </c>
      <c r="G3728" s="4" t="s">
        <v>3873</v>
      </c>
      <c r="H3728" s="1">
        <v>5</v>
      </c>
      <c r="I3728" s="1">
        <v>2</v>
      </c>
      <c r="J3728" s="1">
        <v>2</v>
      </c>
      <c r="K3728" s="2">
        <v>10.0</v>
      </c>
    </row>
    <row r="3729" spans="1:12">
      <c r="A3729" s="3" t="s">
        <v>2194</v>
      </c>
      <c r="B3729" s="3" t="s">
        <v>3663</v>
      </c>
      <c r="C3729" s="3" t="s">
        <v>3749</v>
      </c>
      <c r="D3729" s="3"/>
      <c r="E3729" s="2" t="str">
        <f>HYPERLINK("https://old.ukr-mobil.com/zadnyaya_kryshka_google_pixel_6_original_black_10003087", "Перейти")</f>
        <v>Перейти</v>
      </c>
      <c r="F3729" s="2">
        <v>10003087</v>
      </c>
      <c r="G3729" s="4" t="s">
        <v>3874</v>
      </c>
      <c r="H3729" s="1">
        <v>0</v>
      </c>
      <c r="I3729" s="1">
        <v>0</v>
      </c>
      <c r="J3729" s="1">
        <v>0</v>
      </c>
      <c r="K3729" s="2">
        <v>12.5</v>
      </c>
    </row>
    <row r="3730" spans="1:12">
      <c r="A3730" s="3" t="s">
        <v>2194</v>
      </c>
      <c r="B3730" s="3" t="s">
        <v>3663</v>
      </c>
      <c r="C3730" s="3" t="s">
        <v>3749</v>
      </c>
      <c r="D3730" s="3"/>
      <c r="E3730" s="2" t="str">
        <f>HYPERLINK("https://old.ukr-mobil.com/index.php?route=product&amp;product_id=10004832", "Перейти")</f>
        <v>Перейти</v>
      </c>
      <c r="F3730" s="2">
        <v>10004832</v>
      </c>
      <c r="G3730" s="4" t="s">
        <v>3875</v>
      </c>
      <c r="H3730" s="1">
        <v>1</v>
      </c>
      <c r="I3730" s="1">
        <v>2</v>
      </c>
      <c r="J3730" s="1">
        <v>2</v>
      </c>
      <c r="K3730" s="2">
        <v>18.0</v>
      </c>
    </row>
    <row r="3731" spans="1:12">
      <c r="A3731" s="3" t="s">
        <v>2194</v>
      </c>
      <c r="B3731" s="3" t="s">
        <v>3663</v>
      </c>
      <c r="C3731" s="3" t="s">
        <v>3749</v>
      </c>
      <c r="D3731" s="3"/>
      <c r="E3731" s="2" t="str">
        <f>HYPERLINK("https://old.ukr-mobil.com/index.php?route=product&amp;product_id=10004831", "Перейти")</f>
        <v>Перейти</v>
      </c>
      <c r="F3731" s="2">
        <v>10004831</v>
      </c>
      <c r="G3731" s="4" t="s">
        <v>3876</v>
      </c>
      <c r="H3731" s="1">
        <v>4</v>
      </c>
      <c r="I3731" s="1">
        <v>3</v>
      </c>
      <c r="J3731" s="1">
        <v>2</v>
      </c>
      <c r="K3731" s="2">
        <v>18.0</v>
      </c>
    </row>
    <row r="3732" spans="1:12">
      <c r="A3732" s="3" t="s">
        <v>2194</v>
      </c>
      <c r="B3732" s="3" t="s">
        <v>3663</v>
      </c>
      <c r="C3732" s="3" t="s">
        <v>3749</v>
      </c>
      <c r="D3732" s="3"/>
      <c r="E3732" s="2" t="str">
        <f>HYPERLINK("https://old.ukr-mobil.com/index.php?route=product&amp;product_id=10004829", "Перейти")</f>
        <v>Перейти</v>
      </c>
      <c r="F3732" s="2">
        <v>10004829</v>
      </c>
      <c r="G3732" s="4" t="s">
        <v>3877</v>
      </c>
      <c r="H3732" s="1">
        <v>2</v>
      </c>
      <c r="I3732" s="1">
        <v>2</v>
      </c>
      <c r="J3732" s="1">
        <v>2</v>
      </c>
      <c r="K3732" s="2">
        <v>15.0</v>
      </c>
    </row>
    <row r="3733" spans="1:12">
      <c r="A3733" s="3" t="s">
        <v>2194</v>
      </c>
      <c r="B3733" s="3" t="s">
        <v>3663</v>
      </c>
      <c r="C3733" s="3" t="s">
        <v>3749</v>
      </c>
      <c r="D3733" s="3"/>
      <c r="E3733" s="2" t="str">
        <f>HYPERLINK("https://old.ukr-mobil.com/index.php?route=product&amp;product_id=10004828", "Перейти")</f>
        <v>Перейти</v>
      </c>
      <c r="F3733" s="2">
        <v>10004828</v>
      </c>
      <c r="G3733" s="4" t="s">
        <v>3878</v>
      </c>
      <c r="H3733" s="1">
        <v>2</v>
      </c>
      <c r="I3733" s="1">
        <v>2</v>
      </c>
      <c r="J3733" s="1">
        <v>2</v>
      </c>
      <c r="K3733" s="2">
        <v>15.0</v>
      </c>
    </row>
    <row r="3734" spans="1:12">
      <c r="A3734" s="3" t="s">
        <v>2194</v>
      </c>
      <c r="B3734" s="3" t="s">
        <v>3663</v>
      </c>
      <c r="C3734" s="3" t="s">
        <v>3749</v>
      </c>
      <c r="D3734" s="3"/>
      <c r="E3734" s="2" t="str">
        <f>HYPERLINK("https://old.ukr-mobil.com/zadnyaya_kryshka_huawei_gr3_2017_honor_8_lite_nova_lite_2016_p8_lite_2017_high_copy_black_10699", "Перейти")</f>
        <v>Перейти</v>
      </c>
      <c r="F3734" s="2">
        <v>10699</v>
      </c>
      <c r="G3734" s="4" t="s">
        <v>3879</v>
      </c>
      <c r="H3734" s="1">
        <v>0</v>
      </c>
      <c r="I3734" s="1">
        <v>0</v>
      </c>
      <c r="J3734" s="1">
        <v>0</v>
      </c>
      <c r="K3734" s="2">
        <v>2.5</v>
      </c>
    </row>
    <row r="3735" spans="1:12">
      <c r="A3735" s="3" t="s">
        <v>2194</v>
      </c>
      <c r="B3735" s="3" t="s">
        <v>3663</v>
      </c>
      <c r="C3735" s="3" t="s">
        <v>3749</v>
      </c>
      <c r="D3735" s="3"/>
      <c r="E3735" s="2" t="str">
        <f>HYPERLINK("https://old.ukr-mobil.com/zadnyaya_kryshka_huawei_gr3_2017_honor_8_lite_nova_lite_2016_p8_lite_2017_high_copy_gold_10700", "Перейти")</f>
        <v>Перейти</v>
      </c>
      <c r="F3735" s="2">
        <v>10700</v>
      </c>
      <c r="G3735" s="4" t="s">
        <v>3880</v>
      </c>
      <c r="H3735" s="1">
        <v>0</v>
      </c>
      <c r="I3735" s="1">
        <v>0</v>
      </c>
      <c r="J3735" s="1">
        <v>0</v>
      </c>
      <c r="K3735" s="2">
        <v>2.5</v>
      </c>
    </row>
    <row r="3736" spans="1:12">
      <c r="A3736" s="3" t="s">
        <v>2194</v>
      </c>
      <c r="B3736" s="3" t="s">
        <v>3663</v>
      </c>
      <c r="C3736" s="3" t="s">
        <v>3749</v>
      </c>
      <c r="D3736" s="3"/>
      <c r="E3736" s="2" t="str">
        <f>HYPERLINK("https://old.ukr-mobil.com/zadnyaya_kryshka_huawei_gr3_2017_honor_8_lite_nova_lite_2016_p8_lite_2017_high_copy_white_10701", "Перейти")</f>
        <v>Перейти</v>
      </c>
      <c r="F3736" s="2">
        <v>10701</v>
      </c>
      <c r="G3736" s="4" t="s">
        <v>3881</v>
      </c>
      <c r="H3736" s="1">
        <v>0</v>
      </c>
      <c r="I3736" s="1">
        <v>0</v>
      </c>
      <c r="J3736" s="1">
        <v>0</v>
      </c>
      <c r="K3736" s="2">
        <v>2.02</v>
      </c>
    </row>
    <row r="3737" spans="1:12">
      <c r="A3737" s="3" t="s">
        <v>2194</v>
      </c>
      <c r="B3737" s="3" t="s">
        <v>3663</v>
      </c>
      <c r="C3737" s="3" t="s">
        <v>3749</v>
      </c>
      <c r="D3737" s="3"/>
      <c r="E3737" s="2" t="str">
        <f>HYPERLINK("https://old.ukr-mobil.com/zadnyaya_kryshka_huawei_honor_10_black_10704", "Перейти")</f>
        <v>Перейти</v>
      </c>
      <c r="F3737" s="2">
        <v>10704</v>
      </c>
      <c r="G3737" s="4" t="s">
        <v>3882</v>
      </c>
      <c r="H3737" s="1">
        <v>1</v>
      </c>
      <c r="I3737" s="1">
        <v>0</v>
      </c>
      <c r="J3737" s="1">
        <v>1</v>
      </c>
      <c r="K3737" s="2">
        <v>8.57</v>
      </c>
    </row>
    <row r="3738" spans="1:12">
      <c r="A3738" s="3" t="s">
        <v>2194</v>
      </c>
      <c r="B3738" s="3" t="s">
        <v>3663</v>
      </c>
      <c r="C3738" s="3" t="s">
        <v>3749</v>
      </c>
      <c r="D3738" s="3"/>
      <c r="E3738" s="2" t="str">
        <f>HYPERLINK("https://old.ukr-mobil.com/zadnyaya_kryshka_huawei_honor_10_blue_11071", "Перейти")</f>
        <v>Перейти</v>
      </c>
      <c r="F3738" s="2">
        <v>11071</v>
      </c>
      <c r="G3738" s="4" t="s">
        <v>3883</v>
      </c>
      <c r="H3738" s="1">
        <v>0</v>
      </c>
      <c r="I3738" s="1">
        <v>0</v>
      </c>
      <c r="J3738" s="1">
        <v>0</v>
      </c>
      <c r="K3738" s="2">
        <v>8.57</v>
      </c>
    </row>
    <row r="3739" spans="1:12">
      <c r="A3739" s="3" t="s">
        <v>2194</v>
      </c>
      <c r="B3739" s="3" t="s">
        <v>3663</v>
      </c>
      <c r="C3739" s="3" t="s">
        <v>3749</v>
      </c>
      <c r="D3739" s="3"/>
      <c r="E3739" s="2" t="str">
        <f>HYPERLINK("https://old.ukr-mobil.com/zadnyaya_kryshka_huawei_honor_10_glacier_gey_11070", "Перейти")</f>
        <v>Перейти</v>
      </c>
      <c r="F3739" s="2">
        <v>11070</v>
      </c>
      <c r="G3739" s="4" t="s">
        <v>3884</v>
      </c>
      <c r="H3739" s="1">
        <v>0</v>
      </c>
      <c r="I3739" s="1">
        <v>0</v>
      </c>
      <c r="J3739" s="1">
        <v>0</v>
      </c>
      <c r="K3739" s="2">
        <v>7.0</v>
      </c>
    </row>
    <row r="3740" spans="1:12">
      <c r="A3740" s="3" t="s">
        <v>2194</v>
      </c>
      <c r="B3740" s="3" t="s">
        <v>3663</v>
      </c>
      <c r="C3740" s="3" t="s">
        <v>3749</v>
      </c>
      <c r="D3740" s="3"/>
      <c r="E3740" s="2" t="str">
        <f>HYPERLINK("https://old.ukr-mobil.com/zadnyaya_kryshka_huawei_honor_10_green_11072", "Перейти")</f>
        <v>Перейти</v>
      </c>
      <c r="F3740" s="2">
        <v>11072</v>
      </c>
      <c r="G3740" s="4" t="s">
        <v>3885</v>
      </c>
      <c r="H3740" s="1">
        <v>0</v>
      </c>
      <c r="I3740" s="1">
        <v>0</v>
      </c>
      <c r="J3740" s="1">
        <v>0</v>
      </c>
      <c r="K3740" s="2">
        <v>8.57</v>
      </c>
    </row>
    <row r="3741" spans="1:12">
      <c r="A3741" s="3" t="s">
        <v>2194</v>
      </c>
      <c r="B3741" s="3" t="s">
        <v>3663</v>
      </c>
      <c r="C3741" s="3" t="s">
        <v>3749</v>
      </c>
      <c r="D3741" s="3"/>
      <c r="E3741" s="2" t="str">
        <f>HYPERLINK("https://old.ukr-mobil.com/zadnyaya_kryshka_huawei_honor_10_lite_sapphire_black_12294", "Перейти")</f>
        <v>Перейти</v>
      </c>
      <c r="F3741" s="2">
        <v>12294</v>
      </c>
      <c r="G3741" s="4" t="s">
        <v>3886</v>
      </c>
      <c r="H3741" s="1">
        <v>20</v>
      </c>
      <c r="I3741" s="1">
        <v>5</v>
      </c>
      <c r="J3741" s="1">
        <v>3</v>
      </c>
      <c r="K3741" s="2">
        <v>2.5</v>
      </c>
    </row>
    <row r="3742" spans="1:12">
      <c r="A3742" s="3" t="s">
        <v>2194</v>
      </c>
      <c r="B3742" s="3" t="s">
        <v>3663</v>
      </c>
      <c r="C3742" s="3" t="s">
        <v>3749</v>
      </c>
      <c r="D3742" s="3"/>
      <c r="E3742" s="2" t="str">
        <f>HYPERLINK("https://old.ukr-mobil.com/zadnyaya_kryshka_huawei_honor_10_lite_sapphire_blue_12293", "Перейти")</f>
        <v>Перейти</v>
      </c>
      <c r="F3742" s="2">
        <v>12293</v>
      </c>
      <c r="G3742" s="4" t="s">
        <v>3887</v>
      </c>
      <c r="H3742" s="1">
        <v>3</v>
      </c>
      <c r="I3742" s="1">
        <v>2</v>
      </c>
      <c r="J3742" s="1">
        <v>3</v>
      </c>
      <c r="K3742" s="2">
        <v>2.25</v>
      </c>
    </row>
    <row r="3743" spans="1:12">
      <c r="A3743" s="3" t="s">
        <v>2194</v>
      </c>
      <c r="B3743" s="3" t="s">
        <v>3663</v>
      </c>
      <c r="C3743" s="3" t="s">
        <v>3749</v>
      </c>
      <c r="D3743" s="3"/>
      <c r="E3743" s="2" t="str">
        <f>HYPERLINK("https://old.ukr-mobil.com/zadnyaya_kryshka_huawei_honor_20_original_prc_black_10001157", "Перейти")</f>
        <v>Перейти</v>
      </c>
      <c r="F3743" s="2">
        <v>10001157</v>
      </c>
      <c r="G3743" s="4" t="s">
        <v>3888</v>
      </c>
      <c r="H3743" s="1">
        <v>0</v>
      </c>
      <c r="I3743" s="1">
        <v>0</v>
      </c>
      <c r="J3743" s="1">
        <v>0</v>
      </c>
      <c r="K3743" s="2">
        <v>3.5</v>
      </c>
    </row>
    <row r="3744" spans="1:12">
      <c r="A3744" s="3" t="s">
        <v>2194</v>
      </c>
      <c r="B3744" s="3" t="s">
        <v>3663</v>
      </c>
      <c r="C3744" s="3" t="s">
        <v>3749</v>
      </c>
      <c r="D3744" s="3"/>
      <c r="E3744" s="2" t="str">
        <f>HYPERLINK("https://old.ukr-mobil.com/zadnyaya_kryshka_huawei_honor_6a_rose_gold_10705", "Перейти")</f>
        <v>Перейти</v>
      </c>
      <c r="F3744" s="2">
        <v>10705</v>
      </c>
      <c r="G3744" s="4" t="s">
        <v>3889</v>
      </c>
      <c r="H3744" s="1">
        <v>0</v>
      </c>
      <c r="I3744" s="1">
        <v>1</v>
      </c>
      <c r="J3744" s="1">
        <v>0</v>
      </c>
      <c r="K3744" s="2">
        <v>7.06</v>
      </c>
    </row>
    <row r="3745" spans="1:12">
      <c r="A3745" s="3" t="s">
        <v>2194</v>
      </c>
      <c r="B3745" s="3" t="s">
        <v>3663</v>
      </c>
      <c r="C3745" s="3" t="s">
        <v>3749</v>
      </c>
      <c r="D3745" s="3"/>
      <c r="E3745" s="2" t="str">
        <f>HYPERLINK("https://old.ukr-mobil.com/zadnyaya_kryshka_huawei_honor_7x_blue_10708", "Перейти")</f>
        <v>Перейти</v>
      </c>
      <c r="F3745" s="2">
        <v>10708</v>
      </c>
      <c r="G3745" s="4" t="s">
        <v>3890</v>
      </c>
      <c r="H3745" s="1">
        <v>0</v>
      </c>
      <c r="I3745" s="1">
        <v>0</v>
      </c>
      <c r="J3745" s="1">
        <v>0</v>
      </c>
      <c r="K3745" s="2">
        <v>8.06</v>
      </c>
    </row>
    <row r="3746" spans="1:12">
      <c r="A3746" s="3" t="s">
        <v>2194</v>
      </c>
      <c r="B3746" s="3" t="s">
        <v>3663</v>
      </c>
      <c r="C3746" s="3" t="s">
        <v>3749</v>
      </c>
      <c r="D3746" s="3"/>
      <c r="E3746" s="2" t="str">
        <f>HYPERLINK("https://old.ukr-mobil.com/zadnyaya_kryshka_huawei_honor_7x_gold_10707", "Перейти")</f>
        <v>Перейти</v>
      </c>
      <c r="F3746" s="2">
        <v>10707</v>
      </c>
      <c r="G3746" s="4" t="s">
        <v>3891</v>
      </c>
      <c r="H3746" s="1">
        <v>0</v>
      </c>
      <c r="I3746" s="1">
        <v>0</v>
      </c>
      <c r="J3746" s="1">
        <v>0</v>
      </c>
      <c r="K3746" s="2">
        <v>8.06</v>
      </c>
    </row>
    <row r="3747" spans="1:12">
      <c r="A3747" s="3" t="s">
        <v>2194</v>
      </c>
      <c r="B3747" s="3" t="s">
        <v>3663</v>
      </c>
      <c r="C3747" s="3" t="s">
        <v>3749</v>
      </c>
      <c r="D3747" s="3"/>
      <c r="E3747" s="2" t="str">
        <f>HYPERLINK("https://old.ukr-mobil.com/zadnyaya_kryshka_huawei_honor_7x_red_10709", "Перейти")</f>
        <v>Перейти</v>
      </c>
      <c r="F3747" s="2">
        <v>10709</v>
      </c>
      <c r="G3747" s="4" t="s">
        <v>3892</v>
      </c>
      <c r="H3747" s="1">
        <v>0</v>
      </c>
      <c r="I3747" s="1">
        <v>0</v>
      </c>
      <c r="J3747" s="1">
        <v>0</v>
      </c>
      <c r="K3747" s="2">
        <v>8.06</v>
      </c>
    </row>
    <row r="3748" spans="1:12">
      <c r="A3748" s="3" t="s">
        <v>2194</v>
      </c>
      <c r="B3748" s="3" t="s">
        <v>3663</v>
      </c>
      <c r="C3748" s="3" t="s">
        <v>3749</v>
      </c>
      <c r="D3748" s="3"/>
      <c r="E3748" s="2" t="str">
        <f>HYPERLINK("https://old.ukr-mobil.com/zadnyaya_kryshka_huawei_honor_8_black_10710", "Перейти")</f>
        <v>Перейти</v>
      </c>
      <c r="F3748" s="2">
        <v>10710</v>
      </c>
      <c r="G3748" s="4" t="s">
        <v>3893</v>
      </c>
      <c r="H3748" s="1">
        <v>0</v>
      </c>
      <c r="I3748" s="1">
        <v>0</v>
      </c>
      <c r="J3748" s="1">
        <v>0</v>
      </c>
      <c r="K3748" s="2">
        <v>4.54</v>
      </c>
    </row>
    <row r="3749" spans="1:12">
      <c r="A3749" s="3" t="s">
        <v>2194</v>
      </c>
      <c r="B3749" s="3" t="s">
        <v>3663</v>
      </c>
      <c r="C3749" s="3" t="s">
        <v>3749</v>
      </c>
      <c r="D3749" s="3"/>
      <c r="E3749" s="2" t="str">
        <f>HYPERLINK("https://old.ukr-mobil.com/zadnyaya_kryshka_huawei_honor_8_blue_11073", "Перейти")</f>
        <v>Перейти</v>
      </c>
      <c r="F3749" s="2">
        <v>11073</v>
      </c>
      <c r="G3749" s="4" t="s">
        <v>3894</v>
      </c>
      <c r="H3749" s="1">
        <v>0</v>
      </c>
      <c r="I3749" s="1">
        <v>0</v>
      </c>
      <c r="J3749" s="1">
        <v>0</v>
      </c>
      <c r="K3749" s="2">
        <v>3.02</v>
      </c>
    </row>
    <row r="3750" spans="1:12">
      <c r="A3750" s="3" t="s">
        <v>2194</v>
      </c>
      <c r="B3750" s="3" t="s">
        <v>3663</v>
      </c>
      <c r="C3750" s="3" t="s">
        <v>3749</v>
      </c>
      <c r="D3750" s="3"/>
      <c r="E3750" s="2" t="str">
        <f>HYPERLINK("https://old.ukr-mobil.com/zadnyaya_kryshka_huawei_honor_8_gold_11074", "Перейти")</f>
        <v>Перейти</v>
      </c>
      <c r="F3750" s="2">
        <v>11074</v>
      </c>
      <c r="G3750" s="4" t="s">
        <v>3895</v>
      </c>
      <c r="H3750" s="1">
        <v>0</v>
      </c>
      <c r="I3750" s="1">
        <v>0</v>
      </c>
      <c r="J3750" s="1">
        <v>0</v>
      </c>
      <c r="K3750" s="2">
        <v>4.54</v>
      </c>
    </row>
    <row r="3751" spans="1:12">
      <c r="A3751" s="3" t="s">
        <v>2194</v>
      </c>
      <c r="B3751" s="3" t="s">
        <v>3663</v>
      </c>
      <c r="C3751" s="3" t="s">
        <v>3749</v>
      </c>
      <c r="D3751" s="3"/>
      <c r="E3751" s="2" t="str">
        <f>HYPERLINK("https://old.ukr-mobil.com/zadnyaya_kryshka_huawei_honor_8_pink_11075", "Перейти")</f>
        <v>Перейти</v>
      </c>
      <c r="F3751" s="2">
        <v>11075</v>
      </c>
      <c r="G3751" s="4" t="s">
        <v>3896</v>
      </c>
      <c r="H3751" s="1">
        <v>0</v>
      </c>
      <c r="I3751" s="1">
        <v>0</v>
      </c>
      <c r="J3751" s="1">
        <v>0</v>
      </c>
      <c r="K3751" s="2">
        <v>4.54</v>
      </c>
    </row>
    <row r="3752" spans="1:12">
      <c r="A3752" s="3" t="s">
        <v>2194</v>
      </c>
      <c r="B3752" s="3" t="s">
        <v>3663</v>
      </c>
      <c r="C3752" s="3" t="s">
        <v>3749</v>
      </c>
      <c r="D3752" s="3"/>
      <c r="E3752" s="2" t="str">
        <f>HYPERLINK("https://old.ukr-mobil.com/zadnyaya_kryshka_huawei_honor_8_white_11076", "Перейти")</f>
        <v>Перейти</v>
      </c>
      <c r="F3752" s="2">
        <v>11076</v>
      </c>
      <c r="G3752" s="4" t="s">
        <v>3897</v>
      </c>
      <c r="H3752" s="1">
        <v>0</v>
      </c>
      <c r="I3752" s="1">
        <v>0</v>
      </c>
      <c r="J3752" s="1">
        <v>0</v>
      </c>
      <c r="K3752" s="2">
        <v>3.02</v>
      </c>
    </row>
    <row r="3753" spans="1:12">
      <c r="A3753" s="3" t="s">
        <v>2194</v>
      </c>
      <c r="B3753" s="3" t="s">
        <v>3663</v>
      </c>
      <c r="C3753" s="3" t="s">
        <v>3749</v>
      </c>
      <c r="D3753" s="3"/>
      <c r="E3753" s="2" t="str">
        <f>HYPERLINK("https://old.ukr-mobil.com/zadnyaya_kryshka_huawei_honor_8x_original_prc_black_10001154", "Перейти")</f>
        <v>Перейти</v>
      </c>
      <c r="F3753" s="2">
        <v>10001154</v>
      </c>
      <c r="G3753" s="4" t="s">
        <v>3898</v>
      </c>
      <c r="H3753" s="1">
        <v>13</v>
      </c>
      <c r="I3753" s="1">
        <v>2</v>
      </c>
      <c r="J3753" s="1">
        <v>0</v>
      </c>
      <c r="K3753" s="2">
        <v>2.35</v>
      </c>
    </row>
    <row r="3754" spans="1:12">
      <c r="A3754" s="3" t="s">
        <v>2194</v>
      </c>
      <c r="B3754" s="3" t="s">
        <v>3663</v>
      </c>
      <c r="C3754" s="3" t="s">
        <v>3749</v>
      </c>
      <c r="D3754" s="3"/>
      <c r="E3754" s="2" t="str">
        <f>HYPERLINK("https://old.ukr-mobil.com/zadnyaya_kryshka_huawei_honor_8x_original_prc_blue_10001155", "Перейти")</f>
        <v>Перейти</v>
      </c>
      <c r="F3754" s="2">
        <v>10001155</v>
      </c>
      <c r="G3754" s="4" t="s">
        <v>3899</v>
      </c>
      <c r="H3754" s="1">
        <v>0</v>
      </c>
      <c r="I3754" s="1">
        <v>0</v>
      </c>
      <c r="J3754" s="1">
        <v>0</v>
      </c>
      <c r="K3754" s="2">
        <v>2.5</v>
      </c>
    </row>
    <row r="3755" spans="1:12">
      <c r="A3755" s="3" t="s">
        <v>2194</v>
      </c>
      <c r="B3755" s="3" t="s">
        <v>3663</v>
      </c>
      <c r="C3755" s="3" t="s">
        <v>3749</v>
      </c>
      <c r="D3755" s="3"/>
      <c r="E3755" s="2" t="str">
        <f>HYPERLINK("https://old.ukr-mobil.com/zadnyaya_kryshka_huawei_honor_8x_jsn-l11_jsn-l21_jsn-l22_so_steklom_kamery_high_copy_black_10002569", "Перейти")</f>
        <v>Перейти</v>
      </c>
      <c r="F3755" s="2">
        <v>10002569</v>
      </c>
      <c r="G3755" s="4" t="s">
        <v>3900</v>
      </c>
      <c r="H3755" s="1">
        <v>0</v>
      </c>
      <c r="I3755" s="1">
        <v>0</v>
      </c>
      <c r="J3755" s="1">
        <v>0</v>
      </c>
      <c r="K3755" s="2">
        <v>3.75</v>
      </c>
    </row>
    <row r="3756" spans="1:12">
      <c r="A3756" s="3" t="s">
        <v>2194</v>
      </c>
      <c r="B3756" s="3" t="s">
        <v>3663</v>
      </c>
      <c r="C3756" s="3" t="s">
        <v>3749</v>
      </c>
      <c r="D3756" s="3"/>
      <c r="E3756" s="2" t="str">
        <f>HYPERLINK("https://old.ukr-mobil.com/zadnyaya_kryshka_huawei_honor_8x_jsn-l11_jsn-l21_jsn-l22_so_steklom_kamery_original_prc_blue_10002570", "Перейти")</f>
        <v>Перейти</v>
      </c>
      <c r="F3756" s="2">
        <v>10002570</v>
      </c>
      <c r="G3756" s="4" t="s">
        <v>3901</v>
      </c>
      <c r="H3756" s="1">
        <v>0</v>
      </c>
      <c r="I3756" s="1">
        <v>0</v>
      </c>
      <c r="J3756" s="1">
        <v>0</v>
      </c>
      <c r="K3756" s="2">
        <v>4.0</v>
      </c>
    </row>
    <row r="3757" spans="1:12">
      <c r="A3757" s="3" t="s">
        <v>2194</v>
      </c>
      <c r="B3757" s="3" t="s">
        <v>3663</v>
      </c>
      <c r="C3757" s="3" t="s">
        <v>3749</v>
      </c>
      <c r="D3757" s="3"/>
      <c r="E3757" s="2" t="str">
        <f>HYPERLINK("https://old.ukr-mobil.com/zadnyaya_kryshka_huawei_honor_9_original_prc_gold_11060", "Перейти")</f>
        <v>Перейти</v>
      </c>
      <c r="F3757" s="2">
        <v>11060</v>
      </c>
      <c r="G3757" s="4" t="s">
        <v>3902</v>
      </c>
      <c r="H3757" s="1">
        <v>2</v>
      </c>
      <c r="I3757" s="1">
        <v>0</v>
      </c>
      <c r="J3757" s="1">
        <v>0</v>
      </c>
      <c r="K3757" s="2">
        <v>6.55</v>
      </c>
    </row>
    <row r="3758" spans="1:12">
      <c r="A3758" s="3" t="s">
        <v>2194</v>
      </c>
      <c r="B3758" s="3" t="s">
        <v>3663</v>
      </c>
      <c r="C3758" s="3" t="s">
        <v>3749</v>
      </c>
      <c r="D3758" s="3"/>
      <c r="E3758" s="2" t="str">
        <f>HYPERLINK("https://old.ukr-mobil.com/index.php?route=product&amp;product_id=10005425", "Перейти")</f>
        <v>Перейти</v>
      </c>
      <c r="F3758" s="2">
        <v>10005425</v>
      </c>
      <c r="G3758" s="4" t="s">
        <v>3903</v>
      </c>
      <c r="H3758" s="1">
        <v>4</v>
      </c>
      <c r="I3758" s="1">
        <v>3</v>
      </c>
      <c r="J3758" s="1">
        <v>2</v>
      </c>
      <c r="K3758" s="2">
        <v>6.85</v>
      </c>
    </row>
    <row r="3759" spans="1:12">
      <c r="A3759" s="3" t="s">
        <v>2194</v>
      </c>
      <c r="B3759" s="3" t="s">
        <v>3663</v>
      </c>
      <c r="C3759" s="3" t="s">
        <v>3749</v>
      </c>
      <c r="D3759" s="3"/>
      <c r="E3759" s="2" t="str">
        <f>HYPERLINK("https://old.ukr-mobil.com/index.php?route=product&amp;product_id=10005426", "Перейти")</f>
        <v>Перейти</v>
      </c>
      <c r="F3759" s="2">
        <v>10005426</v>
      </c>
      <c r="G3759" s="4" t="s">
        <v>3904</v>
      </c>
      <c r="H3759" s="1">
        <v>5</v>
      </c>
      <c r="I3759" s="1">
        <v>2</v>
      </c>
      <c r="J3759" s="1">
        <v>2</v>
      </c>
      <c r="K3759" s="2">
        <v>7.11</v>
      </c>
    </row>
    <row r="3760" spans="1:12">
      <c r="A3760" s="3" t="s">
        <v>2194</v>
      </c>
      <c r="B3760" s="3" t="s">
        <v>3663</v>
      </c>
      <c r="C3760" s="3" t="s">
        <v>3749</v>
      </c>
      <c r="D3760" s="3"/>
      <c r="E3760" s="2" t="str">
        <f>HYPERLINK("https://old.ukr-mobil.com/index.php?route=product&amp;product_id=10005427", "Перейти")</f>
        <v>Перейти</v>
      </c>
      <c r="F3760" s="2">
        <v>10005427</v>
      </c>
      <c r="G3760" s="4" t="s">
        <v>3905</v>
      </c>
      <c r="H3760" s="1">
        <v>5</v>
      </c>
      <c r="I3760" s="1">
        <v>3</v>
      </c>
      <c r="J3760" s="1">
        <v>2</v>
      </c>
      <c r="K3760" s="2">
        <v>8.0</v>
      </c>
    </row>
    <row r="3761" spans="1:12">
      <c r="A3761" s="3" t="s">
        <v>2194</v>
      </c>
      <c r="B3761" s="3" t="s">
        <v>3663</v>
      </c>
      <c r="C3761" s="3" t="s">
        <v>3749</v>
      </c>
      <c r="D3761" s="3"/>
      <c r="E3761" s="2" t="str">
        <f>HYPERLINK("https://old.ukr-mobil.com/index.php?route=product&amp;product_id=10005436", "Перейти")</f>
        <v>Перейти</v>
      </c>
      <c r="F3761" s="2">
        <v>10005436</v>
      </c>
      <c r="G3761" s="4" t="s">
        <v>3906</v>
      </c>
      <c r="H3761" s="1">
        <v>5</v>
      </c>
      <c r="I3761" s="1">
        <v>3</v>
      </c>
      <c r="J3761" s="1">
        <v>2</v>
      </c>
      <c r="K3761" s="2">
        <v>8.0</v>
      </c>
    </row>
    <row r="3762" spans="1:12">
      <c r="A3762" s="3" t="s">
        <v>2194</v>
      </c>
      <c r="B3762" s="3" t="s">
        <v>3663</v>
      </c>
      <c r="C3762" s="3" t="s">
        <v>3749</v>
      </c>
      <c r="D3762" s="3"/>
      <c r="E3762" s="2" t="str">
        <f>HYPERLINK("https://old.ukr-mobil.com/index.php?route=product&amp;product_id=10005440", "Перейти")</f>
        <v>Перейти</v>
      </c>
      <c r="F3762" s="2">
        <v>10005440</v>
      </c>
      <c r="G3762" s="4" t="s">
        <v>3907</v>
      </c>
      <c r="H3762" s="1">
        <v>5</v>
      </c>
      <c r="I3762" s="1">
        <v>3</v>
      </c>
      <c r="J3762" s="1">
        <v>2</v>
      </c>
      <c r="K3762" s="2">
        <v>8.55</v>
      </c>
    </row>
    <row r="3763" spans="1:12">
      <c r="A3763" s="3" t="s">
        <v>2194</v>
      </c>
      <c r="B3763" s="3" t="s">
        <v>3663</v>
      </c>
      <c r="C3763" s="3" t="s">
        <v>3749</v>
      </c>
      <c r="D3763" s="3"/>
      <c r="E3763" s="2" t="str">
        <f>HYPERLINK("https://old.ukr-mobil.com/index.php?route=product&amp;product_id=10005439", "Перейти")</f>
        <v>Перейти</v>
      </c>
      <c r="F3763" s="2">
        <v>10005439</v>
      </c>
      <c r="G3763" s="4" t="s">
        <v>3908</v>
      </c>
      <c r="H3763" s="1">
        <v>4</v>
      </c>
      <c r="I3763" s="1">
        <v>3</v>
      </c>
      <c r="J3763" s="1">
        <v>2</v>
      </c>
      <c r="K3763" s="2">
        <v>8.55</v>
      </c>
    </row>
    <row r="3764" spans="1:12">
      <c r="A3764" s="3" t="s">
        <v>2194</v>
      </c>
      <c r="B3764" s="3" t="s">
        <v>3663</v>
      </c>
      <c r="C3764" s="3" t="s">
        <v>3749</v>
      </c>
      <c r="D3764" s="3"/>
      <c r="E3764" s="2" t="str">
        <f>HYPERLINK("https://old.ukr-mobil.com/zadnyaya_kryshka_huawei_mate_10_blue_12079", "Перейти")</f>
        <v>Перейти</v>
      </c>
      <c r="F3764" s="2">
        <v>12079</v>
      </c>
      <c r="G3764" s="4" t="s">
        <v>3909</v>
      </c>
      <c r="H3764" s="1">
        <v>3</v>
      </c>
      <c r="I3764" s="1">
        <v>0</v>
      </c>
      <c r="J3764" s="1">
        <v>1</v>
      </c>
      <c r="K3764" s="2">
        <v>4.28</v>
      </c>
    </row>
    <row r="3765" spans="1:12">
      <c r="A3765" s="3" t="s">
        <v>2194</v>
      </c>
      <c r="B3765" s="3" t="s">
        <v>3663</v>
      </c>
      <c r="C3765" s="3" t="s">
        <v>3749</v>
      </c>
      <c r="D3765" s="3"/>
      <c r="E3765" s="2" t="str">
        <f>HYPERLINK("https://old.ukr-mobil.com/zadnyaya_kryshka_huawei_mate_10_gold_12080", "Перейти")</f>
        <v>Перейти</v>
      </c>
      <c r="F3765" s="2">
        <v>12080</v>
      </c>
      <c r="G3765" s="4" t="s">
        <v>3910</v>
      </c>
      <c r="H3765" s="1">
        <v>1</v>
      </c>
      <c r="I3765" s="1">
        <v>0</v>
      </c>
      <c r="J3765" s="1">
        <v>1</v>
      </c>
      <c r="K3765" s="2">
        <v>5.04</v>
      </c>
    </row>
    <row r="3766" spans="1:12">
      <c r="A3766" s="3" t="s">
        <v>2194</v>
      </c>
      <c r="B3766" s="3" t="s">
        <v>3663</v>
      </c>
      <c r="C3766" s="3" t="s">
        <v>3749</v>
      </c>
      <c r="D3766" s="3"/>
      <c r="E3766" s="2" t="str">
        <f>HYPERLINK("https://old.ukr-mobil.com/zadnyaya_kryshka_huawei_mate_10_lite_blue_10714", "Перейти")</f>
        <v>Перейти</v>
      </c>
      <c r="F3766" s="2">
        <v>10714</v>
      </c>
      <c r="G3766" s="4" t="s">
        <v>3911</v>
      </c>
      <c r="H3766" s="1">
        <v>0</v>
      </c>
      <c r="I3766" s="1">
        <v>0</v>
      </c>
      <c r="J3766" s="1">
        <v>0</v>
      </c>
      <c r="K3766" s="2">
        <v>15.12</v>
      </c>
    </row>
    <row r="3767" spans="1:12">
      <c r="A3767" s="3" t="s">
        <v>2194</v>
      </c>
      <c r="B3767" s="3" t="s">
        <v>3663</v>
      </c>
      <c r="C3767" s="3" t="s">
        <v>3749</v>
      </c>
      <c r="D3767" s="3"/>
      <c r="E3767" s="2" t="str">
        <f>HYPERLINK("https://old.ukr-mobil.com/zadnyaya_kryshka_huawei_mate_10_lite_gold_10715", "Перейти")</f>
        <v>Перейти</v>
      </c>
      <c r="F3767" s="2">
        <v>10715</v>
      </c>
      <c r="G3767" s="4" t="s">
        <v>3912</v>
      </c>
      <c r="H3767" s="1">
        <v>0</v>
      </c>
      <c r="I3767" s="1">
        <v>0</v>
      </c>
      <c r="J3767" s="1">
        <v>0</v>
      </c>
      <c r="K3767" s="2">
        <v>15.12</v>
      </c>
    </row>
    <row r="3768" spans="1:12">
      <c r="A3768" s="3" t="s">
        <v>2194</v>
      </c>
      <c r="B3768" s="3" t="s">
        <v>3663</v>
      </c>
      <c r="C3768" s="3" t="s">
        <v>3749</v>
      </c>
      <c r="D3768" s="3"/>
      <c r="E3768" s="2" t="str">
        <f>HYPERLINK("https://old.ukr-mobil.com/zadnyaya_kryshka_huawei_mate_10_lite_graphite_black_10713", "Перейти")</f>
        <v>Перейти</v>
      </c>
      <c r="F3768" s="2">
        <v>10713</v>
      </c>
      <c r="G3768" s="4" t="s">
        <v>3913</v>
      </c>
      <c r="H3768" s="1">
        <v>0</v>
      </c>
      <c r="I3768" s="1">
        <v>0</v>
      </c>
      <c r="J3768" s="1">
        <v>0</v>
      </c>
      <c r="K3768" s="2">
        <v>7.0</v>
      </c>
    </row>
    <row r="3769" spans="1:12">
      <c r="A3769" s="3" t="s">
        <v>2194</v>
      </c>
      <c r="B3769" s="3" t="s">
        <v>3663</v>
      </c>
      <c r="C3769" s="3" t="s">
        <v>3749</v>
      </c>
      <c r="D3769" s="3"/>
      <c r="E3769" s="2" t="str">
        <f>HYPERLINK("https://old.ukr-mobil.com/zadnyaya_kryshka_huawei_mate_8_gold_11059", "Перейти")</f>
        <v>Перейти</v>
      </c>
      <c r="F3769" s="2">
        <v>11059</v>
      </c>
      <c r="G3769" s="4" t="s">
        <v>3914</v>
      </c>
      <c r="H3769" s="1">
        <v>4</v>
      </c>
      <c r="I3769" s="1">
        <v>0</v>
      </c>
      <c r="J3769" s="1">
        <v>1</v>
      </c>
      <c r="K3769" s="2">
        <v>20.16</v>
      </c>
    </row>
    <row r="3770" spans="1:12">
      <c r="A3770" s="3" t="s">
        <v>2194</v>
      </c>
      <c r="B3770" s="3" t="s">
        <v>3663</v>
      </c>
      <c r="C3770" s="3" t="s">
        <v>3749</v>
      </c>
      <c r="D3770" s="3"/>
      <c r="E3770" s="2" t="str">
        <f>HYPERLINK("https://old.ukr-mobil.com/zadnyaya_kryshka_huawei_mate_8_mocha_gold_10716", "Перейти")</f>
        <v>Перейти</v>
      </c>
      <c r="F3770" s="2">
        <v>10716</v>
      </c>
      <c r="G3770" s="4" t="s">
        <v>3915</v>
      </c>
      <c r="H3770" s="1">
        <v>4</v>
      </c>
      <c r="I3770" s="1">
        <v>0</v>
      </c>
      <c r="J3770" s="1">
        <v>1</v>
      </c>
      <c r="K3770" s="2">
        <v>20.16</v>
      </c>
    </row>
    <row r="3771" spans="1:12">
      <c r="A3771" s="3" t="s">
        <v>2194</v>
      </c>
      <c r="B3771" s="3" t="s">
        <v>3663</v>
      </c>
      <c r="C3771" s="3" t="s">
        <v>3749</v>
      </c>
      <c r="D3771" s="3"/>
      <c r="E3771" s="2" t="str">
        <f>HYPERLINK("https://old.ukr-mobil.com/zadnyaya_kryshka_huawei_nova_can-l11_gold_10717", "Перейти")</f>
        <v>Перейти</v>
      </c>
      <c r="F3771" s="2">
        <v>10717</v>
      </c>
      <c r="G3771" s="4" t="s">
        <v>3916</v>
      </c>
      <c r="H3771" s="1">
        <v>0</v>
      </c>
      <c r="I3771" s="1">
        <v>0</v>
      </c>
      <c r="J3771" s="1">
        <v>0</v>
      </c>
      <c r="K3771" s="2">
        <v>10.58</v>
      </c>
    </row>
    <row r="3772" spans="1:12">
      <c r="A3772" s="3" t="s">
        <v>2194</v>
      </c>
      <c r="B3772" s="3" t="s">
        <v>3663</v>
      </c>
      <c r="C3772" s="3" t="s">
        <v>3749</v>
      </c>
      <c r="D3772" s="3"/>
      <c r="E3772" s="2" t="str">
        <f>HYPERLINK("https://old.ukr-mobil.com/zadnyaya_kryshka_huawei_nova_3i_p_smart_plus_original_prc_black_11578", "Перейти")</f>
        <v>Перейти</v>
      </c>
      <c r="F3772" s="2">
        <v>11578</v>
      </c>
      <c r="G3772" s="4" t="s">
        <v>3917</v>
      </c>
      <c r="H3772" s="1">
        <v>0</v>
      </c>
      <c r="I3772" s="1">
        <v>0</v>
      </c>
      <c r="J3772" s="1">
        <v>0</v>
      </c>
      <c r="K3772" s="2">
        <v>2.85</v>
      </c>
    </row>
    <row r="3773" spans="1:12">
      <c r="A3773" s="3" t="s">
        <v>2194</v>
      </c>
      <c r="B3773" s="3" t="s">
        <v>3663</v>
      </c>
      <c r="C3773" s="3" t="s">
        <v>3749</v>
      </c>
      <c r="D3773" s="3"/>
      <c r="E3773" s="2" t="str">
        <f>HYPERLINK("https://old.ukr-mobil.com/zadnyaya_kryshka_huawei_p_smart_fig-lx1_p_smart_dual_sim_fig-l21_original_prc_black_10835", "Перейти")</f>
        <v>Перейти</v>
      </c>
      <c r="F3773" s="2">
        <v>10835</v>
      </c>
      <c r="G3773" s="4" t="s">
        <v>3918</v>
      </c>
      <c r="H3773" s="1">
        <v>0</v>
      </c>
      <c r="I3773" s="1">
        <v>0</v>
      </c>
      <c r="J3773" s="1">
        <v>0</v>
      </c>
      <c r="K3773" s="2">
        <v>6.5</v>
      </c>
    </row>
    <row r="3774" spans="1:12">
      <c r="A3774" s="3" t="s">
        <v>2194</v>
      </c>
      <c r="B3774" s="3" t="s">
        <v>3663</v>
      </c>
      <c r="C3774" s="3" t="s">
        <v>3749</v>
      </c>
      <c r="D3774" s="3"/>
      <c r="E3774" s="2" t="str">
        <f>HYPERLINK("https://old.ukr-mobil.com/zadnyaya_kryshka_huawei_p_smart_fig-lx1_p_smart_dual_sim_fig-l21_original_prc_blue_10837", "Перейти")</f>
        <v>Перейти</v>
      </c>
      <c r="F3774" s="2">
        <v>10837</v>
      </c>
      <c r="G3774" s="4" t="s">
        <v>3919</v>
      </c>
      <c r="H3774" s="1">
        <v>0</v>
      </c>
      <c r="I3774" s="1">
        <v>0</v>
      </c>
      <c r="J3774" s="1">
        <v>0</v>
      </c>
      <c r="K3774" s="2">
        <v>7.06</v>
      </c>
    </row>
    <row r="3775" spans="1:12">
      <c r="A3775" s="3" t="s">
        <v>2194</v>
      </c>
      <c r="B3775" s="3" t="s">
        <v>3663</v>
      </c>
      <c r="C3775" s="3" t="s">
        <v>3749</v>
      </c>
      <c r="D3775" s="3"/>
      <c r="E3775" s="2" t="str">
        <f>HYPERLINK("https://old.ukr-mobil.com/zadnyaya_kryshka_huawei_p_smart_fig-lx1_p_smart_dual_sim_fig-l21_original_prc_gold_10836", "Перейти")</f>
        <v>Перейти</v>
      </c>
      <c r="F3775" s="2">
        <v>10836</v>
      </c>
      <c r="G3775" s="4" t="s">
        <v>3920</v>
      </c>
      <c r="H3775" s="1">
        <v>0</v>
      </c>
      <c r="I3775" s="1">
        <v>0</v>
      </c>
      <c r="J3775" s="1">
        <v>0</v>
      </c>
      <c r="K3775" s="2">
        <v>6.5</v>
      </c>
    </row>
    <row r="3776" spans="1:12">
      <c r="A3776" s="3" t="s">
        <v>2194</v>
      </c>
      <c r="B3776" s="3" t="s">
        <v>3663</v>
      </c>
      <c r="C3776" s="3" t="s">
        <v>3749</v>
      </c>
      <c r="D3776" s="3"/>
      <c r="E3776" s="2" t="str">
        <f>HYPERLINK("https://old.ukr-mobil.com/zadnyaya_kryshka_huawei_p_smart_2019_aurora_blue_11645", "Перейти")</f>
        <v>Перейти</v>
      </c>
      <c r="F3776" s="2">
        <v>11645</v>
      </c>
      <c r="G3776" s="4" t="s">
        <v>3921</v>
      </c>
      <c r="H3776" s="1">
        <v>2</v>
      </c>
      <c r="I3776" s="1">
        <v>0</v>
      </c>
      <c r="J3776" s="1">
        <v>3</v>
      </c>
      <c r="K3776" s="2">
        <v>4.75</v>
      </c>
    </row>
    <row r="3777" spans="1:12">
      <c r="A3777" s="3" t="s">
        <v>2194</v>
      </c>
      <c r="B3777" s="3" t="s">
        <v>3663</v>
      </c>
      <c r="C3777" s="3" t="s">
        <v>3749</v>
      </c>
      <c r="D3777" s="3"/>
      <c r="E3777" s="2" t="str">
        <f>HYPERLINK("https://old.ukr-mobil.com/zadnyaya_kryshka_huawei_p_smart_2019_black_11580", "Перейти")</f>
        <v>Перейти</v>
      </c>
      <c r="F3777" s="2">
        <v>11580</v>
      </c>
      <c r="G3777" s="4" t="s">
        <v>3922</v>
      </c>
      <c r="H3777" s="1">
        <v>20</v>
      </c>
      <c r="I3777" s="1">
        <v>4</v>
      </c>
      <c r="J3777" s="1">
        <v>3</v>
      </c>
      <c r="K3777" s="2">
        <v>4.75</v>
      </c>
    </row>
    <row r="3778" spans="1:12">
      <c r="A3778" s="3" t="s">
        <v>2194</v>
      </c>
      <c r="B3778" s="3" t="s">
        <v>3663</v>
      </c>
      <c r="C3778" s="3" t="s">
        <v>3749</v>
      </c>
      <c r="D3778" s="3"/>
      <c r="E3778" s="2" t="str">
        <f>HYPERLINK("https://old.ukr-mobil.com/zadnyaya_kryshka_huawei_p_smart_2021_ppa-lx2_original_prc_midnight_black_10002084", "Перейти")</f>
        <v>Перейти</v>
      </c>
      <c r="F3778" s="2">
        <v>10002084</v>
      </c>
      <c r="G3778" s="4" t="s">
        <v>3923</v>
      </c>
      <c r="H3778" s="1">
        <v>0</v>
      </c>
      <c r="I3778" s="1">
        <v>1</v>
      </c>
      <c r="J3778" s="1">
        <v>5</v>
      </c>
      <c r="K3778" s="2">
        <v>3.35</v>
      </c>
    </row>
    <row r="3779" spans="1:12">
      <c r="A3779" s="3" t="s">
        <v>2194</v>
      </c>
      <c r="B3779" s="3" t="s">
        <v>3663</v>
      </c>
      <c r="C3779" s="3" t="s">
        <v>3749</v>
      </c>
      <c r="D3779" s="3"/>
      <c r="E3779" s="2" t="str">
        <f>HYPERLINK("https://old.ukr-mobil.com/zadnyaya_kryshka_huawei_p_smart_z_original_prc_green_10001312", "Перейти")</f>
        <v>Перейти</v>
      </c>
      <c r="F3779" s="2">
        <v>10001312</v>
      </c>
      <c r="G3779" s="4" t="s">
        <v>3924</v>
      </c>
      <c r="H3779" s="1">
        <v>0</v>
      </c>
      <c r="I3779" s="1">
        <v>0</v>
      </c>
      <c r="J3779" s="1">
        <v>0</v>
      </c>
      <c r="K3779" s="2">
        <v>3.35</v>
      </c>
    </row>
    <row r="3780" spans="1:12">
      <c r="A3780" s="3" t="s">
        <v>2194</v>
      </c>
      <c r="B3780" s="3" t="s">
        <v>3663</v>
      </c>
      <c r="C3780" s="3" t="s">
        <v>3749</v>
      </c>
      <c r="D3780" s="3"/>
      <c r="E3780" s="2" t="str">
        <f>HYPERLINK("https://old.ukr-mobil.com/zadnyaya_kryshka_huawei_p10_vtr-l29_black_10838", "Перейти")</f>
        <v>Перейти</v>
      </c>
      <c r="F3780" s="2">
        <v>10838</v>
      </c>
      <c r="G3780" s="4" t="s">
        <v>3925</v>
      </c>
      <c r="H3780" s="1">
        <v>0</v>
      </c>
      <c r="I3780" s="1">
        <v>0</v>
      </c>
      <c r="J3780" s="1">
        <v>0</v>
      </c>
      <c r="K3780" s="2">
        <v>8.0</v>
      </c>
    </row>
    <row r="3781" spans="1:12">
      <c r="A3781" s="3" t="s">
        <v>2194</v>
      </c>
      <c r="B3781" s="3" t="s">
        <v>3663</v>
      </c>
      <c r="C3781" s="3" t="s">
        <v>3749</v>
      </c>
      <c r="D3781" s="3"/>
      <c r="E3781" s="2" t="str">
        <f>HYPERLINK("https://old.ukr-mobil.com/zadnyaya_kryshka_huawei_p10_vtr-l29_gold_10840", "Перейти")</f>
        <v>Перейти</v>
      </c>
      <c r="F3781" s="2">
        <v>10840</v>
      </c>
      <c r="G3781" s="4" t="s">
        <v>3926</v>
      </c>
      <c r="H3781" s="1">
        <v>4</v>
      </c>
      <c r="I3781" s="1">
        <v>0</v>
      </c>
      <c r="J3781" s="1">
        <v>0</v>
      </c>
      <c r="K3781" s="2">
        <v>8.0</v>
      </c>
    </row>
    <row r="3782" spans="1:12">
      <c r="A3782" s="3" t="s">
        <v>2194</v>
      </c>
      <c r="B3782" s="3" t="s">
        <v>3663</v>
      </c>
      <c r="C3782" s="3" t="s">
        <v>3749</v>
      </c>
      <c r="D3782" s="3"/>
      <c r="E3782" s="2" t="str">
        <f>HYPERLINK("https://old.ukr-mobil.com/zadnyaya_kryshka_huawei_p10_vtr-l29_white_10839", "Перейти")</f>
        <v>Перейти</v>
      </c>
      <c r="F3782" s="2">
        <v>10839</v>
      </c>
      <c r="G3782" s="4" t="s">
        <v>3927</v>
      </c>
      <c r="H3782" s="1">
        <v>2</v>
      </c>
      <c r="I3782" s="1">
        <v>1</v>
      </c>
      <c r="J3782" s="1">
        <v>0</v>
      </c>
      <c r="K3782" s="2">
        <v>8.0</v>
      </c>
    </row>
    <row r="3783" spans="1:12">
      <c r="A3783" s="3" t="s">
        <v>2194</v>
      </c>
      <c r="B3783" s="3" t="s">
        <v>3663</v>
      </c>
      <c r="C3783" s="3" t="s">
        <v>3749</v>
      </c>
      <c r="D3783" s="3"/>
      <c r="E3783" s="2" t="str">
        <f>HYPERLINK("https://old.ukr-mobil.com/zadnyaya_kryshka_huawei_p10_lite_was-l21_high_copy_black_10693", "Перейти")</f>
        <v>Перейти</v>
      </c>
      <c r="F3783" s="2">
        <v>10693</v>
      </c>
      <c r="G3783" s="4" t="s">
        <v>3928</v>
      </c>
      <c r="H3783" s="1">
        <v>0</v>
      </c>
      <c r="I3783" s="1">
        <v>0</v>
      </c>
      <c r="J3783" s="1">
        <v>0</v>
      </c>
      <c r="K3783" s="2">
        <v>3.0</v>
      </c>
    </row>
    <row r="3784" spans="1:12">
      <c r="A3784" s="3" t="s">
        <v>2194</v>
      </c>
      <c r="B3784" s="3" t="s">
        <v>3663</v>
      </c>
      <c r="C3784" s="3" t="s">
        <v>3749</v>
      </c>
      <c r="D3784" s="3"/>
      <c r="E3784" s="2" t="str">
        <f>HYPERLINK("https://old.ukr-mobil.com/zadnyaya_kryshka_huawei_p10_lite_was-l21_high_copy_blue_10251", "Перейти")</f>
        <v>Перейти</v>
      </c>
      <c r="F3784" s="2">
        <v>10251</v>
      </c>
      <c r="G3784" s="4" t="s">
        <v>3929</v>
      </c>
      <c r="H3784" s="1">
        <v>0</v>
      </c>
      <c r="I3784" s="1">
        <v>0</v>
      </c>
      <c r="J3784" s="1">
        <v>0</v>
      </c>
      <c r="K3784" s="2">
        <v>3.5</v>
      </c>
    </row>
    <row r="3785" spans="1:12">
      <c r="A3785" s="3" t="s">
        <v>2194</v>
      </c>
      <c r="B3785" s="3" t="s">
        <v>3663</v>
      </c>
      <c r="C3785" s="3" t="s">
        <v>3749</v>
      </c>
      <c r="D3785" s="3"/>
      <c r="E3785" s="2" t="str">
        <f>HYPERLINK("https://old.ukr-mobil.com/zadnyaya_kryshka_huawei_p10_lite_was-l21_high_copy_gold_10695", "Перейти")</f>
        <v>Перейти</v>
      </c>
      <c r="F3785" s="2">
        <v>10695</v>
      </c>
      <c r="G3785" s="4" t="s">
        <v>3930</v>
      </c>
      <c r="H3785" s="1">
        <v>0</v>
      </c>
      <c r="I3785" s="1">
        <v>0</v>
      </c>
      <c r="J3785" s="1">
        <v>0</v>
      </c>
      <c r="K3785" s="2">
        <v>3.5</v>
      </c>
    </row>
    <row r="3786" spans="1:12">
      <c r="A3786" s="3" t="s">
        <v>2194</v>
      </c>
      <c r="B3786" s="3" t="s">
        <v>3663</v>
      </c>
      <c r="C3786" s="3" t="s">
        <v>3749</v>
      </c>
      <c r="D3786" s="3"/>
      <c r="E3786" s="2" t="str">
        <f>HYPERLINK("https://old.ukr-mobil.com/zadnyaya_kryshka_huawei_p10_lite_was-l21_high_copy_white_10694", "Перейти")</f>
        <v>Перейти</v>
      </c>
      <c r="F3786" s="2">
        <v>10694</v>
      </c>
      <c r="G3786" s="4" t="s">
        <v>3931</v>
      </c>
      <c r="H3786" s="1">
        <v>0</v>
      </c>
      <c r="I3786" s="1">
        <v>0</v>
      </c>
      <c r="J3786" s="1">
        <v>0</v>
      </c>
      <c r="K3786" s="2">
        <v>3.02</v>
      </c>
    </row>
    <row r="3787" spans="1:12">
      <c r="A3787" s="3" t="s">
        <v>2194</v>
      </c>
      <c r="B3787" s="3" t="s">
        <v>3663</v>
      </c>
      <c r="C3787" s="3" t="s">
        <v>3749</v>
      </c>
      <c r="D3787" s="3"/>
      <c r="E3787" s="2" t="str">
        <f>HYPERLINK("https://old.ukr-mobil.com/zadnyaya_kryshka_huawei_p20_lite_nova_3e_high_copy_gold_10843", "Перейти")</f>
        <v>Перейти</v>
      </c>
      <c r="F3787" s="2">
        <v>10843</v>
      </c>
      <c r="G3787" s="4" t="s">
        <v>3932</v>
      </c>
      <c r="H3787" s="1">
        <v>2</v>
      </c>
      <c r="I3787" s="1">
        <v>5</v>
      </c>
      <c r="J3787" s="1">
        <v>3</v>
      </c>
      <c r="K3787" s="2">
        <v>2.65</v>
      </c>
    </row>
    <row r="3788" spans="1:12">
      <c r="A3788" s="3" t="s">
        <v>2194</v>
      </c>
      <c r="B3788" s="3" t="s">
        <v>3663</v>
      </c>
      <c r="C3788" s="3" t="s">
        <v>3749</v>
      </c>
      <c r="D3788" s="3"/>
      <c r="E3788" s="2" t="str">
        <f>HYPERLINK("https://old.ukr-mobil.com/zadnyaya_kryshka_huawei_p20_lite_nova_3e_high_copy_klein_blue_11065", "Перейти")</f>
        <v>Перейти</v>
      </c>
      <c r="F3788" s="2">
        <v>11065</v>
      </c>
      <c r="G3788" s="4" t="s">
        <v>3933</v>
      </c>
      <c r="H3788" s="1">
        <v>29</v>
      </c>
      <c r="I3788" s="1">
        <v>0</v>
      </c>
      <c r="J3788" s="1">
        <v>8</v>
      </c>
      <c r="K3788" s="2">
        <v>2.5</v>
      </c>
    </row>
    <row r="3789" spans="1:12">
      <c r="A3789" s="3" t="s">
        <v>2194</v>
      </c>
      <c r="B3789" s="3" t="s">
        <v>3663</v>
      </c>
      <c r="C3789" s="3" t="s">
        <v>3749</v>
      </c>
      <c r="D3789" s="3"/>
      <c r="E3789" s="2" t="str">
        <f>HYPERLINK("https://old.ukr-mobil.com/zadnyaya_kryshka_huawei_p20_lite_nova_3e_high_copy_midnight_black_10841", "Перейти")</f>
        <v>Перейти</v>
      </c>
      <c r="F3789" s="2">
        <v>10841</v>
      </c>
      <c r="G3789" s="4" t="s">
        <v>3934</v>
      </c>
      <c r="H3789" s="1">
        <v>11</v>
      </c>
      <c r="I3789" s="1">
        <v>9</v>
      </c>
      <c r="J3789" s="1">
        <v>6</v>
      </c>
      <c r="K3789" s="2">
        <v>2.25</v>
      </c>
    </row>
    <row r="3790" spans="1:12">
      <c r="A3790" s="3" t="s">
        <v>2194</v>
      </c>
      <c r="B3790" s="3" t="s">
        <v>3663</v>
      </c>
      <c r="C3790" s="3" t="s">
        <v>3749</v>
      </c>
      <c r="D3790" s="3"/>
      <c r="E3790" s="2" t="str">
        <f>HYPERLINK("https://old.ukr-mobil.com/zadnyaya_kryshka_huawei_p20_lite_nova_3e_high_copy_sakura_pink_10842", "Перейти")</f>
        <v>Перейти</v>
      </c>
      <c r="F3790" s="2">
        <v>10842</v>
      </c>
      <c r="G3790" s="4" t="s">
        <v>3935</v>
      </c>
      <c r="H3790" s="1">
        <v>12</v>
      </c>
      <c r="I3790" s="1">
        <v>10</v>
      </c>
      <c r="J3790" s="1">
        <v>7</v>
      </c>
      <c r="K3790" s="2">
        <v>2.65</v>
      </c>
    </row>
    <row r="3791" spans="1:12">
      <c r="A3791" s="3" t="s">
        <v>2194</v>
      </c>
      <c r="B3791" s="3" t="s">
        <v>3663</v>
      </c>
      <c r="C3791" s="3" t="s">
        <v>3749</v>
      </c>
      <c r="D3791" s="3"/>
      <c r="E3791" s="2" t="str">
        <f>HYPERLINK("https://old.ukr-mobil.com/zadnyaya_kryshka_huawei_p20_pro_original_prc_black_10865", "Перейти")</f>
        <v>Перейти</v>
      </c>
      <c r="F3791" s="2">
        <v>10865</v>
      </c>
      <c r="G3791" s="4" t="s">
        <v>3936</v>
      </c>
      <c r="H3791" s="1">
        <v>0</v>
      </c>
      <c r="I3791" s="1">
        <v>0</v>
      </c>
      <c r="J3791" s="1">
        <v>0</v>
      </c>
      <c r="K3791" s="2">
        <v>4.0</v>
      </c>
    </row>
    <row r="3792" spans="1:12">
      <c r="A3792" s="3" t="s">
        <v>2194</v>
      </c>
      <c r="B3792" s="3" t="s">
        <v>3663</v>
      </c>
      <c r="C3792" s="3" t="s">
        <v>3749</v>
      </c>
      <c r="D3792" s="3"/>
      <c r="E3792" s="2" t="str">
        <f>HYPERLINK("https://old.ukr-mobil.com/zadnyaya_kryshka_huawei_p20_pro_original_prc_midnight_blue_10000338", "Перейти")</f>
        <v>Перейти</v>
      </c>
      <c r="F3792" s="2">
        <v>10000338</v>
      </c>
      <c r="G3792" s="4" t="s">
        <v>3937</v>
      </c>
      <c r="H3792" s="1">
        <v>14</v>
      </c>
      <c r="I3792" s="1">
        <v>3</v>
      </c>
      <c r="J3792" s="1">
        <v>5</v>
      </c>
      <c r="K3792" s="2">
        <v>4.75</v>
      </c>
    </row>
    <row r="3793" spans="1:12">
      <c r="A3793" s="3" t="s">
        <v>2194</v>
      </c>
      <c r="B3793" s="3" t="s">
        <v>3663</v>
      </c>
      <c r="C3793" s="3" t="s">
        <v>3749</v>
      </c>
      <c r="D3793" s="3"/>
      <c r="E3793" s="2" t="str">
        <f>HYPERLINK("https://old.ukr-mobil.com/zadnyaya_kryshka_huawei_p20_pro_original_prc_morho_aurora_10000794", "Перейти")</f>
        <v>Перейти</v>
      </c>
      <c r="F3793" s="2">
        <v>10000794</v>
      </c>
      <c r="G3793" s="4" t="s">
        <v>3938</v>
      </c>
      <c r="H3793" s="1">
        <v>0</v>
      </c>
      <c r="I3793" s="1">
        <v>0</v>
      </c>
      <c r="J3793" s="1">
        <v>0</v>
      </c>
      <c r="K3793" s="2">
        <v>6.0</v>
      </c>
    </row>
    <row r="3794" spans="1:12">
      <c r="A3794" s="3" t="s">
        <v>2194</v>
      </c>
      <c r="B3794" s="3" t="s">
        <v>3663</v>
      </c>
      <c r="C3794" s="3" t="s">
        <v>3749</v>
      </c>
      <c r="D3794" s="3"/>
      <c r="E3794" s="2" t="str">
        <f>HYPERLINK("https://old.ukr-mobil.com/zadnyaya_kryshka_huawei_p30_lite_original_prc_black_10001161", "Перейти")</f>
        <v>Перейти</v>
      </c>
      <c r="F3794" s="2">
        <v>10001161</v>
      </c>
      <c r="G3794" s="4" t="s">
        <v>3939</v>
      </c>
      <c r="H3794" s="1">
        <v>0</v>
      </c>
      <c r="I3794" s="1">
        <v>4</v>
      </c>
      <c r="J3794" s="1">
        <v>0</v>
      </c>
      <c r="K3794" s="2">
        <v>3.75</v>
      </c>
    </row>
    <row r="3795" spans="1:12">
      <c r="A3795" s="3" t="s">
        <v>2194</v>
      </c>
      <c r="B3795" s="3" t="s">
        <v>3663</v>
      </c>
      <c r="C3795" s="3" t="s">
        <v>3749</v>
      </c>
      <c r="D3795" s="3"/>
      <c r="E3795" s="2" t="str">
        <f>HYPERLINK("https://old.ukr-mobil.com/zadnyaya_kryshka_huawei_p30_lite_high_copy_blue_10001081", "Перейти")</f>
        <v>Перейти</v>
      </c>
      <c r="F3795" s="2">
        <v>10001081</v>
      </c>
      <c r="G3795" s="4" t="s">
        <v>3940</v>
      </c>
      <c r="H3795" s="1">
        <v>3</v>
      </c>
      <c r="I3795" s="1">
        <v>6</v>
      </c>
      <c r="J3795" s="1">
        <v>6</v>
      </c>
      <c r="K3795" s="2">
        <v>4.5</v>
      </c>
    </row>
    <row r="3796" spans="1:12">
      <c r="A3796" s="3" t="s">
        <v>2194</v>
      </c>
      <c r="B3796" s="3" t="s">
        <v>3663</v>
      </c>
      <c r="C3796" s="3" t="s">
        <v>3749</v>
      </c>
      <c r="D3796" s="3"/>
      <c r="E3796" s="2" t="str">
        <f>HYPERLINK("https://old.ukr-mobil.com/zadnyaya_kryshka_huawei_p40_lite_e_high_copy_aurora_blue_10002571", "Перейти")</f>
        <v>Перейти</v>
      </c>
      <c r="F3796" s="2">
        <v>10002571</v>
      </c>
      <c r="G3796" s="4" t="s">
        <v>3941</v>
      </c>
      <c r="H3796" s="1">
        <v>6</v>
      </c>
      <c r="I3796" s="1">
        <v>6</v>
      </c>
      <c r="J3796" s="1">
        <v>3</v>
      </c>
      <c r="K3796" s="2">
        <v>3.0</v>
      </c>
    </row>
    <row r="3797" spans="1:12">
      <c r="A3797" s="3" t="s">
        <v>2194</v>
      </c>
      <c r="B3797" s="3" t="s">
        <v>3663</v>
      </c>
      <c r="C3797" s="3" t="s">
        <v>3749</v>
      </c>
      <c r="D3797" s="3"/>
      <c r="E3797" s="2" t="str">
        <f>HYPERLINK("https://old.ukr-mobil.com/zadnyaya_kryshka_huawei_p9_lite_original_prc_black_10696", "Перейти")</f>
        <v>Перейти</v>
      </c>
      <c r="F3797" s="2">
        <v>10696</v>
      </c>
      <c r="G3797" s="4" t="s">
        <v>3942</v>
      </c>
      <c r="H3797" s="1">
        <v>6</v>
      </c>
      <c r="I3797" s="1">
        <v>3</v>
      </c>
      <c r="J3797" s="1">
        <v>1</v>
      </c>
      <c r="K3797" s="2">
        <v>3.5</v>
      </c>
    </row>
    <row r="3798" spans="1:12">
      <c r="A3798" s="3" t="s">
        <v>2194</v>
      </c>
      <c r="B3798" s="3" t="s">
        <v>3663</v>
      </c>
      <c r="C3798" s="3" t="s">
        <v>3749</v>
      </c>
      <c r="D3798" s="3"/>
      <c r="E3798" s="2" t="str">
        <f>HYPERLINK("https://old.ukr-mobil.com/zadnyaya_kryshka_huawei_p9_lite_original_prc_gold_10697", "Перейти")</f>
        <v>Перейти</v>
      </c>
      <c r="F3798" s="2">
        <v>10697</v>
      </c>
      <c r="G3798" s="4" t="s">
        <v>3943</v>
      </c>
      <c r="H3798" s="1">
        <v>0</v>
      </c>
      <c r="I3798" s="1">
        <v>0</v>
      </c>
      <c r="J3798" s="1">
        <v>0</v>
      </c>
      <c r="K3798" s="2">
        <v>4.54</v>
      </c>
    </row>
    <row r="3799" spans="1:12">
      <c r="A3799" s="3" t="s">
        <v>2194</v>
      </c>
      <c r="B3799" s="3" t="s">
        <v>3663</v>
      </c>
      <c r="C3799" s="3" t="s">
        <v>3749</v>
      </c>
      <c r="D3799" s="3"/>
      <c r="E3799" s="2" t="str">
        <f>HYPERLINK("https://old.ukr-mobil.com/zadnyaya_kryshka_huawei_p9_lite_original_prc_white_10698", "Перейти")</f>
        <v>Перейти</v>
      </c>
      <c r="F3799" s="2">
        <v>10698</v>
      </c>
      <c r="G3799" s="4" t="s">
        <v>3944</v>
      </c>
      <c r="H3799" s="1">
        <v>6</v>
      </c>
      <c r="I3799" s="1">
        <v>0</v>
      </c>
      <c r="J3799" s="1">
        <v>2</v>
      </c>
      <c r="K3799" s="2">
        <v>4.54</v>
      </c>
    </row>
    <row r="3800" spans="1:12">
      <c r="A3800" s="3" t="s">
        <v>2194</v>
      </c>
      <c r="B3800" s="3" t="s">
        <v>3663</v>
      </c>
      <c r="C3800" s="3" t="s">
        <v>3749</v>
      </c>
      <c r="D3800" s="3"/>
      <c r="E3800" s="2" t="str">
        <f>HYPERLINK("https://old.ukr-mobil.com/zadnyaya_kryshka_huawei_y5_2017_mya-u29_y6_2017_nova_young_4g_mya-l11_high_copy_black_10856", "Перейти")</f>
        <v>Перейти</v>
      </c>
      <c r="F3800" s="2">
        <v>10856</v>
      </c>
      <c r="G3800" s="4" t="s">
        <v>3945</v>
      </c>
      <c r="H3800" s="1">
        <v>0</v>
      </c>
      <c r="I3800" s="1">
        <v>0</v>
      </c>
      <c r="J3800" s="1">
        <v>0</v>
      </c>
      <c r="K3800" s="2">
        <v>3.5</v>
      </c>
    </row>
    <row r="3801" spans="1:12">
      <c r="A3801" s="3" t="s">
        <v>2194</v>
      </c>
      <c r="B3801" s="3" t="s">
        <v>3663</v>
      </c>
      <c r="C3801" s="3" t="s">
        <v>3749</v>
      </c>
      <c r="D3801" s="3"/>
      <c r="E3801" s="2" t="str">
        <f>HYPERLINK("https://old.ukr-mobil.com/zadnyaya_kryshka_huawei_y5_2017_mya-u29_y6_2017_nova_young_4g_mya-l11_high_copy_gold_10857", "Перейти")</f>
        <v>Перейти</v>
      </c>
      <c r="F3801" s="2">
        <v>10857</v>
      </c>
      <c r="G3801" s="4" t="s">
        <v>3946</v>
      </c>
      <c r="H3801" s="1">
        <v>0</v>
      </c>
      <c r="I3801" s="1">
        <v>0</v>
      </c>
      <c r="J3801" s="1">
        <v>0</v>
      </c>
      <c r="K3801" s="2">
        <v>3.5</v>
      </c>
    </row>
    <row r="3802" spans="1:12">
      <c r="A3802" s="3" t="s">
        <v>2194</v>
      </c>
      <c r="B3802" s="3" t="s">
        <v>3663</v>
      </c>
      <c r="C3802" s="3" t="s">
        <v>3749</v>
      </c>
      <c r="D3802" s="3"/>
      <c r="E3802" s="2" t="str">
        <f>HYPERLINK("https://old.ukr-mobil.com/zadnyaya_kryshka_huawei_y5_2017_mya-u29_y6_2017_nova_young_4g_mya-l11_high_copy_white_10858", "Перейти")</f>
        <v>Перейти</v>
      </c>
      <c r="F3802" s="2">
        <v>10858</v>
      </c>
      <c r="G3802" s="4" t="s">
        <v>3947</v>
      </c>
      <c r="H3802" s="1">
        <v>0</v>
      </c>
      <c r="I3802" s="1">
        <v>0</v>
      </c>
      <c r="J3802" s="1">
        <v>0</v>
      </c>
      <c r="K3802" s="2">
        <v>3.5</v>
      </c>
    </row>
    <row r="3803" spans="1:12">
      <c r="A3803" s="3" t="s">
        <v>2194</v>
      </c>
      <c r="B3803" s="3" t="s">
        <v>3663</v>
      </c>
      <c r="C3803" s="3" t="s">
        <v>3749</v>
      </c>
      <c r="D3803" s="3"/>
      <c r="E3803" s="2" t="str">
        <f>HYPERLINK("https://old.ukr-mobil.com/zadnyaya_kryshka_huawei_y5_2018_y5_prime_2018_original_prc_black_12081", "Перейти")</f>
        <v>Перейти</v>
      </c>
      <c r="F3803" s="2">
        <v>12081</v>
      </c>
      <c r="G3803" s="4" t="s">
        <v>3948</v>
      </c>
      <c r="H3803" s="1">
        <v>0</v>
      </c>
      <c r="I3803" s="1">
        <v>0</v>
      </c>
      <c r="J3803" s="1">
        <v>0</v>
      </c>
      <c r="K3803" s="2">
        <v>4.5</v>
      </c>
    </row>
    <row r="3804" spans="1:12">
      <c r="A3804" s="3" t="s">
        <v>2194</v>
      </c>
      <c r="B3804" s="3" t="s">
        <v>3663</v>
      </c>
      <c r="C3804" s="3" t="s">
        <v>3749</v>
      </c>
      <c r="D3804" s="3"/>
      <c r="E3804" s="2" t="str">
        <f>HYPERLINK("https://old.ukr-mobil.com/zadnyaya_kryshka_huawei_y5_2018_y5_prime_2018_original_prc_blue_12082", "Перейти")</f>
        <v>Перейти</v>
      </c>
      <c r="F3804" s="2">
        <v>12082</v>
      </c>
      <c r="G3804" s="4" t="s">
        <v>3949</v>
      </c>
      <c r="H3804" s="1">
        <v>0</v>
      </c>
      <c r="I3804" s="1">
        <v>0</v>
      </c>
      <c r="J3804" s="1">
        <v>0</v>
      </c>
      <c r="K3804" s="2">
        <v>4.5</v>
      </c>
    </row>
    <row r="3805" spans="1:12">
      <c r="A3805" s="3" t="s">
        <v>2194</v>
      </c>
      <c r="B3805" s="3" t="s">
        <v>3663</v>
      </c>
      <c r="C3805" s="3" t="s">
        <v>3749</v>
      </c>
      <c r="D3805" s="3"/>
      <c r="E3805" s="2" t="str">
        <f>HYPERLINK("https://old.ukr-mobil.com/zadnyaya_kryshka_huawei_y5_2018_y5_prime_2018_original_prc_gold_12083", "Перейти")</f>
        <v>Перейти</v>
      </c>
      <c r="F3805" s="2">
        <v>12083</v>
      </c>
      <c r="G3805" s="4" t="s">
        <v>3950</v>
      </c>
      <c r="H3805" s="1">
        <v>0</v>
      </c>
      <c r="I3805" s="1">
        <v>0</v>
      </c>
      <c r="J3805" s="1">
        <v>0</v>
      </c>
      <c r="K3805" s="2">
        <v>4.5</v>
      </c>
    </row>
    <row r="3806" spans="1:12">
      <c r="A3806" s="3" t="s">
        <v>2194</v>
      </c>
      <c r="B3806" s="3" t="s">
        <v>3663</v>
      </c>
      <c r="C3806" s="3" t="s">
        <v>3749</v>
      </c>
      <c r="D3806" s="3"/>
      <c r="E3806" s="2" t="str">
        <f>HYPERLINK("https://old.ukr-mobil.com/zadnyaya_kryshka_huawei_y6_2018_black_11581", "Перейти")</f>
        <v>Перейти</v>
      </c>
      <c r="F3806" s="2">
        <v>11581</v>
      </c>
      <c r="G3806" s="4" t="s">
        <v>3951</v>
      </c>
      <c r="H3806" s="1">
        <v>0</v>
      </c>
      <c r="I3806" s="1">
        <v>0</v>
      </c>
      <c r="J3806" s="1">
        <v>0</v>
      </c>
      <c r="K3806" s="2">
        <v>4.03</v>
      </c>
    </row>
    <row r="3807" spans="1:12">
      <c r="A3807" s="3" t="s">
        <v>2194</v>
      </c>
      <c r="B3807" s="3" t="s">
        <v>3663</v>
      </c>
      <c r="C3807" s="3" t="s">
        <v>3749</v>
      </c>
      <c r="D3807" s="3"/>
      <c r="E3807" s="2" t="str">
        <f>HYPERLINK("https://old.ukr-mobil.com/zadnyaya_kryshka_huawei_y6_2018_blue_12217", "Перейти")</f>
        <v>Перейти</v>
      </c>
      <c r="F3807" s="2">
        <v>12217</v>
      </c>
      <c r="G3807" s="4" t="s">
        <v>3952</v>
      </c>
      <c r="H3807" s="1">
        <v>0</v>
      </c>
      <c r="I3807" s="1">
        <v>0</v>
      </c>
      <c r="J3807" s="1">
        <v>0</v>
      </c>
      <c r="K3807" s="2">
        <v>4.03</v>
      </c>
    </row>
    <row r="3808" spans="1:12">
      <c r="A3808" s="3" t="s">
        <v>2194</v>
      </c>
      <c r="B3808" s="3" t="s">
        <v>3663</v>
      </c>
      <c r="C3808" s="3" t="s">
        <v>3749</v>
      </c>
      <c r="D3808" s="3"/>
      <c r="E3808" s="2" t="str">
        <f>HYPERLINK("https://old.ukr-mobil.com/zadnyaya_kryshka_huawei_y6_2018_gold_12218", "Перейти")</f>
        <v>Перейти</v>
      </c>
      <c r="F3808" s="2">
        <v>12218</v>
      </c>
      <c r="G3808" s="4" t="s">
        <v>3953</v>
      </c>
      <c r="H3808" s="1">
        <v>0</v>
      </c>
      <c r="I3808" s="1">
        <v>0</v>
      </c>
      <c r="J3808" s="1">
        <v>0</v>
      </c>
      <c r="K3808" s="2">
        <v>4.03</v>
      </c>
    </row>
    <row r="3809" spans="1:12">
      <c r="A3809" s="3" t="s">
        <v>2194</v>
      </c>
      <c r="B3809" s="3" t="s">
        <v>3663</v>
      </c>
      <c r="C3809" s="3" t="s">
        <v>3749</v>
      </c>
      <c r="D3809" s="3"/>
      <c r="E3809" s="2" t="str">
        <f>HYPERLINK("https://old.ukr-mobil.com/zadnyaya_kryshka_huawei_y6_ii_cam-l21_black_10847", "Перейти")</f>
        <v>Перейти</v>
      </c>
      <c r="F3809" s="2">
        <v>10847</v>
      </c>
      <c r="G3809" s="4" t="s">
        <v>3954</v>
      </c>
      <c r="H3809" s="1">
        <v>5</v>
      </c>
      <c r="I3809" s="1">
        <v>0</v>
      </c>
      <c r="J3809" s="1">
        <v>2</v>
      </c>
      <c r="K3809" s="2">
        <v>4.03</v>
      </c>
    </row>
    <row r="3810" spans="1:12">
      <c r="A3810" s="3" t="s">
        <v>2194</v>
      </c>
      <c r="B3810" s="3" t="s">
        <v>3663</v>
      </c>
      <c r="C3810" s="3" t="s">
        <v>3749</v>
      </c>
      <c r="D3810" s="3"/>
      <c r="E3810" s="2" t="str">
        <f>HYPERLINK("https://old.ukr-mobil.com/zadnyaya_kryshka_huawei_y6_ii_cam-l21_gold_10848", "Перейти")</f>
        <v>Перейти</v>
      </c>
      <c r="F3810" s="2">
        <v>10848</v>
      </c>
      <c r="G3810" s="4" t="s">
        <v>3955</v>
      </c>
      <c r="H3810" s="1">
        <v>4</v>
      </c>
      <c r="I3810" s="1">
        <v>2</v>
      </c>
      <c r="J3810" s="1">
        <v>2</v>
      </c>
      <c r="K3810" s="2">
        <v>4.03</v>
      </c>
    </row>
    <row r="3811" spans="1:12">
      <c r="A3811" s="3" t="s">
        <v>2194</v>
      </c>
      <c r="B3811" s="3" t="s">
        <v>3663</v>
      </c>
      <c r="C3811" s="3" t="s">
        <v>3749</v>
      </c>
      <c r="D3811" s="3"/>
      <c r="E3811" s="2" t="str">
        <f>HYPERLINK("https://old.ukr-mobil.com/zadnyaya_kryshka_huawei_y6_ii_cam-l21_white_10849", "Перейти")</f>
        <v>Перейти</v>
      </c>
      <c r="F3811" s="2">
        <v>10849</v>
      </c>
      <c r="G3811" s="4" t="s">
        <v>3956</v>
      </c>
      <c r="H3811" s="1">
        <v>8</v>
      </c>
      <c r="I3811" s="1">
        <v>0</v>
      </c>
      <c r="J3811" s="1">
        <v>2</v>
      </c>
      <c r="K3811" s="2">
        <v>4.03</v>
      </c>
    </row>
    <row r="3812" spans="1:12">
      <c r="A3812" s="3" t="s">
        <v>2194</v>
      </c>
      <c r="B3812" s="3" t="s">
        <v>3663</v>
      </c>
      <c r="C3812" s="3" t="s">
        <v>3749</v>
      </c>
      <c r="D3812" s="3"/>
      <c r="E3812" s="2" t="str">
        <f>HYPERLINK("https://old.ukr-mobil.com/zadnyaya_kryshka_huawei_y6_prime_2018_black_10000488", "Перейти")</f>
        <v>Перейти</v>
      </c>
      <c r="F3812" s="2">
        <v>10000488</v>
      </c>
      <c r="G3812" s="4" t="s">
        <v>3957</v>
      </c>
      <c r="H3812" s="1">
        <v>0</v>
      </c>
      <c r="I3812" s="1">
        <v>0</v>
      </c>
      <c r="J3812" s="1">
        <v>0</v>
      </c>
      <c r="K3812" s="2">
        <v>4.03</v>
      </c>
    </row>
    <row r="3813" spans="1:12">
      <c r="A3813" s="3" t="s">
        <v>2194</v>
      </c>
      <c r="B3813" s="3" t="s">
        <v>3663</v>
      </c>
      <c r="C3813" s="3" t="s">
        <v>3749</v>
      </c>
      <c r="D3813" s="3"/>
      <c r="E3813" s="2" t="str">
        <f>HYPERLINK("https://old.ukr-mobil.com/zadnyaya_kryshka_huawei_y6_prime_2018_blue_12085", "Перейти")</f>
        <v>Перейти</v>
      </c>
      <c r="F3813" s="2">
        <v>12085</v>
      </c>
      <c r="G3813" s="4" t="s">
        <v>3958</v>
      </c>
      <c r="H3813" s="1">
        <v>0</v>
      </c>
      <c r="I3813" s="1">
        <v>0</v>
      </c>
      <c r="J3813" s="1">
        <v>0</v>
      </c>
      <c r="K3813" s="2">
        <v>4.03</v>
      </c>
    </row>
    <row r="3814" spans="1:12">
      <c r="A3814" s="3" t="s">
        <v>2194</v>
      </c>
      <c r="B3814" s="3" t="s">
        <v>3663</v>
      </c>
      <c r="C3814" s="3" t="s">
        <v>3749</v>
      </c>
      <c r="D3814" s="3"/>
      <c r="E3814" s="2" t="str">
        <f>HYPERLINK("https://old.ukr-mobil.com/zadnyaya_kryshka_huawei_y6_prime_2018_gold_12084", "Перейти")</f>
        <v>Перейти</v>
      </c>
      <c r="F3814" s="2">
        <v>12084</v>
      </c>
      <c r="G3814" s="4" t="s">
        <v>3959</v>
      </c>
      <c r="H3814" s="1">
        <v>0</v>
      </c>
      <c r="I3814" s="1">
        <v>0</v>
      </c>
      <c r="J3814" s="1">
        <v>0</v>
      </c>
      <c r="K3814" s="2">
        <v>4.03</v>
      </c>
    </row>
    <row r="3815" spans="1:12">
      <c r="A3815" s="3" t="s">
        <v>2194</v>
      </c>
      <c r="B3815" s="3" t="s">
        <v>3663</v>
      </c>
      <c r="C3815" s="3" t="s">
        <v>3749</v>
      </c>
      <c r="D3815" s="3"/>
      <c r="E3815" s="2" t="str">
        <f>HYPERLINK("https://old.ukr-mobil.com/zadnyaya_kryshka_huawei_y6_prime_2019_so_steklom_kamery_original_prc_black_10001165", "Перейти")</f>
        <v>Перейти</v>
      </c>
      <c r="F3815" s="2">
        <v>10001165</v>
      </c>
      <c r="G3815" s="4" t="s">
        <v>3960</v>
      </c>
      <c r="H3815" s="1">
        <v>7</v>
      </c>
      <c r="I3815" s="1">
        <v>6</v>
      </c>
      <c r="J3815" s="1">
        <v>2</v>
      </c>
      <c r="K3815" s="2">
        <v>4.5</v>
      </c>
    </row>
    <row r="3816" spans="1:12">
      <c r="A3816" s="3" t="s">
        <v>2194</v>
      </c>
      <c r="B3816" s="3" t="s">
        <v>3663</v>
      </c>
      <c r="C3816" s="3" t="s">
        <v>3749</v>
      </c>
      <c r="D3816" s="3"/>
      <c r="E3816" s="2" t="str">
        <f>HYPERLINK("https://old.ukr-mobil.com/zadnyaya_kryshka_huawei_y6_pro_tit-u02_honor_4c_pro_tit-l01_black_10850", "Перейти")</f>
        <v>Перейти</v>
      </c>
      <c r="F3816" s="2">
        <v>10850</v>
      </c>
      <c r="G3816" s="4" t="s">
        <v>3961</v>
      </c>
      <c r="H3816" s="1">
        <v>0</v>
      </c>
      <c r="I3816" s="1">
        <v>0</v>
      </c>
      <c r="J3816" s="1">
        <v>0</v>
      </c>
      <c r="K3816" s="2">
        <v>4.03</v>
      </c>
    </row>
    <row r="3817" spans="1:12">
      <c r="A3817" s="3" t="s">
        <v>2194</v>
      </c>
      <c r="B3817" s="3" t="s">
        <v>3663</v>
      </c>
      <c r="C3817" s="3" t="s">
        <v>3749</v>
      </c>
      <c r="D3817" s="3"/>
      <c r="E3817" s="2" t="str">
        <f>HYPERLINK("https://old.ukr-mobil.com/zadnyaya_kryshka_huawei_y6_pro_tit-u02_honor_4c_pro_tit-l01_gold_10851", "Перейти")</f>
        <v>Перейти</v>
      </c>
      <c r="F3817" s="2">
        <v>10851</v>
      </c>
      <c r="G3817" s="4" t="s">
        <v>3962</v>
      </c>
      <c r="H3817" s="1">
        <v>0</v>
      </c>
      <c r="I3817" s="1">
        <v>0</v>
      </c>
      <c r="J3817" s="1">
        <v>0</v>
      </c>
      <c r="K3817" s="2">
        <v>4.03</v>
      </c>
    </row>
    <row r="3818" spans="1:12">
      <c r="A3818" s="3" t="s">
        <v>2194</v>
      </c>
      <c r="B3818" s="3" t="s">
        <v>3663</v>
      </c>
      <c r="C3818" s="3" t="s">
        <v>3749</v>
      </c>
      <c r="D3818" s="3"/>
      <c r="E3818" s="2" t="str">
        <f>HYPERLINK("https://old.ukr-mobil.com/zadnyaya_kryshka_huawei_y6_pro_tit-u02_honor_4c_pro_tit-l01_white_10852", "Перейти")</f>
        <v>Перейти</v>
      </c>
      <c r="F3818" s="2">
        <v>10852</v>
      </c>
      <c r="G3818" s="4" t="s">
        <v>3963</v>
      </c>
      <c r="H3818" s="1">
        <v>3</v>
      </c>
      <c r="I3818" s="1">
        <v>0</v>
      </c>
      <c r="J3818" s="1">
        <v>2</v>
      </c>
      <c r="K3818" s="2">
        <v>4.03</v>
      </c>
    </row>
    <row r="3819" spans="1:12">
      <c r="A3819" s="3" t="s">
        <v>2194</v>
      </c>
      <c r="B3819" s="3" t="s">
        <v>3663</v>
      </c>
      <c r="C3819" s="3" t="s">
        <v>3749</v>
      </c>
      <c r="D3819" s="3"/>
      <c r="E3819" s="2" t="str">
        <f>HYPERLINK("https://old.ukr-mobil.com/zadnyaya_kryshka_huawei_y6p_2020_med-lx9_moa-lx9n_original_prc_black_10002574", "Перейти")</f>
        <v>Перейти</v>
      </c>
      <c r="F3819" s="2">
        <v>10002574</v>
      </c>
      <c r="G3819" s="4" t="s">
        <v>3964</v>
      </c>
      <c r="H3819" s="1">
        <v>0</v>
      </c>
      <c r="I3819" s="1">
        <v>0</v>
      </c>
      <c r="J3819" s="1">
        <v>0</v>
      </c>
      <c r="K3819" s="2">
        <v>4.5</v>
      </c>
    </row>
    <row r="3820" spans="1:12">
      <c r="A3820" s="3" t="s">
        <v>2194</v>
      </c>
      <c r="B3820" s="3" t="s">
        <v>3663</v>
      </c>
      <c r="C3820" s="3" t="s">
        <v>3749</v>
      </c>
      <c r="D3820" s="3"/>
      <c r="E3820" s="2" t="str">
        <f>HYPERLINK("https://old.ukr-mobil.com/zadnyaya_kryshka_huawei_y6p_2020_med-lx9_moa-lx9n_so_steklom_kamery_original_prc_black_10002643", "Перейти")</f>
        <v>Перейти</v>
      </c>
      <c r="F3820" s="2">
        <v>10002643</v>
      </c>
      <c r="G3820" s="4" t="s">
        <v>3965</v>
      </c>
      <c r="H3820" s="1">
        <v>29</v>
      </c>
      <c r="I3820" s="1">
        <v>6</v>
      </c>
      <c r="J3820" s="1">
        <v>6</v>
      </c>
      <c r="K3820" s="2">
        <v>5.0</v>
      </c>
    </row>
    <row r="3821" spans="1:12">
      <c r="A3821" s="3" t="s">
        <v>2194</v>
      </c>
      <c r="B3821" s="3" t="s">
        <v>3663</v>
      </c>
      <c r="C3821" s="3" t="s">
        <v>3749</v>
      </c>
      <c r="D3821" s="3"/>
      <c r="E3821" s="2" t="str">
        <f>HYPERLINK("https://old.ukr-mobil.com/zadnyaya_kryshka_huawei_y6p_2020_med-lx9_moa-lx9n_so_steklom_kamery_original_prc_emerald_green_10002572", "Перейти")</f>
        <v>Перейти</v>
      </c>
      <c r="F3821" s="2">
        <v>10002572</v>
      </c>
      <c r="G3821" s="4" t="s">
        <v>3966</v>
      </c>
      <c r="H3821" s="1">
        <v>2</v>
      </c>
      <c r="I3821" s="1">
        <v>0</v>
      </c>
      <c r="J3821" s="1">
        <v>0</v>
      </c>
      <c r="K3821" s="2">
        <v>5.0</v>
      </c>
    </row>
    <row r="3822" spans="1:12">
      <c r="A3822" s="3" t="s">
        <v>2194</v>
      </c>
      <c r="B3822" s="3" t="s">
        <v>3663</v>
      </c>
      <c r="C3822" s="3" t="s">
        <v>3749</v>
      </c>
      <c r="D3822" s="3"/>
      <c r="E3822" s="2" t="str">
        <f>HYPERLINK("https://old.ukr-mobil.com/zadnyaya_kryshka_huawei_y6p_2020_med-lx9_moa-lx9n_so_steklom_kamery_original_prc_phantom_purple_10002573", "Перейти")</f>
        <v>Перейти</v>
      </c>
      <c r="F3822" s="2">
        <v>10002573</v>
      </c>
      <c r="G3822" s="4" t="s">
        <v>3967</v>
      </c>
      <c r="H3822" s="1">
        <v>2</v>
      </c>
      <c r="I3822" s="1">
        <v>3</v>
      </c>
      <c r="J3822" s="1">
        <v>0</v>
      </c>
      <c r="K3822" s="2">
        <v>5.0</v>
      </c>
    </row>
    <row r="3823" spans="1:12">
      <c r="A3823" s="3" t="s">
        <v>2194</v>
      </c>
      <c r="B3823" s="3" t="s">
        <v>3663</v>
      </c>
      <c r="C3823" s="3" t="s">
        <v>3749</v>
      </c>
      <c r="D3823" s="3"/>
      <c r="E3823" s="2" t="str">
        <f>HYPERLINK("https://old.ukr-mobil.com/zadnyaya_kryshka_huawei_y7_2017_holly_4_plus_nova_lite_plus_trt-l21_black_10853", "Перейти")</f>
        <v>Перейти</v>
      </c>
      <c r="F3823" s="2">
        <v>10853</v>
      </c>
      <c r="G3823" s="4" t="s">
        <v>3968</v>
      </c>
      <c r="H3823" s="1">
        <v>0</v>
      </c>
      <c r="I3823" s="1">
        <v>0</v>
      </c>
      <c r="J3823" s="1">
        <v>0</v>
      </c>
      <c r="K3823" s="2">
        <v>6.05</v>
      </c>
    </row>
    <row r="3824" spans="1:12">
      <c r="A3824" s="3" t="s">
        <v>2194</v>
      </c>
      <c r="B3824" s="3" t="s">
        <v>3663</v>
      </c>
      <c r="C3824" s="3" t="s">
        <v>3749</v>
      </c>
      <c r="D3824" s="3"/>
      <c r="E3824" s="2" t="str">
        <f>HYPERLINK("https://old.ukr-mobil.com/zadnyaya_kryshka_huawei_y7_2017_holly_4_plus_nova_lite_plus_trt-l21_gold_10855", "Перейти")</f>
        <v>Перейти</v>
      </c>
      <c r="F3824" s="2">
        <v>10855</v>
      </c>
      <c r="G3824" s="4" t="s">
        <v>3969</v>
      </c>
      <c r="H3824" s="1">
        <v>0</v>
      </c>
      <c r="I3824" s="1">
        <v>0</v>
      </c>
      <c r="J3824" s="1">
        <v>0</v>
      </c>
      <c r="K3824" s="2">
        <v>6.05</v>
      </c>
    </row>
    <row r="3825" spans="1:12">
      <c r="A3825" s="3" t="s">
        <v>2194</v>
      </c>
      <c r="B3825" s="3" t="s">
        <v>3663</v>
      </c>
      <c r="C3825" s="3" t="s">
        <v>3749</v>
      </c>
      <c r="D3825" s="3"/>
      <c r="E3825" s="2" t="str">
        <f>HYPERLINK("https://old.ukr-mobil.com/zadnyaya_kryshka_huawei_y7_2017_holly_4_plus_nova_lite_plus_trt-l21_white_10854", "Перейти")</f>
        <v>Перейти</v>
      </c>
      <c r="F3825" s="2">
        <v>10854</v>
      </c>
      <c r="G3825" s="4" t="s">
        <v>3970</v>
      </c>
      <c r="H3825" s="1">
        <v>0</v>
      </c>
      <c r="I3825" s="1">
        <v>0</v>
      </c>
      <c r="J3825" s="1">
        <v>0</v>
      </c>
      <c r="K3825" s="2">
        <v>10.08</v>
      </c>
    </row>
    <row r="3826" spans="1:12">
      <c r="A3826" s="3" t="s">
        <v>2194</v>
      </c>
      <c r="B3826" s="3" t="s">
        <v>3663</v>
      </c>
      <c r="C3826" s="3" t="s">
        <v>3749</v>
      </c>
      <c r="D3826" s="3"/>
      <c r="E3826" s="2" t="str">
        <f>HYPERLINK("https://old.ukr-mobil.com/zadnyaya_kryshka_lenovo_a6020a40_vibe_k5_black_10718", "Перейти")</f>
        <v>Перейти</v>
      </c>
      <c r="F3826" s="2">
        <v>10718</v>
      </c>
      <c r="G3826" s="4" t="s">
        <v>3971</v>
      </c>
      <c r="H3826" s="1">
        <v>0</v>
      </c>
      <c r="I3826" s="1">
        <v>0</v>
      </c>
      <c r="J3826" s="1">
        <v>0</v>
      </c>
      <c r="K3826" s="2">
        <v>5.54</v>
      </c>
    </row>
    <row r="3827" spans="1:12">
      <c r="A3827" s="3" t="s">
        <v>2194</v>
      </c>
      <c r="B3827" s="3" t="s">
        <v>3663</v>
      </c>
      <c r="C3827" s="3" t="s">
        <v>3749</v>
      </c>
      <c r="D3827" s="3"/>
      <c r="E3827" s="2" t="str">
        <f>HYPERLINK("https://old.ukr-mobil.com/index.php?route=product&amp;product_id=10005486", "Перейти")</f>
        <v>Перейти</v>
      </c>
      <c r="F3827" s="2">
        <v>10005486</v>
      </c>
      <c r="G3827" s="4" t="s">
        <v>3972</v>
      </c>
      <c r="H3827" s="1">
        <v>18</v>
      </c>
      <c r="I3827" s="1">
        <v>7</v>
      </c>
      <c r="J3827" s="1">
        <v>5</v>
      </c>
      <c r="K3827" s="2">
        <v>9.35</v>
      </c>
    </row>
    <row r="3828" spans="1:12">
      <c r="A3828" s="3" t="s">
        <v>2194</v>
      </c>
      <c r="B3828" s="3" t="s">
        <v>3663</v>
      </c>
      <c r="C3828" s="3" t="s">
        <v>3749</v>
      </c>
      <c r="D3828" s="3"/>
      <c r="E3828" s="2" t="str">
        <f>HYPERLINK("https://old.ukr-mobil.com/index.php?route=product&amp;product_id=10005487", "Перейти")</f>
        <v>Перейти</v>
      </c>
      <c r="F3828" s="2">
        <v>10005487</v>
      </c>
      <c r="G3828" s="4" t="s">
        <v>3973</v>
      </c>
      <c r="H3828" s="1">
        <v>15</v>
      </c>
      <c r="I3828" s="1">
        <v>8</v>
      </c>
      <c r="J3828" s="1">
        <v>5</v>
      </c>
      <c r="K3828" s="2">
        <v>10.0</v>
      </c>
    </row>
    <row r="3829" spans="1:12">
      <c r="A3829" s="3" t="s">
        <v>2194</v>
      </c>
      <c r="B3829" s="3" t="s">
        <v>3663</v>
      </c>
      <c r="C3829" s="3" t="s">
        <v>3749</v>
      </c>
      <c r="D3829" s="3"/>
      <c r="E3829" s="2" t="str">
        <f>HYPERLINK("https://old.ukr-mobil.com/index.php?route=product&amp;product_id=10005488", "Перейти")</f>
        <v>Перейти</v>
      </c>
      <c r="F3829" s="2">
        <v>10005488</v>
      </c>
      <c r="G3829" s="4" t="s">
        <v>3974</v>
      </c>
      <c r="H3829" s="1">
        <v>10</v>
      </c>
      <c r="I3829" s="1">
        <v>4</v>
      </c>
      <c r="J3829" s="1">
        <v>5</v>
      </c>
      <c r="K3829" s="2">
        <v>8.0</v>
      </c>
    </row>
    <row r="3830" spans="1:12">
      <c r="A3830" s="3" t="s">
        <v>2194</v>
      </c>
      <c r="B3830" s="3" t="s">
        <v>3663</v>
      </c>
      <c r="C3830" s="3" t="s">
        <v>3749</v>
      </c>
      <c r="D3830" s="3"/>
      <c r="E3830" s="2" t="str">
        <f>HYPERLINK("https://old.ukr-mobil.com/index.php?route=product&amp;product_id=10005489", "Перейти")</f>
        <v>Перейти</v>
      </c>
      <c r="F3830" s="2">
        <v>10005489</v>
      </c>
      <c r="G3830" s="4" t="s">
        <v>3975</v>
      </c>
      <c r="H3830" s="1">
        <v>14</v>
      </c>
      <c r="I3830" s="1">
        <v>8</v>
      </c>
      <c r="J3830" s="1">
        <v>5</v>
      </c>
      <c r="K3830" s="2">
        <v>8.9</v>
      </c>
    </row>
    <row r="3831" spans="1:12">
      <c r="A3831" s="3" t="s">
        <v>2194</v>
      </c>
      <c r="B3831" s="3" t="s">
        <v>3663</v>
      </c>
      <c r="C3831" s="3" t="s">
        <v>3749</v>
      </c>
      <c r="D3831" s="3"/>
      <c r="E3831" s="2" t="str">
        <f>HYPERLINK("https://old.ukr-mobil.com/index.php?route=product&amp;product_id=10005490", "Перейти")</f>
        <v>Перейти</v>
      </c>
      <c r="F3831" s="2">
        <v>10005490</v>
      </c>
      <c r="G3831" s="4" t="s">
        <v>3976</v>
      </c>
      <c r="H3831" s="1">
        <v>18</v>
      </c>
      <c r="I3831" s="1">
        <v>7</v>
      </c>
      <c r="J3831" s="1">
        <v>5</v>
      </c>
      <c r="K3831" s="2">
        <v>10.0</v>
      </c>
    </row>
    <row r="3832" spans="1:12">
      <c r="A3832" s="3" t="s">
        <v>2194</v>
      </c>
      <c r="B3832" s="3" t="s">
        <v>3663</v>
      </c>
      <c r="C3832" s="3" t="s">
        <v>3749</v>
      </c>
      <c r="D3832" s="3"/>
      <c r="E3832" s="2" t="str">
        <f>HYPERLINK("https://old.ukr-mobil.com/zadnyaya_kryshka_meizu_m3_note_l681h_high_copy_black_12106", "Перейти")</f>
        <v>Перейти</v>
      </c>
      <c r="F3832" s="2">
        <v>12106</v>
      </c>
      <c r="G3832" s="4" t="s">
        <v>3977</v>
      </c>
      <c r="H3832" s="1">
        <v>0</v>
      </c>
      <c r="I3832" s="1">
        <v>0</v>
      </c>
      <c r="J3832" s="1">
        <v>0</v>
      </c>
      <c r="K3832" s="2">
        <v>9.07</v>
      </c>
    </row>
    <row r="3833" spans="1:12">
      <c r="A3833" s="3" t="s">
        <v>2194</v>
      </c>
      <c r="B3833" s="3" t="s">
        <v>3663</v>
      </c>
      <c r="C3833" s="3" t="s">
        <v>3749</v>
      </c>
      <c r="D3833" s="3"/>
      <c r="E3833" s="2" t="str">
        <f>HYPERLINK("https://old.ukr-mobil.com/zadnyaya_kryshka_meizu_m3_note_m681h_high_copy_black_12107", "Перейти")</f>
        <v>Перейти</v>
      </c>
      <c r="F3833" s="2">
        <v>12107</v>
      </c>
      <c r="G3833" s="4" t="s">
        <v>3978</v>
      </c>
      <c r="H3833" s="1">
        <v>4</v>
      </c>
      <c r="I3833" s="1">
        <v>0</v>
      </c>
      <c r="J3833" s="1">
        <v>0</v>
      </c>
      <c r="K3833" s="2">
        <v>9.07</v>
      </c>
    </row>
    <row r="3834" spans="1:12">
      <c r="A3834" s="3" t="s">
        <v>2194</v>
      </c>
      <c r="B3834" s="3" t="s">
        <v>3663</v>
      </c>
      <c r="C3834" s="3" t="s">
        <v>3749</v>
      </c>
      <c r="D3834" s="3"/>
      <c r="E3834" s="2" t="str">
        <f>HYPERLINK("https://old.ukr-mobil.com/zadnyaya_kryshka_meizu_m5_high_copy_black_10350", "Перейти")</f>
        <v>Перейти</v>
      </c>
      <c r="F3834" s="2">
        <v>10350</v>
      </c>
      <c r="G3834" s="4" t="s">
        <v>3979</v>
      </c>
      <c r="H3834" s="1">
        <v>0</v>
      </c>
      <c r="I3834" s="1">
        <v>0</v>
      </c>
      <c r="J3834" s="1">
        <v>0</v>
      </c>
      <c r="K3834" s="2">
        <v>8.06</v>
      </c>
    </row>
    <row r="3835" spans="1:12">
      <c r="A3835" s="3" t="s">
        <v>2194</v>
      </c>
      <c r="B3835" s="3" t="s">
        <v>3663</v>
      </c>
      <c r="C3835" s="3" t="s">
        <v>3749</v>
      </c>
      <c r="D3835" s="3"/>
      <c r="E3835" s="2" t="str">
        <f>HYPERLINK("https://old.ukr-mobil.com/zadnyaya_kryshka_meizu_m5_note_high_copy_black_10351", "Перейти")</f>
        <v>Перейти</v>
      </c>
      <c r="F3835" s="2">
        <v>10351</v>
      </c>
      <c r="G3835" s="4" t="s">
        <v>3980</v>
      </c>
      <c r="H3835" s="1">
        <v>0</v>
      </c>
      <c r="I3835" s="1">
        <v>0</v>
      </c>
      <c r="J3835" s="1">
        <v>0</v>
      </c>
      <c r="K3835" s="2">
        <v>8.27</v>
      </c>
    </row>
    <row r="3836" spans="1:12">
      <c r="A3836" s="3" t="s">
        <v>2194</v>
      </c>
      <c r="B3836" s="3" t="s">
        <v>3663</v>
      </c>
      <c r="C3836" s="3" t="s">
        <v>3749</v>
      </c>
      <c r="D3836" s="3"/>
      <c r="E3836" s="2" t="str">
        <f>HYPERLINK("https://old.ukr-mobil.com/zadnyaya_kryshka_meizu_m5c_m710_high_copy_black_12103", "Перейти")</f>
        <v>Перейти</v>
      </c>
      <c r="F3836" s="2">
        <v>12103</v>
      </c>
      <c r="G3836" s="4" t="s">
        <v>3981</v>
      </c>
      <c r="H3836" s="1">
        <v>0</v>
      </c>
      <c r="I3836" s="1">
        <v>0</v>
      </c>
      <c r="J3836" s="1">
        <v>0</v>
      </c>
      <c r="K3836" s="2">
        <v>7.06</v>
      </c>
    </row>
    <row r="3837" spans="1:12">
      <c r="A3837" s="3" t="s">
        <v>2194</v>
      </c>
      <c r="B3837" s="3" t="s">
        <v>3663</v>
      </c>
      <c r="C3837" s="3" t="s">
        <v>3749</v>
      </c>
      <c r="D3837" s="3"/>
      <c r="E3837" s="2" t="str">
        <f>HYPERLINK("https://old.ukr-mobil.com/zadnyaya_kryshka_meizu_m5s_high_copy_black_10241", "Перейти")</f>
        <v>Перейти</v>
      </c>
      <c r="F3837" s="2">
        <v>10241</v>
      </c>
      <c r="G3837" s="4" t="s">
        <v>3982</v>
      </c>
      <c r="H3837" s="1">
        <v>0</v>
      </c>
      <c r="I3837" s="1">
        <v>0</v>
      </c>
      <c r="J3837" s="1">
        <v>0</v>
      </c>
      <c r="K3837" s="2">
        <v>7.56</v>
      </c>
    </row>
    <row r="3838" spans="1:12">
      <c r="A3838" s="3" t="s">
        <v>2194</v>
      </c>
      <c r="B3838" s="3" t="s">
        <v>3663</v>
      </c>
      <c r="C3838" s="3" t="s">
        <v>3749</v>
      </c>
      <c r="D3838" s="3"/>
      <c r="E3838" s="2" t="str">
        <f>HYPERLINK("https://old.ukr-mobil.com/zadnyaya_kryshka_meizu_m6_high_copy_black_10349", "Перейти")</f>
        <v>Перейти</v>
      </c>
      <c r="F3838" s="2">
        <v>10349</v>
      </c>
      <c r="G3838" s="4" t="s">
        <v>3983</v>
      </c>
      <c r="H3838" s="1">
        <v>0</v>
      </c>
      <c r="I3838" s="1">
        <v>0</v>
      </c>
      <c r="J3838" s="1">
        <v>0</v>
      </c>
      <c r="K3838" s="2">
        <v>8.06</v>
      </c>
    </row>
    <row r="3839" spans="1:12">
      <c r="A3839" s="3" t="s">
        <v>2194</v>
      </c>
      <c r="B3839" s="3" t="s">
        <v>3663</v>
      </c>
      <c r="C3839" s="3" t="s">
        <v>3749</v>
      </c>
      <c r="D3839" s="3"/>
      <c r="E3839" s="2" t="str">
        <f>HYPERLINK("https://old.ukr-mobil.com/zadnyaya_kryshka_meizu_m6_note_m721h_high_copy_black_12102", "Перейти")</f>
        <v>Перейти</v>
      </c>
      <c r="F3839" s="2">
        <v>12102</v>
      </c>
      <c r="G3839" s="4" t="s">
        <v>3984</v>
      </c>
      <c r="H3839" s="1">
        <v>0</v>
      </c>
      <c r="I3839" s="1">
        <v>0</v>
      </c>
      <c r="J3839" s="1">
        <v>0</v>
      </c>
      <c r="K3839" s="2">
        <v>9.07</v>
      </c>
    </row>
    <row r="3840" spans="1:12">
      <c r="A3840" s="3" t="s">
        <v>2194</v>
      </c>
      <c r="B3840" s="3" t="s">
        <v>3663</v>
      </c>
      <c r="C3840" s="3" t="s">
        <v>3749</v>
      </c>
      <c r="D3840" s="3"/>
      <c r="E3840" s="2" t="str">
        <f>HYPERLINK("https://old.ukr-mobil.com/zadnyaya_kryshka_meizu_m6t_high_copy_black_12104", "Перейти")</f>
        <v>Перейти</v>
      </c>
      <c r="F3840" s="2">
        <v>12104</v>
      </c>
      <c r="G3840" s="4" t="s">
        <v>3985</v>
      </c>
      <c r="H3840" s="1">
        <v>0</v>
      </c>
      <c r="I3840" s="1">
        <v>0</v>
      </c>
      <c r="J3840" s="1">
        <v>0</v>
      </c>
      <c r="K3840" s="2">
        <v>8.06</v>
      </c>
    </row>
    <row r="3841" spans="1:12">
      <c r="A3841" s="3" t="s">
        <v>2194</v>
      </c>
      <c r="B3841" s="3" t="s">
        <v>3663</v>
      </c>
      <c r="C3841" s="3" t="s">
        <v>3749</v>
      </c>
      <c r="D3841" s="3"/>
      <c r="E3841" s="2" t="str">
        <f>HYPERLINK("https://old.ukr-mobil.com/zadnyaya_kryshka_meizu_m8c_m810h_high_copy_black_12105", "Перейти")</f>
        <v>Перейти</v>
      </c>
      <c r="F3841" s="2">
        <v>12105</v>
      </c>
      <c r="G3841" s="4" t="s">
        <v>3986</v>
      </c>
      <c r="H3841" s="1">
        <v>0</v>
      </c>
      <c r="I3841" s="1">
        <v>0</v>
      </c>
      <c r="J3841" s="1">
        <v>0</v>
      </c>
      <c r="K3841" s="2">
        <v>9.07</v>
      </c>
    </row>
    <row r="3842" spans="1:12">
      <c r="A3842" s="3" t="s">
        <v>2194</v>
      </c>
      <c r="B3842" s="3" t="s">
        <v>3663</v>
      </c>
      <c r="C3842" s="3" t="s">
        <v>3749</v>
      </c>
      <c r="D3842" s="3"/>
      <c r="E3842" s="2" t="str">
        <f>HYPERLINK("https://old.ukr-mobil.com/zadnyaya_kryshka_meizu_u10_high_copy_black_10720", "Перейти")</f>
        <v>Перейти</v>
      </c>
      <c r="F3842" s="2">
        <v>10720</v>
      </c>
      <c r="G3842" s="4" t="s">
        <v>3987</v>
      </c>
      <c r="H3842" s="1">
        <v>0</v>
      </c>
      <c r="I3842" s="1">
        <v>0</v>
      </c>
      <c r="J3842" s="1">
        <v>0</v>
      </c>
      <c r="K3842" s="2">
        <v>3.02</v>
      </c>
    </row>
    <row r="3843" spans="1:12">
      <c r="A3843" s="3" t="s">
        <v>2194</v>
      </c>
      <c r="B3843" s="3" t="s">
        <v>3663</v>
      </c>
      <c r="C3843" s="3" t="s">
        <v>3749</v>
      </c>
      <c r="D3843" s="3"/>
      <c r="E3843" s="2" t="str">
        <f>HYPERLINK("https://old.ukr-mobil.com/zadnyaya_kryshka_meizu_u10_high_copy_white_10719", "Перейти")</f>
        <v>Перейти</v>
      </c>
      <c r="F3843" s="2">
        <v>10719</v>
      </c>
      <c r="G3843" s="4" t="s">
        <v>3988</v>
      </c>
      <c r="H3843" s="1">
        <v>0</v>
      </c>
      <c r="I3843" s="1">
        <v>0</v>
      </c>
      <c r="J3843" s="1">
        <v>0</v>
      </c>
      <c r="K3843" s="2">
        <v>3.02</v>
      </c>
    </row>
    <row r="3844" spans="1:12">
      <c r="A3844" s="3" t="s">
        <v>2194</v>
      </c>
      <c r="B3844" s="3" t="s">
        <v>3663</v>
      </c>
      <c r="C3844" s="3" t="s">
        <v>3749</v>
      </c>
      <c r="D3844" s="3"/>
      <c r="E3844" s="2" t="str">
        <f>HYPERLINK("https://old.ukr-mobil.com/zadnyaya_kryshka_meizu_u20_high_copy_black_10352", "Перейти")</f>
        <v>Перейти</v>
      </c>
      <c r="F3844" s="2">
        <v>10352</v>
      </c>
      <c r="G3844" s="4" t="s">
        <v>3989</v>
      </c>
      <c r="H3844" s="1">
        <v>0</v>
      </c>
      <c r="I3844" s="1">
        <v>0</v>
      </c>
      <c r="J3844" s="1">
        <v>0</v>
      </c>
      <c r="K3844" s="2">
        <v>3.28</v>
      </c>
    </row>
    <row r="3845" spans="1:12">
      <c r="A3845" s="3" t="s">
        <v>2194</v>
      </c>
      <c r="B3845" s="3" t="s">
        <v>3663</v>
      </c>
      <c r="C3845" s="3" t="s">
        <v>3749</v>
      </c>
      <c r="D3845" s="3"/>
      <c r="E3845" s="2" t="str">
        <f>HYPERLINK("https://old.ukr-mobil.com/zadnyaya_kryshka_meizu_u20_high_copy_white_10353", "Перейти")</f>
        <v>Перейти</v>
      </c>
      <c r="F3845" s="2">
        <v>10353</v>
      </c>
      <c r="G3845" s="4" t="s">
        <v>3990</v>
      </c>
      <c r="H3845" s="1">
        <v>0</v>
      </c>
      <c r="I3845" s="1">
        <v>0</v>
      </c>
      <c r="J3845" s="1">
        <v>0</v>
      </c>
      <c r="K3845" s="2">
        <v>3.28</v>
      </c>
    </row>
    <row r="3846" spans="1:12">
      <c r="A3846" s="3" t="s">
        <v>2194</v>
      </c>
      <c r="B3846" s="3" t="s">
        <v>3663</v>
      </c>
      <c r="C3846" s="3" t="s">
        <v>3749</v>
      </c>
      <c r="D3846" s="3"/>
      <c r="E3846" s="2" t="str">
        <f>HYPERLINK("https://old.ukr-mobil.com/index.php?route=product&amp;product_id=10005381", "Перейти")</f>
        <v>Перейти</v>
      </c>
      <c r="F3846" s="2">
        <v>10005381</v>
      </c>
      <c r="G3846" s="4" t="s">
        <v>3991</v>
      </c>
      <c r="H3846" s="1">
        <v>5</v>
      </c>
      <c r="I3846" s="1">
        <v>3</v>
      </c>
      <c r="J3846" s="1">
        <v>2</v>
      </c>
      <c r="K3846" s="2">
        <v>9.5</v>
      </c>
    </row>
    <row r="3847" spans="1:12">
      <c r="A3847" s="3" t="s">
        <v>2194</v>
      </c>
      <c r="B3847" s="3" t="s">
        <v>3663</v>
      </c>
      <c r="C3847" s="3" t="s">
        <v>3749</v>
      </c>
      <c r="D3847" s="3"/>
      <c r="E3847" s="2" t="str">
        <f>HYPERLINK("https://old.ukr-mobil.com/index.php?route=product&amp;product_id=10005380", "Перейти")</f>
        <v>Перейти</v>
      </c>
      <c r="F3847" s="2">
        <v>10005380</v>
      </c>
      <c r="G3847" s="4" t="s">
        <v>3992</v>
      </c>
      <c r="H3847" s="1">
        <v>4</v>
      </c>
      <c r="I3847" s="1">
        <v>3</v>
      </c>
      <c r="J3847" s="1">
        <v>2</v>
      </c>
      <c r="K3847" s="2">
        <v>9.5</v>
      </c>
    </row>
    <row r="3848" spans="1:12">
      <c r="A3848" s="3" t="s">
        <v>2194</v>
      </c>
      <c r="B3848" s="3" t="s">
        <v>3663</v>
      </c>
      <c r="C3848" s="3" t="s">
        <v>3749</v>
      </c>
      <c r="D3848" s="3"/>
      <c r="E3848" s="2" t="str">
        <f>HYPERLINK("https://old.ukr-mobil.com/zadnyaya_kryshka_motorola_e6s_xt2053_e6i_so_steklom_kamery_meteor_grey_10002505", "Перейти")</f>
        <v>Перейти</v>
      </c>
      <c r="F3848" s="2">
        <v>10002505</v>
      </c>
      <c r="G3848" s="4" t="s">
        <v>3993</v>
      </c>
      <c r="H3848" s="1">
        <v>8</v>
      </c>
      <c r="I3848" s="1">
        <v>7</v>
      </c>
      <c r="J3848" s="1">
        <v>5</v>
      </c>
      <c r="K3848" s="2">
        <v>5.0</v>
      </c>
    </row>
    <row r="3849" spans="1:12">
      <c r="A3849" s="3" t="s">
        <v>2194</v>
      </c>
      <c r="B3849" s="3" t="s">
        <v>3663</v>
      </c>
      <c r="C3849" s="3" t="s">
        <v>3749</v>
      </c>
      <c r="D3849" s="3"/>
      <c r="E3849" s="2" t="str">
        <f>HYPERLINK("https://old.ukr-mobil.com/zadnyaya_kryshka_motorola_e7_plus_xt2081_misty_blue_10002512", "Перейти")</f>
        <v>Перейти</v>
      </c>
      <c r="F3849" s="2">
        <v>10002512</v>
      </c>
      <c r="G3849" s="4" t="s">
        <v>3994</v>
      </c>
      <c r="H3849" s="1">
        <v>0</v>
      </c>
      <c r="I3849" s="1">
        <v>3</v>
      </c>
      <c r="J3849" s="1">
        <v>3</v>
      </c>
      <c r="K3849" s="2">
        <v>8.25</v>
      </c>
    </row>
    <row r="3850" spans="1:12">
      <c r="A3850" s="3" t="s">
        <v>2194</v>
      </c>
      <c r="B3850" s="3" t="s">
        <v>3663</v>
      </c>
      <c r="C3850" s="3" t="s">
        <v>3749</v>
      </c>
      <c r="D3850" s="3"/>
      <c r="E3850" s="2" t="str">
        <f>HYPERLINK("https://old.ukr-mobil.com/zadnyaya_kryshka_motorola_e7_power_e7i_power_so_steklom_kamery_coral_red_10002504", "Перейти")</f>
        <v>Перейти</v>
      </c>
      <c r="F3850" s="2">
        <v>10002504</v>
      </c>
      <c r="G3850" s="4" t="s">
        <v>3995</v>
      </c>
      <c r="H3850" s="1">
        <v>14</v>
      </c>
      <c r="I3850" s="1">
        <v>6</v>
      </c>
      <c r="J3850" s="1">
        <v>6</v>
      </c>
      <c r="K3850" s="2">
        <v>5.75</v>
      </c>
    </row>
    <row r="3851" spans="1:12">
      <c r="A3851" s="3" t="s">
        <v>2194</v>
      </c>
      <c r="B3851" s="3" t="s">
        <v>3663</v>
      </c>
      <c r="C3851" s="3" t="s">
        <v>3749</v>
      </c>
      <c r="D3851" s="3"/>
      <c r="E3851" s="2" t="str">
        <f>HYPERLINK("https://old.ukr-mobil.com/zadnyaya_kryshka_motorola_e7_power_e7i_power_so_steklom_kamery_tahiti_blue_10002503", "Перейти")</f>
        <v>Перейти</v>
      </c>
      <c r="F3851" s="2">
        <v>10002503</v>
      </c>
      <c r="G3851" s="4" t="s">
        <v>3996</v>
      </c>
      <c r="H3851" s="1">
        <v>10</v>
      </c>
      <c r="I3851" s="1">
        <v>6</v>
      </c>
      <c r="J3851" s="1">
        <v>2</v>
      </c>
      <c r="K3851" s="2">
        <v>5.75</v>
      </c>
    </row>
    <row r="3852" spans="1:12">
      <c r="A3852" s="3" t="s">
        <v>2194</v>
      </c>
      <c r="B3852" s="3" t="s">
        <v>3663</v>
      </c>
      <c r="C3852" s="3" t="s">
        <v>3749</v>
      </c>
      <c r="D3852" s="3"/>
      <c r="E3852" s="2" t="str">
        <f>HYPERLINK("https://old.ukr-mobil.com/index.php?route=product&amp;product_id=10005403", "Перейти")</f>
        <v>Перейти</v>
      </c>
      <c r="F3852" s="2">
        <v>10005403</v>
      </c>
      <c r="G3852" s="4" t="s">
        <v>3997</v>
      </c>
      <c r="H3852" s="1">
        <v>1</v>
      </c>
      <c r="I3852" s="1">
        <v>0</v>
      </c>
      <c r="J3852" s="1">
        <v>1</v>
      </c>
      <c r="K3852" s="2">
        <v>8.9</v>
      </c>
    </row>
    <row r="3853" spans="1:12">
      <c r="A3853" s="3" t="s">
        <v>2194</v>
      </c>
      <c r="B3853" s="3" t="s">
        <v>3663</v>
      </c>
      <c r="C3853" s="3" t="s">
        <v>3749</v>
      </c>
      <c r="D3853" s="3"/>
      <c r="E3853" s="2" t="str">
        <f>HYPERLINK("https://old.ukr-mobil.com/index.php?route=product&amp;product_id=10005409", "Перейти")</f>
        <v>Перейти</v>
      </c>
      <c r="F3853" s="2">
        <v>10005409</v>
      </c>
      <c r="G3853" s="4" t="s">
        <v>3998</v>
      </c>
      <c r="H3853" s="1">
        <v>5</v>
      </c>
      <c r="I3853" s="1">
        <v>3</v>
      </c>
      <c r="J3853" s="1">
        <v>2</v>
      </c>
      <c r="K3853" s="2">
        <v>12.5</v>
      </c>
    </row>
    <row r="3854" spans="1:12">
      <c r="A3854" s="3" t="s">
        <v>2194</v>
      </c>
      <c r="B3854" s="3" t="s">
        <v>3663</v>
      </c>
      <c r="C3854" s="3" t="s">
        <v>3749</v>
      </c>
      <c r="D3854" s="3"/>
      <c r="E3854" s="2" t="str">
        <f>HYPERLINK("https://old.ukr-mobil.com/index.php?route=product&amp;product_id=10005410", "Перейти")</f>
        <v>Перейти</v>
      </c>
      <c r="F3854" s="2">
        <v>10005410</v>
      </c>
      <c r="G3854" s="4" t="s">
        <v>3999</v>
      </c>
      <c r="H3854" s="1">
        <v>5</v>
      </c>
      <c r="I3854" s="1">
        <v>3</v>
      </c>
      <c r="J3854" s="1">
        <v>1</v>
      </c>
      <c r="K3854" s="2">
        <v>12.5</v>
      </c>
    </row>
    <row r="3855" spans="1:12">
      <c r="A3855" s="3" t="s">
        <v>2194</v>
      </c>
      <c r="B3855" s="3" t="s">
        <v>3663</v>
      </c>
      <c r="C3855" s="3" t="s">
        <v>3749</v>
      </c>
      <c r="D3855" s="3"/>
      <c r="E3855" s="2" t="str">
        <f>HYPERLINK("https://old.ukr-mobil.com/index.php?route=product&amp;product_id=10005404", "Перейти")</f>
        <v>Перейти</v>
      </c>
      <c r="F3855" s="2">
        <v>10005404</v>
      </c>
      <c r="G3855" s="4" t="s">
        <v>4000</v>
      </c>
      <c r="H3855" s="1">
        <v>3</v>
      </c>
      <c r="I3855" s="1">
        <v>3</v>
      </c>
      <c r="J3855" s="1">
        <v>2</v>
      </c>
      <c r="K3855" s="2">
        <v>12.45</v>
      </c>
    </row>
    <row r="3856" spans="1:12">
      <c r="A3856" s="3" t="s">
        <v>2194</v>
      </c>
      <c r="B3856" s="3" t="s">
        <v>3663</v>
      </c>
      <c r="C3856" s="3" t="s">
        <v>3749</v>
      </c>
      <c r="D3856" s="3"/>
      <c r="E3856" s="2" t="str">
        <f>HYPERLINK("https://old.ukr-mobil.com/index.php?route=product&amp;product_id=10005405", "Перейти")</f>
        <v>Перейти</v>
      </c>
      <c r="F3856" s="2">
        <v>10005405</v>
      </c>
      <c r="G3856" s="4" t="s">
        <v>4001</v>
      </c>
      <c r="H3856" s="1">
        <v>4</v>
      </c>
      <c r="I3856" s="1">
        <v>3</v>
      </c>
      <c r="J3856" s="1">
        <v>2</v>
      </c>
      <c r="K3856" s="2">
        <v>12.45</v>
      </c>
    </row>
    <row r="3857" spans="1:12">
      <c r="A3857" s="3" t="s">
        <v>2194</v>
      </c>
      <c r="B3857" s="3" t="s">
        <v>3663</v>
      </c>
      <c r="C3857" s="3" t="s">
        <v>3749</v>
      </c>
      <c r="D3857" s="3"/>
      <c r="E3857" s="2" t="str">
        <f>HYPERLINK("https://old.ukr-mobil.com/index.php?route=product&amp;product_id=10005406", "Перейти")</f>
        <v>Перейти</v>
      </c>
      <c r="F3857" s="2">
        <v>10005406</v>
      </c>
      <c r="G3857" s="4" t="s">
        <v>4002</v>
      </c>
      <c r="H3857" s="1">
        <v>5</v>
      </c>
      <c r="I3857" s="1">
        <v>3</v>
      </c>
      <c r="J3857" s="1">
        <v>2</v>
      </c>
      <c r="K3857" s="2">
        <v>12.45</v>
      </c>
    </row>
    <row r="3858" spans="1:12">
      <c r="A3858" s="3" t="s">
        <v>2194</v>
      </c>
      <c r="B3858" s="3" t="s">
        <v>3663</v>
      </c>
      <c r="C3858" s="3" t="s">
        <v>3749</v>
      </c>
      <c r="D3858" s="3"/>
      <c r="E3858" s="2" t="str">
        <f>HYPERLINK("https://old.ukr-mobil.com/zadnyaya_kryshka_motorola_g10_xt2127_misty_blue_10002513", "Перейти")</f>
        <v>Перейти</v>
      </c>
      <c r="F3858" s="2">
        <v>10002513</v>
      </c>
      <c r="G3858" s="4" t="s">
        <v>4003</v>
      </c>
      <c r="H3858" s="1">
        <v>3</v>
      </c>
      <c r="I3858" s="1">
        <v>2</v>
      </c>
      <c r="J3858" s="1">
        <v>2</v>
      </c>
      <c r="K3858" s="2">
        <v>8.25</v>
      </c>
    </row>
    <row r="3859" spans="1:12">
      <c r="A3859" s="3" t="s">
        <v>2194</v>
      </c>
      <c r="B3859" s="3" t="s">
        <v>3663</v>
      </c>
      <c r="C3859" s="3" t="s">
        <v>3749</v>
      </c>
      <c r="D3859" s="3"/>
      <c r="E3859" s="2" t="str">
        <f>HYPERLINK("https://old.ukr-mobil.com/index.php?route=product&amp;product_id=10005389", "Перейти")</f>
        <v>Перейти</v>
      </c>
      <c r="F3859" s="2">
        <v>10005389</v>
      </c>
      <c r="G3859" s="4" t="s">
        <v>4004</v>
      </c>
      <c r="H3859" s="1">
        <v>5</v>
      </c>
      <c r="I3859" s="1">
        <v>3</v>
      </c>
      <c r="J3859" s="1">
        <v>2</v>
      </c>
      <c r="K3859" s="2">
        <v>5.35</v>
      </c>
    </row>
    <row r="3860" spans="1:12">
      <c r="A3860" s="3" t="s">
        <v>2194</v>
      </c>
      <c r="B3860" s="3" t="s">
        <v>3663</v>
      </c>
      <c r="C3860" s="3" t="s">
        <v>3749</v>
      </c>
      <c r="D3860" s="3"/>
      <c r="E3860" s="2" t="str">
        <f>HYPERLINK("https://old.ukr-mobil.com/index.php?route=product&amp;product_id=10005387", "Перейти")</f>
        <v>Перейти</v>
      </c>
      <c r="F3860" s="2">
        <v>10005387</v>
      </c>
      <c r="G3860" s="4" t="s">
        <v>4005</v>
      </c>
      <c r="H3860" s="1">
        <v>4</v>
      </c>
      <c r="I3860" s="1">
        <v>3</v>
      </c>
      <c r="J3860" s="1">
        <v>1</v>
      </c>
      <c r="K3860" s="2">
        <v>6.5</v>
      </c>
    </row>
    <row r="3861" spans="1:12">
      <c r="A3861" s="3" t="s">
        <v>2194</v>
      </c>
      <c r="B3861" s="3" t="s">
        <v>3663</v>
      </c>
      <c r="C3861" s="3" t="s">
        <v>3749</v>
      </c>
      <c r="D3861" s="3"/>
      <c r="E3861" s="2" t="str">
        <f>HYPERLINK("https://old.ukr-mobil.com/zadnyaya_kryshka_motorola_g20_xt2128_breeze_blue_10002506", "Перейти")</f>
        <v>Перейти</v>
      </c>
      <c r="F3861" s="2">
        <v>10002506</v>
      </c>
      <c r="G3861" s="4" t="s">
        <v>4006</v>
      </c>
      <c r="H3861" s="1">
        <v>5</v>
      </c>
      <c r="I3861" s="1">
        <v>2</v>
      </c>
      <c r="J3861" s="1">
        <v>2</v>
      </c>
      <c r="K3861" s="2">
        <v>6.0</v>
      </c>
    </row>
    <row r="3862" spans="1:12">
      <c r="A3862" s="3" t="s">
        <v>2194</v>
      </c>
      <c r="B3862" s="3" t="s">
        <v>3663</v>
      </c>
      <c r="C3862" s="3" t="s">
        <v>3749</v>
      </c>
      <c r="D3862" s="3"/>
      <c r="E3862" s="2" t="str">
        <f>HYPERLINK("https://old.ukr-mobil.com/index.php?route=product&amp;product_id=10005395", "Перейти")</f>
        <v>Перейти</v>
      </c>
      <c r="F3862" s="2">
        <v>10005395</v>
      </c>
      <c r="G3862" s="4" t="s">
        <v>4007</v>
      </c>
      <c r="H3862" s="1">
        <v>4</v>
      </c>
      <c r="I3862" s="1">
        <v>3</v>
      </c>
      <c r="J3862" s="1">
        <v>2</v>
      </c>
      <c r="K3862" s="2">
        <v>5.35</v>
      </c>
    </row>
    <row r="3863" spans="1:12">
      <c r="A3863" s="3" t="s">
        <v>2194</v>
      </c>
      <c r="B3863" s="3" t="s">
        <v>3663</v>
      </c>
      <c r="C3863" s="3" t="s">
        <v>3749</v>
      </c>
      <c r="D3863" s="3"/>
      <c r="E3863" s="2" t="str">
        <f>HYPERLINK("https://old.ukr-mobil.com/index.php?route=product&amp;product_id=10005396", "Перейти")</f>
        <v>Перейти</v>
      </c>
      <c r="F3863" s="2">
        <v>10005396</v>
      </c>
      <c r="G3863" s="4" t="s">
        <v>4008</v>
      </c>
      <c r="H3863" s="1">
        <v>5</v>
      </c>
      <c r="I3863" s="1">
        <v>3</v>
      </c>
      <c r="J3863" s="1">
        <v>2</v>
      </c>
      <c r="K3863" s="2">
        <v>5.35</v>
      </c>
    </row>
    <row r="3864" spans="1:12">
      <c r="A3864" s="3" t="s">
        <v>2194</v>
      </c>
      <c r="B3864" s="3" t="s">
        <v>3663</v>
      </c>
      <c r="C3864" s="3" t="s">
        <v>3749</v>
      </c>
      <c r="D3864" s="3"/>
      <c r="E3864" s="2" t="str">
        <f>HYPERLINK("https://old.ukr-mobil.com/zadnyaya_kryshka_motorola_g30_pastel_sky_10002509", "Перейти")</f>
        <v>Перейти</v>
      </c>
      <c r="F3864" s="2">
        <v>10002509</v>
      </c>
      <c r="G3864" s="4" t="s">
        <v>4009</v>
      </c>
      <c r="H3864" s="1">
        <v>4</v>
      </c>
      <c r="I3864" s="1">
        <v>1</v>
      </c>
      <c r="J3864" s="1">
        <v>2</v>
      </c>
      <c r="K3864" s="2">
        <v>8.0</v>
      </c>
    </row>
    <row r="3865" spans="1:12">
      <c r="A3865" s="3" t="s">
        <v>2194</v>
      </c>
      <c r="B3865" s="3" t="s">
        <v>3663</v>
      </c>
      <c r="C3865" s="3" t="s">
        <v>3749</v>
      </c>
      <c r="D3865" s="3"/>
      <c r="E3865" s="2" t="str">
        <f>HYPERLINK("https://old.ukr-mobil.com/index.php?route=product&amp;product_id=10004881", "Перейти")</f>
        <v>Перейти</v>
      </c>
      <c r="F3865" s="2">
        <v>10004881</v>
      </c>
      <c r="G3865" s="4" t="s">
        <v>4010</v>
      </c>
      <c r="H3865" s="1">
        <v>0</v>
      </c>
      <c r="I3865" s="1">
        <v>1</v>
      </c>
      <c r="J3865" s="1">
        <v>1</v>
      </c>
      <c r="K3865" s="2">
        <v>4.35</v>
      </c>
    </row>
    <row r="3866" spans="1:12">
      <c r="A3866" s="3" t="s">
        <v>2194</v>
      </c>
      <c r="B3866" s="3" t="s">
        <v>3663</v>
      </c>
      <c r="C3866" s="3" t="s">
        <v>3749</v>
      </c>
      <c r="D3866" s="3"/>
      <c r="E3866" s="2" t="str">
        <f>HYPERLINK("https://old.ukr-mobil.com/index.php?route=product&amp;product_id=10004880", "Перейти")</f>
        <v>Перейти</v>
      </c>
      <c r="F3866" s="2">
        <v>10004880</v>
      </c>
      <c r="G3866" s="4" t="s">
        <v>4011</v>
      </c>
      <c r="H3866" s="1">
        <v>9</v>
      </c>
      <c r="I3866" s="1">
        <v>6</v>
      </c>
      <c r="J3866" s="1">
        <v>5</v>
      </c>
      <c r="K3866" s="2">
        <v>4.35</v>
      </c>
    </row>
    <row r="3867" spans="1:12">
      <c r="A3867" s="3" t="s">
        <v>2194</v>
      </c>
      <c r="B3867" s="3" t="s">
        <v>3663</v>
      </c>
      <c r="C3867" s="3" t="s">
        <v>3749</v>
      </c>
      <c r="D3867" s="3"/>
      <c r="E3867" s="2" t="str">
        <f>HYPERLINK("https://old.ukr-mobil.com/index.php?route=product&amp;product_id=10004879", "Перейти")</f>
        <v>Перейти</v>
      </c>
      <c r="F3867" s="2">
        <v>10004879</v>
      </c>
      <c r="G3867" s="4" t="s">
        <v>4012</v>
      </c>
      <c r="H3867" s="1">
        <v>8</v>
      </c>
      <c r="I3867" s="1">
        <v>5</v>
      </c>
      <c r="J3867" s="1">
        <v>4</v>
      </c>
      <c r="K3867" s="2">
        <v>4.35</v>
      </c>
    </row>
    <row r="3868" spans="1:12">
      <c r="A3868" s="3" t="s">
        <v>2194</v>
      </c>
      <c r="B3868" s="3" t="s">
        <v>3663</v>
      </c>
      <c r="C3868" s="3" t="s">
        <v>3749</v>
      </c>
      <c r="D3868" s="3"/>
      <c r="E3868" s="2" t="str">
        <f>HYPERLINK("https://old.ukr-mobil.com/index.php?route=product&amp;product_id=10005398", "Перейти")</f>
        <v>Перейти</v>
      </c>
      <c r="F3868" s="2">
        <v>10005398</v>
      </c>
      <c r="G3868" s="4" t="s">
        <v>4013</v>
      </c>
      <c r="H3868" s="1">
        <v>7</v>
      </c>
      <c r="I3868" s="1">
        <v>3</v>
      </c>
      <c r="J3868" s="1">
        <v>1</v>
      </c>
      <c r="K3868" s="2">
        <v>7.6</v>
      </c>
    </row>
    <row r="3869" spans="1:12">
      <c r="A3869" s="3" t="s">
        <v>2194</v>
      </c>
      <c r="B3869" s="3" t="s">
        <v>3663</v>
      </c>
      <c r="C3869" s="3" t="s">
        <v>3749</v>
      </c>
      <c r="D3869" s="3"/>
      <c r="E3869" s="2" t="str">
        <f>HYPERLINK("https://old.ukr-mobil.com/index.php?route=product&amp;product_id=10005397", "Перейти")</f>
        <v>Перейти</v>
      </c>
      <c r="F3869" s="2">
        <v>10005397</v>
      </c>
      <c r="G3869" s="4" t="s">
        <v>4014</v>
      </c>
      <c r="H3869" s="1">
        <v>7</v>
      </c>
      <c r="I3869" s="1">
        <v>3</v>
      </c>
      <c r="J3869" s="1">
        <v>2</v>
      </c>
      <c r="K3869" s="2">
        <v>7.6</v>
      </c>
    </row>
    <row r="3870" spans="1:12">
      <c r="A3870" s="3" t="s">
        <v>2194</v>
      </c>
      <c r="B3870" s="3" t="s">
        <v>3663</v>
      </c>
      <c r="C3870" s="3" t="s">
        <v>3749</v>
      </c>
      <c r="D3870" s="3"/>
      <c r="E3870" s="2" t="str">
        <f>HYPERLINK("https://old.ukr-mobil.com/zadnyaya_kryshka_motorola_g60_xt2135-2_xt2135_haze_gray_10003239", "Перейти")</f>
        <v>Перейти</v>
      </c>
      <c r="F3870" s="2">
        <v>10003239</v>
      </c>
      <c r="G3870" s="4" t="s">
        <v>4015</v>
      </c>
      <c r="H3870" s="1">
        <v>0</v>
      </c>
      <c r="I3870" s="1">
        <v>2</v>
      </c>
      <c r="J3870" s="1">
        <v>4</v>
      </c>
      <c r="K3870" s="2">
        <v>7.5</v>
      </c>
    </row>
    <row r="3871" spans="1:12">
      <c r="A3871" s="3" t="s">
        <v>2194</v>
      </c>
      <c r="B3871" s="3" t="s">
        <v>3663</v>
      </c>
      <c r="C3871" s="3" t="s">
        <v>3749</v>
      </c>
      <c r="D3871" s="3"/>
      <c r="E3871" s="2" t="str">
        <f>HYPERLINK("https://old.ukr-mobil.com/zadnyaya_kryshka_motorola_g60_xt2135-2_xt2135_moonless_black_10003238", "Перейти")</f>
        <v>Перейти</v>
      </c>
      <c r="F3871" s="2">
        <v>10003238</v>
      </c>
      <c r="G3871" s="4" t="s">
        <v>4016</v>
      </c>
      <c r="H3871" s="1">
        <v>7</v>
      </c>
      <c r="I3871" s="1">
        <v>7</v>
      </c>
      <c r="J3871" s="1">
        <v>5</v>
      </c>
      <c r="K3871" s="2">
        <v>7.0</v>
      </c>
    </row>
    <row r="3872" spans="1:12">
      <c r="A3872" s="3" t="s">
        <v>2194</v>
      </c>
      <c r="B3872" s="3" t="s">
        <v>3663</v>
      </c>
      <c r="C3872" s="3" t="s">
        <v>3749</v>
      </c>
      <c r="D3872" s="3"/>
      <c r="E3872" s="2" t="str">
        <f>HYPERLINK("https://old.ukr-mobil.com/index.php?route=product&amp;product_id=10005401", "Перейти")</f>
        <v>Перейти</v>
      </c>
      <c r="F3872" s="2">
        <v>10005401</v>
      </c>
      <c r="G3872" s="4" t="s">
        <v>4017</v>
      </c>
      <c r="H3872" s="1">
        <v>5</v>
      </c>
      <c r="I3872" s="1">
        <v>3</v>
      </c>
      <c r="J3872" s="1">
        <v>2</v>
      </c>
      <c r="K3872" s="2">
        <v>5.45</v>
      </c>
    </row>
    <row r="3873" spans="1:12">
      <c r="A3873" s="3" t="s">
        <v>2194</v>
      </c>
      <c r="B3873" s="3" t="s">
        <v>3663</v>
      </c>
      <c r="C3873" s="3" t="s">
        <v>3749</v>
      </c>
      <c r="D3873" s="3"/>
      <c r="E3873" s="2" t="str">
        <f>HYPERLINK("https://old.ukr-mobil.com/index.php?route=product&amp;product_id=10005402", "Перейти")</f>
        <v>Перейти</v>
      </c>
      <c r="F3873" s="2">
        <v>10005402</v>
      </c>
      <c r="G3873" s="4" t="s">
        <v>4018</v>
      </c>
      <c r="H3873" s="1">
        <v>5</v>
      </c>
      <c r="I3873" s="1">
        <v>3</v>
      </c>
      <c r="J3873" s="1">
        <v>2</v>
      </c>
      <c r="K3873" s="2">
        <v>5.45</v>
      </c>
    </row>
    <row r="3874" spans="1:12">
      <c r="A3874" s="3" t="s">
        <v>2194</v>
      </c>
      <c r="B3874" s="3" t="s">
        <v>3663</v>
      </c>
      <c r="C3874" s="3" t="s">
        <v>3749</v>
      </c>
      <c r="D3874" s="3"/>
      <c r="E3874" s="2" t="str">
        <f>HYPERLINK("https://old.ukr-mobil.com/zadnyaya_kryshka_motorola_g8_xt2045_pearl_white_10002507", "Перейти")</f>
        <v>Перейти</v>
      </c>
      <c r="F3874" s="2">
        <v>10002507</v>
      </c>
      <c r="G3874" s="4" t="s">
        <v>4019</v>
      </c>
      <c r="H3874" s="1">
        <v>5</v>
      </c>
      <c r="I3874" s="1">
        <v>1</v>
      </c>
      <c r="J3874" s="1">
        <v>2</v>
      </c>
      <c r="K3874" s="2">
        <v>5.0</v>
      </c>
    </row>
    <row r="3875" spans="1:12">
      <c r="A3875" s="3" t="s">
        <v>2194</v>
      </c>
      <c r="B3875" s="3" t="s">
        <v>3663</v>
      </c>
      <c r="C3875" s="3" t="s">
        <v>3749</v>
      </c>
      <c r="D3875" s="3"/>
      <c r="E3875" s="2" t="str">
        <f>HYPERLINK("https://old.ukr-mobil.com/zadnyaya_kryshka_motorola_g8_power_xt2041_smoke_black_10002508", "Перейти")</f>
        <v>Перейти</v>
      </c>
      <c r="F3875" s="2">
        <v>10002508</v>
      </c>
      <c r="G3875" s="4" t="s">
        <v>4020</v>
      </c>
      <c r="H3875" s="1">
        <v>6</v>
      </c>
      <c r="I3875" s="1">
        <v>2</v>
      </c>
      <c r="J3875" s="1">
        <v>2</v>
      </c>
      <c r="K3875" s="2">
        <v>5.35</v>
      </c>
    </row>
    <row r="3876" spans="1:12">
      <c r="A3876" s="3" t="s">
        <v>2194</v>
      </c>
      <c r="B3876" s="3" t="s">
        <v>3663</v>
      </c>
      <c r="C3876" s="3" t="s">
        <v>3749</v>
      </c>
      <c r="D3876" s="3"/>
      <c r="E3876" s="2" t="str">
        <f>HYPERLINK("https://old.ukr-mobil.com/index.php?route=product&amp;product_id=10005399", "Перейти")</f>
        <v>Перейти</v>
      </c>
      <c r="F3876" s="2">
        <v>10005399</v>
      </c>
      <c r="G3876" s="4" t="s">
        <v>4021</v>
      </c>
      <c r="H3876" s="1">
        <v>4</v>
      </c>
      <c r="I3876" s="1">
        <v>3</v>
      </c>
      <c r="J3876" s="1">
        <v>2</v>
      </c>
      <c r="K3876" s="2">
        <v>7.9</v>
      </c>
    </row>
    <row r="3877" spans="1:12">
      <c r="A3877" s="3" t="s">
        <v>2194</v>
      </c>
      <c r="B3877" s="3" t="s">
        <v>3663</v>
      </c>
      <c r="C3877" s="3" t="s">
        <v>3749</v>
      </c>
      <c r="D3877" s="3"/>
      <c r="E3877" s="2" t="str">
        <f>HYPERLINK("https://old.ukr-mobil.com/index.php?route=product&amp;product_id=10005400", "Перейти")</f>
        <v>Перейти</v>
      </c>
      <c r="F3877" s="2">
        <v>10005400</v>
      </c>
      <c r="G3877" s="4" t="s">
        <v>4022</v>
      </c>
      <c r="H3877" s="1">
        <v>5</v>
      </c>
      <c r="I3877" s="1">
        <v>3</v>
      </c>
      <c r="J3877" s="1">
        <v>2</v>
      </c>
      <c r="K3877" s="2">
        <v>7.9</v>
      </c>
    </row>
    <row r="3878" spans="1:12">
      <c r="A3878" s="3" t="s">
        <v>2194</v>
      </c>
      <c r="B3878" s="3" t="s">
        <v>3663</v>
      </c>
      <c r="C3878" s="3" t="s">
        <v>3749</v>
      </c>
      <c r="D3878" s="3"/>
      <c r="E3878" s="2" t="str">
        <f>HYPERLINK("https://old.ukr-mobil.com/zadnyaya_kryshka_motorola_g9_play_xt2083_forest_green_10002510", "Перейти")</f>
        <v>Перейти</v>
      </c>
      <c r="F3878" s="2">
        <v>10002510</v>
      </c>
      <c r="G3878" s="4" t="s">
        <v>4023</v>
      </c>
      <c r="H3878" s="1">
        <v>0</v>
      </c>
      <c r="I3878" s="1">
        <v>0</v>
      </c>
      <c r="J3878" s="1">
        <v>2</v>
      </c>
      <c r="K3878" s="2">
        <v>8.0</v>
      </c>
    </row>
    <row r="3879" spans="1:12">
      <c r="A3879" s="3" t="s">
        <v>2194</v>
      </c>
      <c r="B3879" s="3" t="s">
        <v>3663</v>
      </c>
      <c r="C3879" s="3" t="s">
        <v>3749</v>
      </c>
      <c r="D3879" s="3"/>
      <c r="E3879" s="2" t="str">
        <f>HYPERLINK("https://old.ukr-mobil.com/zadnyaya_kryshka_motorola_g9_play_xt2083_sapphire_blue_10002511", "Перейти")</f>
        <v>Перейти</v>
      </c>
      <c r="F3879" s="2">
        <v>10002511</v>
      </c>
      <c r="G3879" s="4" t="s">
        <v>4024</v>
      </c>
      <c r="H3879" s="1">
        <v>0</v>
      </c>
      <c r="I3879" s="1">
        <v>0</v>
      </c>
      <c r="J3879" s="1">
        <v>0</v>
      </c>
      <c r="K3879" s="2">
        <v>8.25</v>
      </c>
    </row>
    <row r="3880" spans="1:12">
      <c r="A3880" s="3" t="s">
        <v>2194</v>
      </c>
      <c r="B3880" s="3" t="s">
        <v>3663</v>
      </c>
      <c r="C3880" s="3" t="s">
        <v>3749</v>
      </c>
      <c r="D3880" s="3"/>
      <c r="E3880" s="2" t="str">
        <f>HYPERLINK("https://old.ukr-mobil.com/zadnyaya_kryshka_motorola_g9_plus_xt2087_navy_blue_10002515", "Перейти")</f>
        <v>Перейти</v>
      </c>
      <c r="F3880" s="2">
        <v>10002515</v>
      </c>
      <c r="G3880" s="4" t="s">
        <v>4025</v>
      </c>
      <c r="H3880" s="1">
        <v>7</v>
      </c>
      <c r="I3880" s="1">
        <v>5</v>
      </c>
      <c r="J3880" s="1">
        <v>0</v>
      </c>
      <c r="K3880" s="2">
        <v>7.0</v>
      </c>
    </row>
    <row r="3881" spans="1:12">
      <c r="A3881" s="3" t="s">
        <v>2194</v>
      </c>
      <c r="B3881" s="3" t="s">
        <v>3663</v>
      </c>
      <c r="C3881" s="3" t="s">
        <v>3749</v>
      </c>
      <c r="D3881" s="3"/>
      <c r="E3881" s="2" t="str">
        <f>HYPERLINK("https://old.ukr-mobil.com/zadnyaya_kryshka_motorola_g9_power_xt2091-3_metallic_sage_10002514", "Перейти")</f>
        <v>Перейти</v>
      </c>
      <c r="F3881" s="2">
        <v>10002514</v>
      </c>
      <c r="G3881" s="4" t="s">
        <v>4026</v>
      </c>
      <c r="H3881" s="1">
        <v>0</v>
      </c>
      <c r="I3881" s="1">
        <v>0</v>
      </c>
      <c r="J3881" s="1">
        <v>0</v>
      </c>
      <c r="K3881" s="2">
        <v>5.0</v>
      </c>
    </row>
    <row r="3882" spans="1:12">
      <c r="A3882" s="3" t="s">
        <v>2194</v>
      </c>
      <c r="B3882" s="3" t="s">
        <v>3663</v>
      </c>
      <c r="C3882" s="3" t="s">
        <v>3749</v>
      </c>
      <c r="D3882" s="3"/>
      <c r="E3882" s="2" t="str">
        <f>HYPERLINK("https://old.ukr-mobil.com/zadnyaya_kryshka_motorola_one_action_xt2013_one_vision_xt1970_green_10002516", "Перейти")</f>
        <v>Перейти</v>
      </c>
      <c r="F3882" s="2">
        <v>10002516</v>
      </c>
      <c r="G3882" s="4" t="s">
        <v>4027</v>
      </c>
      <c r="H3882" s="1">
        <v>10</v>
      </c>
      <c r="I3882" s="1">
        <v>7</v>
      </c>
      <c r="J3882" s="1">
        <v>4</v>
      </c>
      <c r="K3882" s="2">
        <v>6.0</v>
      </c>
    </row>
    <row r="3883" spans="1:12">
      <c r="A3883" s="3" t="s">
        <v>2194</v>
      </c>
      <c r="B3883" s="3" t="s">
        <v>3663</v>
      </c>
      <c r="C3883" s="3" t="s">
        <v>3749</v>
      </c>
      <c r="D3883" s="3"/>
      <c r="E3883" s="2" t="str">
        <f>HYPERLINK("https://old.ukr-mobil.com/zadnyaya_kryshka_motorola_xt1620_moto_g4_xt1621_moto_g4_xt1622_moto_g4_xt1624_moto_g4_xt1625_moto_g4_xt1626_moto_g4_black_12136", "Перейти")</f>
        <v>Перейти</v>
      </c>
      <c r="F3883" s="2">
        <v>12136</v>
      </c>
      <c r="G3883" s="4" t="s">
        <v>4028</v>
      </c>
      <c r="H3883" s="1">
        <v>0</v>
      </c>
      <c r="I3883" s="1">
        <v>1</v>
      </c>
      <c r="J3883" s="1">
        <v>0</v>
      </c>
      <c r="K3883" s="2">
        <v>5.04</v>
      </c>
    </row>
    <row r="3884" spans="1:12">
      <c r="A3884" s="3" t="s">
        <v>2194</v>
      </c>
      <c r="B3884" s="3" t="s">
        <v>3663</v>
      </c>
      <c r="C3884" s="3" t="s">
        <v>3749</v>
      </c>
      <c r="D3884" s="3"/>
      <c r="E3884" s="2" t="str">
        <f>HYPERLINK("https://old.ukr-mobil.com/zadnyaya_kryshka_motorola_xt1620_moto_g4_xt1621_moto_g4_xt1622_moto_g4_xt1624_moto_g4_xt1625_moto_g4_xt1626_moto_g4_gold_12137", "Перейти")</f>
        <v>Перейти</v>
      </c>
      <c r="F3884" s="2">
        <v>12137</v>
      </c>
      <c r="G3884" s="4" t="s">
        <v>4029</v>
      </c>
      <c r="H3884" s="1">
        <v>2</v>
      </c>
      <c r="I3884" s="1">
        <v>0</v>
      </c>
      <c r="J3884" s="1">
        <v>1</v>
      </c>
      <c r="K3884" s="2">
        <v>5.04</v>
      </c>
    </row>
    <row r="3885" spans="1:12">
      <c r="A3885" s="3" t="s">
        <v>2194</v>
      </c>
      <c r="B3885" s="3" t="s">
        <v>3663</v>
      </c>
      <c r="C3885" s="3" t="s">
        <v>3749</v>
      </c>
      <c r="D3885" s="3"/>
      <c r="E3885" s="2" t="str">
        <f>HYPERLINK("https://old.ukr-mobil.com/zadnyaya_kryshka_motorola_xt1635-02_moto_z_play_black_12139", "Перейти")</f>
        <v>Перейти</v>
      </c>
      <c r="F3885" s="2">
        <v>12139</v>
      </c>
      <c r="G3885" s="4" t="s">
        <v>4030</v>
      </c>
      <c r="H3885" s="1">
        <v>0</v>
      </c>
      <c r="I3885" s="1">
        <v>0</v>
      </c>
      <c r="J3885" s="1">
        <v>0</v>
      </c>
      <c r="K3885" s="2">
        <v>7.06</v>
      </c>
    </row>
    <row r="3886" spans="1:12">
      <c r="A3886" s="3" t="s">
        <v>2194</v>
      </c>
      <c r="B3886" s="3" t="s">
        <v>3663</v>
      </c>
      <c r="C3886" s="3" t="s">
        <v>3749</v>
      </c>
      <c r="D3886" s="3"/>
      <c r="E3886" s="2" t="str">
        <f>HYPERLINK("https://old.ukr-mobil.com/zadnyaya_kryshka_motorola_xt1635-02_moto_z_play_white_12140", "Перейти")</f>
        <v>Перейти</v>
      </c>
      <c r="F3886" s="2">
        <v>12140</v>
      </c>
      <c r="G3886" s="4" t="s">
        <v>4031</v>
      </c>
      <c r="H3886" s="1">
        <v>0</v>
      </c>
      <c r="I3886" s="1">
        <v>0</v>
      </c>
      <c r="J3886" s="1">
        <v>0</v>
      </c>
      <c r="K3886" s="2">
        <v>7.06</v>
      </c>
    </row>
    <row r="3887" spans="1:12">
      <c r="A3887" s="3" t="s">
        <v>2194</v>
      </c>
      <c r="B3887" s="3" t="s">
        <v>3663</v>
      </c>
      <c r="C3887" s="3" t="s">
        <v>3749</v>
      </c>
      <c r="D3887" s="3"/>
      <c r="E3887" s="2" t="str">
        <f>HYPERLINK("https://old.ukr-mobil.com/zadnyaya_kryshka_motorola_xt1641_moto_g4_plus_xt1642_moto_g4_plus_xt1644_moto_g4_plus_black_12138", "Перейти")</f>
        <v>Перейти</v>
      </c>
      <c r="F3887" s="2">
        <v>12138</v>
      </c>
      <c r="G3887" s="4" t="s">
        <v>4032</v>
      </c>
      <c r="H3887" s="1">
        <v>0</v>
      </c>
      <c r="I3887" s="1">
        <v>0</v>
      </c>
      <c r="J3887" s="1">
        <v>1</v>
      </c>
      <c r="K3887" s="2">
        <v>5.54</v>
      </c>
    </row>
    <row r="3888" spans="1:12">
      <c r="A3888" s="3" t="s">
        <v>2194</v>
      </c>
      <c r="B3888" s="3" t="s">
        <v>3663</v>
      </c>
      <c r="C3888" s="3" t="s">
        <v>3749</v>
      </c>
      <c r="D3888" s="3"/>
      <c r="E3888" s="2" t="str">
        <f>HYPERLINK("https://old.ukr-mobil.com/zadnyaya_kryshka_motorola_xt1676_moto_g5_gold_12142", "Перейти")</f>
        <v>Перейти</v>
      </c>
      <c r="F3888" s="2">
        <v>12142</v>
      </c>
      <c r="G3888" s="4" t="s">
        <v>4033</v>
      </c>
      <c r="H3888" s="1">
        <v>0</v>
      </c>
      <c r="I3888" s="1">
        <v>0</v>
      </c>
      <c r="J3888" s="1">
        <v>0</v>
      </c>
      <c r="K3888" s="2">
        <v>8.06</v>
      </c>
    </row>
    <row r="3889" spans="1:12">
      <c r="A3889" s="3" t="s">
        <v>2194</v>
      </c>
      <c r="B3889" s="3" t="s">
        <v>3663</v>
      </c>
      <c r="C3889" s="3" t="s">
        <v>3749</v>
      </c>
      <c r="D3889" s="3"/>
      <c r="E3889" s="2" t="str">
        <f>HYPERLINK("https://old.ukr-mobil.com/zadnyaya_kryshka_motorola_xt1676_moto_g5_gray_12141", "Перейти")</f>
        <v>Перейти</v>
      </c>
      <c r="F3889" s="2">
        <v>12141</v>
      </c>
      <c r="G3889" s="4" t="s">
        <v>4034</v>
      </c>
      <c r="H3889" s="1">
        <v>0</v>
      </c>
      <c r="I3889" s="1">
        <v>0</v>
      </c>
      <c r="J3889" s="1">
        <v>0</v>
      </c>
      <c r="K3889" s="2">
        <v>7.06</v>
      </c>
    </row>
    <row r="3890" spans="1:12">
      <c r="A3890" s="3" t="s">
        <v>2194</v>
      </c>
      <c r="B3890" s="3" t="s">
        <v>3663</v>
      </c>
      <c r="C3890" s="3" t="s">
        <v>3749</v>
      </c>
      <c r="D3890" s="3"/>
      <c r="E3890" s="2" t="str">
        <f>HYPERLINK("https://old.ukr-mobil.com/zadnyaya_kryshka_motorola_xt1685_moto_g5_plus_gold_12144", "Перейти")</f>
        <v>Перейти</v>
      </c>
      <c r="F3890" s="2">
        <v>12144</v>
      </c>
      <c r="G3890" s="4" t="s">
        <v>4035</v>
      </c>
      <c r="H3890" s="1">
        <v>0</v>
      </c>
      <c r="I3890" s="1">
        <v>0</v>
      </c>
      <c r="J3890" s="1">
        <v>0</v>
      </c>
      <c r="K3890" s="2">
        <v>7.56</v>
      </c>
    </row>
    <row r="3891" spans="1:12">
      <c r="A3891" s="3" t="s">
        <v>2194</v>
      </c>
      <c r="B3891" s="3" t="s">
        <v>3663</v>
      </c>
      <c r="C3891" s="3" t="s">
        <v>3749</v>
      </c>
      <c r="D3891" s="3"/>
      <c r="E3891" s="2" t="str">
        <f>HYPERLINK("https://old.ukr-mobil.com/zadnyaya_kryshka_motorola_xt1685_moto_g5_plus_gray_12143", "Перейти")</f>
        <v>Перейти</v>
      </c>
      <c r="F3891" s="2">
        <v>12143</v>
      </c>
      <c r="G3891" s="4" t="s">
        <v>4036</v>
      </c>
      <c r="H3891" s="1">
        <v>0</v>
      </c>
      <c r="I3891" s="1">
        <v>0</v>
      </c>
      <c r="J3891" s="1">
        <v>0</v>
      </c>
      <c r="K3891" s="2">
        <v>7.56</v>
      </c>
    </row>
    <row r="3892" spans="1:12">
      <c r="A3892" s="3" t="s">
        <v>2194</v>
      </c>
      <c r="B3892" s="3" t="s">
        <v>3663</v>
      </c>
      <c r="C3892" s="3" t="s">
        <v>3749</v>
      </c>
      <c r="D3892" s="3"/>
      <c r="E3892" s="2" t="str">
        <f>HYPERLINK("https://old.ukr-mobil.com/zadnyaya_kryshka_motorola_xt1723_moto_c_plus_black_12145", "Перейти")</f>
        <v>Перейти</v>
      </c>
      <c r="F3892" s="2">
        <v>12145</v>
      </c>
      <c r="G3892" s="4" t="s">
        <v>4037</v>
      </c>
      <c r="H3892" s="1">
        <v>0</v>
      </c>
      <c r="I3892" s="1">
        <v>0</v>
      </c>
      <c r="J3892" s="1">
        <v>0</v>
      </c>
      <c r="K3892" s="2">
        <v>5.54</v>
      </c>
    </row>
    <row r="3893" spans="1:12">
      <c r="A3893" s="3" t="s">
        <v>2194</v>
      </c>
      <c r="B3893" s="3" t="s">
        <v>3663</v>
      </c>
      <c r="C3893" s="3" t="s">
        <v>3749</v>
      </c>
      <c r="D3893" s="3"/>
      <c r="E3893" s="2" t="str">
        <f>HYPERLINK("https://old.ukr-mobil.com/zadnyaya_kryshka_motorola_xt1723_moto_c_plus_white_12146", "Перейти")</f>
        <v>Перейти</v>
      </c>
      <c r="F3893" s="2">
        <v>12146</v>
      </c>
      <c r="G3893" s="4" t="s">
        <v>4038</v>
      </c>
      <c r="H3893" s="1">
        <v>0</v>
      </c>
      <c r="I3893" s="1">
        <v>0</v>
      </c>
      <c r="J3893" s="1">
        <v>0</v>
      </c>
      <c r="K3893" s="2">
        <v>5.54</v>
      </c>
    </row>
    <row r="3894" spans="1:12">
      <c r="A3894" s="3" t="s">
        <v>2194</v>
      </c>
      <c r="B3894" s="3" t="s">
        <v>3663</v>
      </c>
      <c r="C3894" s="3" t="s">
        <v>3749</v>
      </c>
      <c r="D3894" s="3"/>
      <c r="E3894" s="2" t="str">
        <f>HYPERLINK("https://old.ukr-mobil.com/zadnyaya_kryshka_motorola_xt1750_moto_c_black_12147", "Перейти")</f>
        <v>Перейти</v>
      </c>
      <c r="F3894" s="2">
        <v>12147</v>
      </c>
      <c r="G3894" s="4" t="s">
        <v>4039</v>
      </c>
      <c r="H3894" s="1">
        <v>0</v>
      </c>
      <c r="I3894" s="1">
        <v>0</v>
      </c>
      <c r="J3894" s="1">
        <v>0</v>
      </c>
      <c r="K3894" s="2">
        <v>5.04</v>
      </c>
    </row>
    <row r="3895" spans="1:12">
      <c r="A3895" s="3" t="s">
        <v>2194</v>
      </c>
      <c r="B3895" s="3" t="s">
        <v>3663</v>
      </c>
      <c r="C3895" s="3" t="s">
        <v>3749</v>
      </c>
      <c r="D3895" s="3"/>
      <c r="E3895" s="2" t="str">
        <f>HYPERLINK("https://old.ukr-mobil.com/zadnyaya_kryshka_motorola_xt1750_moto_c_white_12148", "Перейти")</f>
        <v>Перейти</v>
      </c>
      <c r="F3895" s="2">
        <v>12148</v>
      </c>
      <c r="G3895" s="4" t="s">
        <v>4040</v>
      </c>
      <c r="H3895" s="1">
        <v>0</v>
      </c>
      <c r="I3895" s="1">
        <v>0</v>
      </c>
      <c r="J3895" s="1">
        <v>0</v>
      </c>
      <c r="K3895" s="2">
        <v>5.04</v>
      </c>
    </row>
    <row r="3896" spans="1:12">
      <c r="A3896" s="3" t="s">
        <v>2194</v>
      </c>
      <c r="B3896" s="3" t="s">
        <v>3663</v>
      </c>
      <c r="C3896" s="3" t="s">
        <v>3749</v>
      </c>
      <c r="D3896" s="3"/>
      <c r="E3896" s="2" t="str">
        <f>HYPERLINK("https://old.ukr-mobil.com/zadnyaya_kryshka_motorola_xt1794_moto_g5s_black_12149", "Перейти")</f>
        <v>Перейти</v>
      </c>
      <c r="F3896" s="2">
        <v>12149</v>
      </c>
      <c r="G3896" s="4" t="s">
        <v>4041</v>
      </c>
      <c r="H3896" s="1">
        <v>0</v>
      </c>
      <c r="I3896" s="1">
        <v>0</v>
      </c>
      <c r="J3896" s="1">
        <v>0</v>
      </c>
      <c r="K3896" s="2">
        <v>8.06</v>
      </c>
    </row>
    <row r="3897" spans="1:12">
      <c r="A3897" s="3" t="s">
        <v>2194</v>
      </c>
      <c r="B3897" s="3" t="s">
        <v>3663</v>
      </c>
      <c r="C3897" s="3" t="s">
        <v>3749</v>
      </c>
      <c r="D3897" s="3"/>
      <c r="E3897" s="2" t="str">
        <f>HYPERLINK("https://old.ukr-mobil.com/zadnyaya_kryshka_motorola_xt1794_moto_g5s_gold_12150", "Перейти")</f>
        <v>Перейти</v>
      </c>
      <c r="F3897" s="2">
        <v>12150</v>
      </c>
      <c r="G3897" s="4" t="s">
        <v>4042</v>
      </c>
      <c r="H3897" s="1">
        <v>0</v>
      </c>
      <c r="I3897" s="1">
        <v>0</v>
      </c>
      <c r="J3897" s="1">
        <v>0</v>
      </c>
      <c r="K3897" s="2">
        <v>8.06</v>
      </c>
    </row>
    <row r="3898" spans="1:12">
      <c r="A3898" s="3" t="s">
        <v>2194</v>
      </c>
      <c r="B3898" s="3" t="s">
        <v>3663</v>
      </c>
      <c r="C3898" s="3" t="s">
        <v>3749</v>
      </c>
      <c r="D3898" s="3"/>
      <c r="E3898" s="2" t="str">
        <f>HYPERLINK("https://old.ukr-mobil.com/zadnyaya_kryshka_motorola_xt1922_moto_g6_play_blue_12152", "Перейти")</f>
        <v>Перейти</v>
      </c>
      <c r="F3898" s="2">
        <v>12152</v>
      </c>
      <c r="G3898" s="4" t="s">
        <v>4043</v>
      </c>
      <c r="H3898" s="1">
        <v>0</v>
      </c>
      <c r="I3898" s="1">
        <v>0</v>
      </c>
      <c r="J3898" s="1">
        <v>0</v>
      </c>
      <c r="K3898" s="2">
        <v>5.04</v>
      </c>
    </row>
    <row r="3899" spans="1:12">
      <c r="A3899" s="3" t="s">
        <v>2194</v>
      </c>
      <c r="B3899" s="3" t="s">
        <v>3663</v>
      </c>
      <c r="C3899" s="3" t="s">
        <v>3749</v>
      </c>
      <c r="D3899" s="3"/>
      <c r="E3899" s="2" t="str">
        <f>HYPERLINK("https://old.ukr-mobil.com/zadnyaya_kryshka_motorola_xt1925_moto_g6_blue_12151", "Перейти")</f>
        <v>Перейти</v>
      </c>
      <c r="F3899" s="2">
        <v>12151</v>
      </c>
      <c r="G3899" s="4" t="s">
        <v>4044</v>
      </c>
      <c r="H3899" s="1">
        <v>0</v>
      </c>
      <c r="I3899" s="1">
        <v>0</v>
      </c>
      <c r="J3899" s="1">
        <v>0</v>
      </c>
      <c r="K3899" s="2">
        <v>9.07</v>
      </c>
    </row>
    <row r="3900" spans="1:12">
      <c r="A3900" s="3" t="s">
        <v>2194</v>
      </c>
      <c r="B3900" s="3" t="s">
        <v>3663</v>
      </c>
      <c r="C3900" s="3" t="s">
        <v>3749</v>
      </c>
      <c r="D3900" s="3"/>
      <c r="E3900" s="2" t="str">
        <f>HYPERLINK("https://old.ukr-mobil.com/zadnyaya_kryshka_motorola_xt1926_moto_g6_plus_blue_12153", "Перейти")</f>
        <v>Перейти</v>
      </c>
      <c r="F3900" s="2">
        <v>12153</v>
      </c>
      <c r="G3900" s="4" t="s">
        <v>4045</v>
      </c>
      <c r="H3900" s="1">
        <v>0</v>
      </c>
      <c r="I3900" s="1">
        <v>0</v>
      </c>
      <c r="J3900" s="1">
        <v>0</v>
      </c>
      <c r="K3900" s="2">
        <v>7.06</v>
      </c>
    </row>
    <row r="3901" spans="1:12">
      <c r="A3901" s="3" t="s">
        <v>2194</v>
      </c>
      <c r="B3901" s="3" t="s">
        <v>3663</v>
      </c>
      <c r="C3901" s="3" t="s">
        <v>3749</v>
      </c>
      <c r="D3901" s="3"/>
      <c r="E3901" s="2" t="str">
        <f>HYPERLINK("https://old.ukr-mobil.com/zadnyaya_kryshka_motorola_xt1926_moto_g6_plus_gold_12154", "Перейти")</f>
        <v>Перейти</v>
      </c>
      <c r="F3901" s="2">
        <v>12154</v>
      </c>
      <c r="G3901" s="4" t="s">
        <v>4046</v>
      </c>
      <c r="H3901" s="1">
        <v>0</v>
      </c>
      <c r="I3901" s="1">
        <v>0</v>
      </c>
      <c r="J3901" s="1">
        <v>0</v>
      </c>
      <c r="K3901" s="2">
        <v>7.06</v>
      </c>
    </row>
    <row r="3902" spans="1:12">
      <c r="A3902" s="3" t="s">
        <v>2194</v>
      </c>
      <c r="B3902" s="3" t="s">
        <v>3663</v>
      </c>
      <c r="C3902" s="3" t="s">
        <v>3749</v>
      </c>
      <c r="D3902" s="3"/>
      <c r="E3902" s="2" t="str">
        <f>HYPERLINK("https://old.ukr-mobil.com/zadnyaya_kryshka_motorola_xt1944_moto_e5_gold_12156", "Перейти")</f>
        <v>Перейти</v>
      </c>
      <c r="F3902" s="2">
        <v>12156</v>
      </c>
      <c r="G3902" s="4" t="s">
        <v>4047</v>
      </c>
      <c r="H3902" s="1">
        <v>1</v>
      </c>
      <c r="I3902" s="1">
        <v>0</v>
      </c>
      <c r="J3902" s="1">
        <v>1</v>
      </c>
      <c r="K3902" s="2">
        <v>5.04</v>
      </c>
    </row>
    <row r="3903" spans="1:12">
      <c r="A3903" s="3" t="s">
        <v>2194</v>
      </c>
      <c r="B3903" s="3" t="s">
        <v>3663</v>
      </c>
      <c r="C3903" s="3" t="s">
        <v>3749</v>
      </c>
      <c r="D3903" s="3"/>
      <c r="E3903" s="2" t="str">
        <f>HYPERLINK("https://old.ukr-mobil.com/zadnyaya_kryshka_motorola_xt1944_moto_e5_gray_12155", "Перейти")</f>
        <v>Перейти</v>
      </c>
      <c r="F3903" s="2">
        <v>12155</v>
      </c>
      <c r="G3903" s="4" t="s">
        <v>4048</v>
      </c>
      <c r="H3903" s="1">
        <v>0</v>
      </c>
      <c r="I3903" s="1">
        <v>0</v>
      </c>
      <c r="J3903" s="1">
        <v>0</v>
      </c>
      <c r="K3903" s="2">
        <v>5.04</v>
      </c>
    </row>
    <row r="3904" spans="1:12">
      <c r="A3904" s="3" t="s">
        <v>2194</v>
      </c>
      <c r="B3904" s="3" t="s">
        <v>3663</v>
      </c>
      <c r="C3904" s="3" t="s">
        <v>3749</v>
      </c>
      <c r="D3904" s="3"/>
      <c r="E3904" s="2" t="str">
        <f>HYPERLINK("https://old.ukr-mobil.com/zadnyaya_kryshka_nokia_2_3_ta-1211_ta-1214_ta-1206_ta-1209_so_steklom_kamery_original_prc_gray_10002655", "Перейти")</f>
        <v>Перейти</v>
      </c>
      <c r="F3904" s="2">
        <v>10002655</v>
      </c>
      <c r="G3904" s="4" t="s">
        <v>4049</v>
      </c>
      <c r="H3904" s="1">
        <v>1</v>
      </c>
      <c r="I3904" s="1">
        <v>3</v>
      </c>
      <c r="J3904" s="1">
        <v>3</v>
      </c>
      <c r="K3904" s="2">
        <v>6.5</v>
      </c>
    </row>
    <row r="3905" spans="1:12">
      <c r="A3905" s="3" t="s">
        <v>2194</v>
      </c>
      <c r="B3905" s="3" t="s">
        <v>3663</v>
      </c>
      <c r="C3905" s="3" t="s">
        <v>3749</v>
      </c>
      <c r="D3905" s="3"/>
      <c r="E3905" s="2" t="str">
        <f>HYPERLINK("https://old.ukr-mobil.com/zadnyaya_kryshka_nokia_2_4_ta-1277_ta-1275_ta-1274_ta-1270_so_steklom_kamery_original_prc_grey_10002656", "Перейти")</f>
        <v>Перейти</v>
      </c>
      <c r="F3905" s="2">
        <v>10002656</v>
      </c>
      <c r="G3905" s="4" t="s">
        <v>4050</v>
      </c>
      <c r="H3905" s="1">
        <v>11</v>
      </c>
      <c r="I3905" s="1">
        <v>3</v>
      </c>
      <c r="J3905" s="1">
        <v>3</v>
      </c>
      <c r="K3905" s="2">
        <v>9.5</v>
      </c>
    </row>
    <row r="3906" spans="1:12">
      <c r="A3906" s="3" t="s">
        <v>2194</v>
      </c>
      <c r="B3906" s="3" t="s">
        <v>3663</v>
      </c>
      <c r="C3906" s="3" t="s">
        <v>3749</v>
      </c>
      <c r="D3906" s="3"/>
      <c r="E3906" s="2" t="str">
        <f>HYPERLINK("https://old.ukr-mobil.com/zadnyaya_kryshka_nokia_3_1_plus_s_steklom_kamery_original_prc_black_10000682", "Перейти")</f>
        <v>Перейти</v>
      </c>
      <c r="F3906" s="2">
        <v>10000682</v>
      </c>
      <c r="G3906" s="4" t="s">
        <v>4051</v>
      </c>
      <c r="H3906" s="1">
        <v>0</v>
      </c>
      <c r="I3906" s="1">
        <v>0</v>
      </c>
      <c r="J3906" s="1">
        <v>0</v>
      </c>
      <c r="K3906" s="2">
        <v>12.0</v>
      </c>
    </row>
    <row r="3907" spans="1:12">
      <c r="A3907" s="3" t="s">
        <v>2194</v>
      </c>
      <c r="B3907" s="3" t="s">
        <v>3663</v>
      </c>
      <c r="C3907" s="3" t="s">
        <v>3749</v>
      </c>
      <c r="D3907" s="3"/>
      <c r="E3907" s="2" t="str">
        <f>HYPERLINK("https://old.ukr-mobil.com/zadnyaya_kryshka_nokia_3_4_ta-1283_original_prc_grey_10002657", "Перейти")</f>
        <v>Перейти</v>
      </c>
      <c r="F3907" s="2">
        <v>10002657</v>
      </c>
      <c r="G3907" s="4" t="s">
        <v>4052</v>
      </c>
      <c r="H3907" s="1">
        <v>9</v>
      </c>
      <c r="I3907" s="1">
        <v>3</v>
      </c>
      <c r="J3907" s="1">
        <v>3</v>
      </c>
      <c r="K3907" s="2">
        <v>6.5</v>
      </c>
    </row>
    <row r="3908" spans="1:12">
      <c r="A3908" s="3" t="s">
        <v>2194</v>
      </c>
      <c r="B3908" s="3" t="s">
        <v>3663</v>
      </c>
      <c r="C3908" s="3" t="s">
        <v>3749</v>
      </c>
      <c r="D3908" s="3"/>
      <c r="E3908" s="2" t="str">
        <f>HYPERLINK("https://old.ukr-mobil.com/zadnyaya_kryshka_nokia_5_1_plus_ta-1105_black_12340", "Перейти")</f>
        <v>Перейти</v>
      </c>
      <c r="F3908" s="2">
        <v>12340</v>
      </c>
      <c r="G3908" s="4" t="s">
        <v>4053</v>
      </c>
      <c r="H3908" s="1">
        <v>0</v>
      </c>
      <c r="I3908" s="1">
        <v>0</v>
      </c>
      <c r="J3908" s="1">
        <v>0</v>
      </c>
      <c r="K3908" s="2">
        <v>4.03</v>
      </c>
    </row>
    <row r="3909" spans="1:12">
      <c r="A3909" s="3" t="s">
        <v>2194</v>
      </c>
      <c r="B3909" s="3" t="s">
        <v>3663</v>
      </c>
      <c r="C3909" s="3" t="s">
        <v>3749</v>
      </c>
      <c r="D3909" s="3"/>
      <c r="E3909" s="2" t="str">
        <f>HYPERLINK("https://old.ukr-mobil.com/zadnyaya_kryshka_nokia_5_3_ta-1234_ta-1223_ta-1227_original_prc_blue_10002659", "Перейти")</f>
        <v>Перейти</v>
      </c>
      <c r="F3909" s="2">
        <v>10002659</v>
      </c>
      <c r="G3909" s="4" t="s">
        <v>4054</v>
      </c>
      <c r="H3909" s="1">
        <v>13</v>
      </c>
      <c r="I3909" s="1">
        <v>2</v>
      </c>
      <c r="J3909" s="1">
        <v>3</v>
      </c>
      <c r="K3909" s="2">
        <v>7.75</v>
      </c>
    </row>
    <row r="3910" spans="1:12">
      <c r="A3910" s="3" t="s">
        <v>2194</v>
      </c>
      <c r="B3910" s="3" t="s">
        <v>3663</v>
      </c>
      <c r="C3910" s="3" t="s">
        <v>3749</v>
      </c>
      <c r="D3910" s="3"/>
      <c r="E3910" s="2" t="str">
        <f>HYPERLINK("https://old.ukr-mobil.com/zadnyaya_kryshka_nokia_5_3_ta-1234_ta-1223_ta-1227_original_prc_graphite_10002658", "Перейти")</f>
        <v>Перейти</v>
      </c>
      <c r="F3910" s="2">
        <v>10002658</v>
      </c>
      <c r="G3910" s="4" t="s">
        <v>4055</v>
      </c>
      <c r="H3910" s="1">
        <v>11</v>
      </c>
      <c r="I3910" s="1">
        <v>3</v>
      </c>
      <c r="J3910" s="1">
        <v>3</v>
      </c>
      <c r="K3910" s="2">
        <v>7.75</v>
      </c>
    </row>
    <row r="3911" spans="1:12">
      <c r="A3911" s="3" t="s">
        <v>2194</v>
      </c>
      <c r="B3911" s="3" t="s">
        <v>3663</v>
      </c>
      <c r="C3911" s="3" t="s">
        <v>3749</v>
      </c>
      <c r="D3911" s="3"/>
      <c r="E3911" s="2" t="str">
        <f>HYPERLINK("https://old.ukr-mobil.com/zadnyaya_kryshka_nokia_6_1_plus_original_prc_black_12341", "Перейти")</f>
        <v>Перейти</v>
      </c>
      <c r="F3911" s="2">
        <v>12341</v>
      </c>
      <c r="G3911" s="4" t="s">
        <v>4056</v>
      </c>
      <c r="H3911" s="1">
        <v>0</v>
      </c>
      <c r="I3911" s="1">
        <v>0</v>
      </c>
      <c r="J3911" s="1">
        <v>0</v>
      </c>
      <c r="K3911" s="2">
        <v>4.0</v>
      </c>
    </row>
    <row r="3912" spans="1:12">
      <c r="A3912" s="3" t="s">
        <v>2194</v>
      </c>
      <c r="B3912" s="3" t="s">
        <v>3663</v>
      </c>
      <c r="C3912" s="3" t="s">
        <v>3749</v>
      </c>
      <c r="D3912" s="3"/>
      <c r="E3912" s="2" t="str">
        <f>HYPERLINK("https://old.ukr-mobil.com/zadnyaya_kryshka_nokia_g10_ta-1334_ta-1351_original_prc_blue_10002660", "Перейти")</f>
        <v>Перейти</v>
      </c>
      <c r="F3912" s="2">
        <v>10002660</v>
      </c>
      <c r="G3912" s="4" t="s">
        <v>4057</v>
      </c>
      <c r="H3912" s="1">
        <v>6</v>
      </c>
      <c r="I3912" s="1">
        <v>2</v>
      </c>
      <c r="J3912" s="1">
        <v>3</v>
      </c>
      <c r="K3912" s="2">
        <v>10.5</v>
      </c>
    </row>
    <row r="3913" spans="1:12">
      <c r="A3913" s="3" t="s">
        <v>2194</v>
      </c>
      <c r="B3913" s="3" t="s">
        <v>3663</v>
      </c>
      <c r="C3913" s="3" t="s">
        <v>3749</v>
      </c>
      <c r="D3913" s="3"/>
      <c r="E3913" s="2" t="str">
        <f>HYPERLINK("https://old.ukr-mobil.com/zadnyaya_kryshka_oneplus_8_pro_in2023_in2020_in2021_in2025_so_steklom_kamery_original_black_10003338", "Перейти")</f>
        <v>Перейти</v>
      </c>
      <c r="F3913" s="2">
        <v>10003338</v>
      </c>
      <c r="G3913" s="4" t="s">
        <v>4058</v>
      </c>
      <c r="H3913" s="1">
        <v>0</v>
      </c>
      <c r="I3913" s="1">
        <v>0</v>
      </c>
      <c r="J3913" s="1">
        <v>0</v>
      </c>
      <c r="K3913" s="2">
        <v>11.5</v>
      </c>
    </row>
    <row r="3914" spans="1:12">
      <c r="A3914" s="3" t="s">
        <v>2194</v>
      </c>
      <c r="B3914" s="3" t="s">
        <v>3663</v>
      </c>
      <c r="C3914" s="3" t="s">
        <v>3749</v>
      </c>
      <c r="D3914" s="3"/>
      <c r="E3914" s="2" t="str">
        <f>HYPERLINK("https://old.ukr-mobil.com/index.php?route=product&amp;product_id=10005411", "Перейти")</f>
        <v>Перейти</v>
      </c>
      <c r="F3914" s="2">
        <v>10005411</v>
      </c>
      <c r="G3914" s="4" t="s">
        <v>4059</v>
      </c>
      <c r="H3914" s="1">
        <v>4</v>
      </c>
      <c r="I3914" s="1">
        <v>2</v>
      </c>
      <c r="J3914" s="1">
        <v>2</v>
      </c>
      <c r="K3914" s="2">
        <v>7.0</v>
      </c>
    </row>
    <row r="3915" spans="1:12">
      <c r="A3915" s="3" t="s">
        <v>2194</v>
      </c>
      <c r="B3915" s="3" t="s">
        <v>3663</v>
      </c>
      <c r="C3915" s="3" t="s">
        <v>3749</v>
      </c>
      <c r="D3915" s="3"/>
      <c r="E3915" s="2" t="str">
        <f>HYPERLINK("https://old.ukr-mobil.com/index.php?route=product&amp;product_id=10005412", "Перейти")</f>
        <v>Перейти</v>
      </c>
      <c r="F3915" s="2">
        <v>10005412</v>
      </c>
      <c r="G3915" s="4" t="s">
        <v>4060</v>
      </c>
      <c r="H3915" s="1">
        <v>3</v>
      </c>
      <c r="I3915" s="1">
        <v>3</v>
      </c>
      <c r="J3915" s="1">
        <v>1</v>
      </c>
      <c r="K3915" s="2">
        <v>7.0</v>
      </c>
    </row>
    <row r="3916" spans="1:12">
      <c r="A3916" s="3" t="s">
        <v>2194</v>
      </c>
      <c r="B3916" s="3" t="s">
        <v>3663</v>
      </c>
      <c r="C3916" s="3" t="s">
        <v>3749</v>
      </c>
      <c r="D3916" s="3"/>
      <c r="E3916" s="2" t="str">
        <f>HYPERLINK("https://old.ukr-mobil.com/zadnyaya_kryshka_oppo_a53_original_prc_green_10001239", "Перейти")</f>
        <v>Перейти</v>
      </c>
      <c r="F3916" s="2">
        <v>10001239</v>
      </c>
      <c r="G3916" s="4" t="s">
        <v>4061</v>
      </c>
      <c r="H3916" s="1">
        <v>5</v>
      </c>
      <c r="I3916" s="1">
        <v>5</v>
      </c>
      <c r="J3916" s="1">
        <v>2</v>
      </c>
      <c r="K3916" s="2">
        <v>7.0</v>
      </c>
    </row>
    <row r="3917" spans="1:12">
      <c r="A3917" s="3" t="s">
        <v>2194</v>
      </c>
      <c r="B3917" s="3" t="s">
        <v>3663</v>
      </c>
      <c r="C3917" s="3" t="s">
        <v>3749</v>
      </c>
      <c r="D3917" s="3"/>
      <c r="E3917" s="2" t="str">
        <f>HYPERLINK("https://old.ukr-mobil.com/index.php?route=product&amp;product_id=10005416", "Перейти")</f>
        <v>Перейти</v>
      </c>
      <c r="F3917" s="2">
        <v>10005416</v>
      </c>
      <c r="G3917" s="4" t="s">
        <v>4062</v>
      </c>
      <c r="H3917" s="1">
        <v>3</v>
      </c>
      <c r="I3917" s="1">
        <v>3</v>
      </c>
      <c r="J3917" s="1">
        <v>2</v>
      </c>
      <c r="K3917" s="2">
        <v>6.0</v>
      </c>
    </row>
    <row r="3918" spans="1:12">
      <c r="A3918" s="3" t="s">
        <v>2194</v>
      </c>
      <c r="B3918" s="3" t="s">
        <v>3663</v>
      </c>
      <c r="C3918" s="3" t="s">
        <v>3749</v>
      </c>
      <c r="D3918" s="3"/>
      <c r="E3918" s="2" t="str">
        <f>HYPERLINK("https://old.ukr-mobil.com/index.php?route=product&amp;product_id=10005417", "Перейти")</f>
        <v>Перейти</v>
      </c>
      <c r="F3918" s="2">
        <v>10005417</v>
      </c>
      <c r="G3918" s="4" t="s">
        <v>4063</v>
      </c>
      <c r="H3918" s="1">
        <v>4</v>
      </c>
      <c r="I3918" s="1">
        <v>3</v>
      </c>
      <c r="J3918" s="1">
        <v>2</v>
      </c>
      <c r="K3918" s="2">
        <v>6.0</v>
      </c>
    </row>
    <row r="3919" spans="1:12">
      <c r="A3919" s="3" t="s">
        <v>2194</v>
      </c>
      <c r="B3919" s="3" t="s">
        <v>3663</v>
      </c>
      <c r="C3919" s="3" t="s">
        <v>3749</v>
      </c>
      <c r="D3919" s="3"/>
      <c r="E3919" s="2" t="str">
        <f>HYPERLINK("https://old.ukr-mobil.com/index.php?route=product&amp;product_id=10005421", "Перейти")</f>
        <v>Перейти</v>
      </c>
      <c r="F3919" s="2">
        <v>10005421</v>
      </c>
      <c r="G3919" s="4" t="s">
        <v>4064</v>
      </c>
      <c r="H3919" s="1">
        <v>0</v>
      </c>
      <c r="I3919" s="1">
        <v>0</v>
      </c>
      <c r="J3919" s="1">
        <v>0</v>
      </c>
      <c r="K3919" s="2">
        <v>0.0</v>
      </c>
    </row>
    <row r="3920" spans="1:12">
      <c r="A3920" s="3" t="s">
        <v>2194</v>
      </c>
      <c r="B3920" s="3" t="s">
        <v>3663</v>
      </c>
      <c r="C3920" s="3" t="s">
        <v>3749</v>
      </c>
      <c r="D3920" s="3"/>
      <c r="E3920" s="2" t="str">
        <f>HYPERLINK("https://old.ukr-mobil.com/index.php?route=product&amp;product_id=10005418", "Перейти")</f>
        <v>Перейти</v>
      </c>
      <c r="F3920" s="2">
        <v>10005418</v>
      </c>
      <c r="G3920" s="4" t="s">
        <v>4065</v>
      </c>
      <c r="H3920" s="1">
        <v>4</v>
      </c>
      <c r="I3920" s="1">
        <v>2</v>
      </c>
      <c r="J3920" s="1">
        <v>3</v>
      </c>
      <c r="K3920" s="2">
        <v>3.55</v>
      </c>
    </row>
    <row r="3921" spans="1:12">
      <c r="A3921" s="3" t="s">
        <v>2194</v>
      </c>
      <c r="B3921" s="3" t="s">
        <v>3663</v>
      </c>
      <c r="C3921" s="3" t="s">
        <v>3749</v>
      </c>
      <c r="D3921" s="3"/>
      <c r="E3921" s="2" t="str">
        <f>HYPERLINK("https://old.ukr-mobil.com/index.php?route=product&amp;product_id=10005419", "Перейти")</f>
        <v>Перейти</v>
      </c>
      <c r="F3921" s="2">
        <v>10005419</v>
      </c>
      <c r="G3921" s="4" t="s">
        <v>4066</v>
      </c>
      <c r="H3921" s="1">
        <v>9</v>
      </c>
      <c r="I3921" s="1">
        <v>2</v>
      </c>
      <c r="J3921" s="1">
        <v>3</v>
      </c>
      <c r="K3921" s="2">
        <v>3.55</v>
      </c>
    </row>
    <row r="3922" spans="1:12">
      <c r="A3922" s="3" t="s">
        <v>2194</v>
      </c>
      <c r="B3922" s="3" t="s">
        <v>3663</v>
      </c>
      <c r="C3922" s="3" t="s">
        <v>3749</v>
      </c>
      <c r="D3922" s="3"/>
      <c r="E3922" s="2" t="str">
        <f>HYPERLINK("https://old.ukr-mobil.com/index.php?route=product&amp;product_id=10005414", "Перейти")</f>
        <v>Перейти</v>
      </c>
      <c r="F3922" s="2">
        <v>10005414</v>
      </c>
      <c r="G3922" s="4" t="s">
        <v>4067</v>
      </c>
      <c r="H3922" s="1">
        <v>7</v>
      </c>
      <c r="I3922" s="1">
        <v>3</v>
      </c>
      <c r="J3922" s="1">
        <v>5</v>
      </c>
      <c r="K3922" s="2">
        <v>4.3</v>
      </c>
    </row>
    <row r="3923" spans="1:12">
      <c r="A3923" s="3" t="s">
        <v>2194</v>
      </c>
      <c r="B3923" s="3" t="s">
        <v>3663</v>
      </c>
      <c r="C3923" s="3" t="s">
        <v>3749</v>
      </c>
      <c r="D3923" s="3"/>
      <c r="E3923" s="2" t="str">
        <f>HYPERLINK("https://old.ukr-mobil.com/index.php?route=product&amp;product_id=10005415", "Перейти")</f>
        <v>Перейти</v>
      </c>
      <c r="F3923" s="2">
        <v>10005415</v>
      </c>
      <c r="G3923" s="4" t="s">
        <v>4068</v>
      </c>
      <c r="H3923" s="1">
        <v>0</v>
      </c>
      <c r="I3923" s="1">
        <v>0</v>
      </c>
      <c r="J3923" s="1">
        <v>2</v>
      </c>
      <c r="K3923" s="2">
        <v>4.3</v>
      </c>
    </row>
    <row r="3924" spans="1:12">
      <c r="A3924" s="3" t="s">
        <v>2194</v>
      </c>
      <c r="B3924" s="3" t="s">
        <v>3663</v>
      </c>
      <c r="C3924" s="3" t="s">
        <v>3749</v>
      </c>
      <c r="D3924" s="3"/>
      <c r="E3924" s="2" t="str">
        <f>HYPERLINK("https://old.ukr-mobil.com/index.php?route=product&amp;product_id=10005422", "Перейти")</f>
        <v>Перейти</v>
      </c>
      <c r="F3924" s="2">
        <v>10005422</v>
      </c>
      <c r="G3924" s="4" t="s">
        <v>4069</v>
      </c>
      <c r="H3924" s="1">
        <v>5</v>
      </c>
      <c r="I3924" s="1">
        <v>3</v>
      </c>
      <c r="J3924" s="1">
        <v>2</v>
      </c>
      <c r="K3924" s="2">
        <v>7.5</v>
      </c>
    </row>
    <row r="3925" spans="1:12">
      <c r="A3925" s="3" t="s">
        <v>2194</v>
      </c>
      <c r="B3925" s="3" t="s">
        <v>3663</v>
      </c>
      <c r="C3925" s="3" t="s">
        <v>3749</v>
      </c>
      <c r="D3925" s="3"/>
      <c r="E3925" s="2" t="str">
        <f>HYPERLINK("https://old.ukr-mobil.com/index.php?route=product&amp;product_id=10005420", "Перейти")</f>
        <v>Перейти</v>
      </c>
      <c r="F3925" s="2">
        <v>10005420</v>
      </c>
      <c r="G3925" s="4" t="s">
        <v>4070</v>
      </c>
      <c r="H3925" s="1">
        <v>5</v>
      </c>
      <c r="I3925" s="1">
        <v>3</v>
      </c>
      <c r="J3925" s="1">
        <v>2</v>
      </c>
      <c r="K3925" s="2">
        <v>7.6</v>
      </c>
    </row>
    <row r="3926" spans="1:12">
      <c r="A3926" s="3" t="s">
        <v>2194</v>
      </c>
      <c r="B3926" s="3" t="s">
        <v>3663</v>
      </c>
      <c r="C3926" s="3" t="s">
        <v>3749</v>
      </c>
      <c r="D3926" s="3"/>
      <c r="E3926" s="2" t="str">
        <f>HYPERLINK("https://old.ukr-mobil.com/zadnyaya_kryshka_oppo_realme_6_pro_original_prc_blue_10002199", "Перейти")</f>
        <v>Перейти</v>
      </c>
      <c r="F3926" s="2">
        <v>10002199</v>
      </c>
      <c r="G3926" s="4" t="s">
        <v>4071</v>
      </c>
      <c r="H3926" s="1">
        <v>0</v>
      </c>
      <c r="I3926" s="1">
        <v>0</v>
      </c>
      <c r="J3926" s="1">
        <v>0</v>
      </c>
      <c r="K3926" s="2">
        <v>9.0</v>
      </c>
    </row>
    <row r="3927" spans="1:12">
      <c r="A3927" s="3" t="s">
        <v>2194</v>
      </c>
      <c r="B3927" s="3" t="s">
        <v>3663</v>
      </c>
      <c r="C3927" s="3" t="s">
        <v>3749</v>
      </c>
      <c r="D3927" s="3"/>
      <c r="E3927" s="2" t="str">
        <f>HYPERLINK("https://old.ukr-mobil.com/zadnyaya_kryshka_oppo_realme_c11_original_prc_grey_10002202", "Перейти")</f>
        <v>Перейти</v>
      </c>
      <c r="F3927" s="2">
        <v>10002202</v>
      </c>
      <c r="G3927" s="4" t="s">
        <v>4072</v>
      </c>
      <c r="H3927" s="1">
        <v>3</v>
      </c>
      <c r="I3927" s="1">
        <v>0</v>
      </c>
      <c r="J3927" s="1">
        <v>3</v>
      </c>
      <c r="K3927" s="2">
        <v>5.0</v>
      </c>
    </row>
    <row r="3928" spans="1:12">
      <c r="A3928" s="3" t="s">
        <v>2194</v>
      </c>
      <c r="B3928" s="3" t="s">
        <v>3663</v>
      </c>
      <c r="C3928" s="3" t="s">
        <v>3749</v>
      </c>
      <c r="D3928" s="3"/>
      <c r="E3928" s="2" t="str">
        <f>HYPERLINK("https://old.ukr-mobil.com/zadnyaya_kryshka_oppo_realme_c3_original_prc_black_10001245", "Перейти")</f>
        <v>Перейти</v>
      </c>
      <c r="F3928" s="2">
        <v>10001245</v>
      </c>
      <c r="G3928" s="4" t="s">
        <v>4073</v>
      </c>
      <c r="H3928" s="1">
        <v>3</v>
      </c>
      <c r="I3928" s="1">
        <v>4</v>
      </c>
      <c r="J3928" s="1">
        <v>1</v>
      </c>
      <c r="K3928" s="2">
        <v>8.0</v>
      </c>
    </row>
    <row r="3929" spans="1:12">
      <c r="A3929" s="3" t="s">
        <v>2194</v>
      </c>
      <c r="B3929" s="3" t="s">
        <v>3663</v>
      </c>
      <c r="C3929" s="3" t="s">
        <v>3749</v>
      </c>
      <c r="D3929" s="3"/>
      <c r="E3929" s="2" t="str">
        <f>HYPERLINK("https://old.ukr-mobil.com/index.php?route=product&amp;product_id=10005423", "Перейти")</f>
        <v>Перейти</v>
      </c>
      <c r="F3929" s="2">
        <v>10005423</v>
      </c>
      <c r="G3929" s="4" t="s">
        <v>4074</v>
      </c>
      <c r="H3929" s="1">
        <v>5</v>
      </c>
      <c r="I3929" s="1">
        <v>2</v>
      </c>
      <c r="J3929" s="1">
        <v>2</v>
      </c>
      <c r="K3929" s="2">
        <v>9.5</v>
      </c>
    </row>
    <row r="3930" spans="1:12">
      <c r="A3930" s="3" t="s">
        <v>2194</v>
      </c>
      <c r="B3930" s="3" t="s">
        <v>3663</v>
      </c>
      <c r="C3930" s="3" t="s">
        <v>3749</v>
      </c>
      <c r="D3930" s="3"/>
      <c r="E3930" s="2" t="str">
        <f>HYPERLINK("https://old.ukr-mobil.com/index.php?route=product&amp;product_id=10005229", "Перейти")</f>
        <v>Перейти</v>
      </c>
      <c r="F3930" s="2">
        <v>10005229</v>
      </c>
      <c r="G3930" s="4" t="s">
        <v>4075</v>
      </c>
      <c r="H3930" s="1">
        <v>7</v>
      </c>
      <c r="I3930" s="1">
        <v>10</v>
      </c>
      <c r="J3930" s="1">
        <v>9</v>
      </c>
      <c r="K3930" s="2">
        <v>4.58</v>
      </c>
    </row>
    <row r="3931" spans="1:12">
      <c r="A3931" s="3" t="s">
        <v>2194</v>
      </c>
      <c r="B3931" s="3" t="s">
        <v>3663</v>
      </c>
      <c r="C3931" s="3" t="s">
        <v>3749</v>
      </c>
      <c r="D3931" s="3"/>
      <c r="E3931" s="2" t="str">
        <f>HYPERLINK("https://old.ukr-mobil.com/zadnyaya_kryshka_redmi_note_10_pro_original_prc_glacier_blue_10002103", "Перейти")</f>
        <v>Перейти</v>
      </c>
      <c r="F3931" s="2">
        <v>10002103</v>
      </c>
      <c r="G3931" s="4" t="s">
        <v>4076</v>
      </c>
      <c r="H3931" s="1">
        <v>0</v>
      </c>
      <c r="I3931" s="1">
        <v>0</v>
      </c>
      <c r="J3931" s="1">
        <v>0</v>
      </c>
      <c r="K3931" s="2">
        <v>6.0</v>
      </c>
    </row>
    <row r="3932" spans="1:12">
      <c r="A3932" s="3" t="s">
        <v>2194</v>
      </c>
      <c r="B3932" s="3" t="s">
        <v>3663</v>
      </c>
      <c r="C3932" s="3" t="s">
        <v>3749</v>
      </c>
      <c r="D3932" s="3"/>
      <c r="E3932" s="2" t="str">
        <f>HYPERLINK("https://old.ukr-mobil.com/zadnyaya_kryshka_redmi_note_10_pro_original_prc_gradient_bronze_10002104", "Перейти")</f>
        <v>Перейти</v>
      </c>
      <c r="F3932" s="2">
        <v>10002104</v>
      </c>
      <c r="G3932" s="4" t="s">
        <v>4077</v>
      </c>
      <c r="H3932" s="1">
        <v>0</v>
      </c>
      <c r="I3932" s="1">
        <v>1</v>
      </c>
      <c r="J3932" s="1">
        <v>0</v>
      </c>
      <c r="K3932" s="2">
        <v>5.0</v>
      </c>
    </row>
    <row r="3933" spans="1:12">
      <c r="A3933" s="3" t="s">
        <v>2194</v>
      </c>
      <c r="B3933" s="3" t="s">
        <v>3663</v>
      </c>
      <c r="C3933" s="3" t="s">
        <v>3749</v>
      </c>
      <c r="D3933" s="3"/>
      <c r="E3933" s="2" t="str">
        <f>HYPERLINK("https://old.ukr-mobil.com/zadnyaya_kryshka_redmi_note_10_pro_original_prc_onyx_gray_10002102", "Перейти")</f>
        <v>Перейти</v>
      </c>
      <c r="F3933" s="2">
        <v>10002102</v>
      </c>
      <c r="G3933" s="4" t="s">
        <v>4078</v>
      </c>
      <c r="H3933" s="1">
        <v>16</v>
      </c>
      <c r="I3933" s="1">
        <v>13</v>
      </c>
      <c r="J3933" s="1">
        <v>6</v>
      </c>
      <c r="K3933" s="2">
        <v>6.0</v>
      </c>
    </row>
    <row r="3934" spans="1:12">
      <c r="A3934" s="3" t="s">
        <v>2194</v>
      </c>
      <c r="B3934" s="3" t="s">
        <v>3663</v>
      </c>
      <c r="C3934" s="3" t="s">
        <v>3749</v>
      </c>
      <c r="D3934" s="3"/>
      <c r="E3934" s="2" t="str">
        <f>HYPERLINK("https://old.ukr-mobil.com/zadnyaya_kryshka_redmi_note_10_redmi_note_10s_original_prc_green_10002930", "Перейти")</f>
        <v>Перейти</v>
      </c>
      <c r="F3934" s="2">
        <v>10002930</v>
      </c>
      <c r="G3934" s="4" t="s">
        <v>4079</v>
      </c>
      <c r="H3934" s="1">
        <v>7</v>
      </c>
      <c r="I3934" s="1">
        <v>3</v>
      </c>
      <c r="J3934" s="1">
        <v>3</v>
      </c>
      <c r="K3934" s="2">
        <v>4.5</v>
      </c>
    </row>
    <row r="3935" spans="1:12">
      <c r="A3935" s="3" t="s">
        <v>2194</v>
      </c>
      <c r="B3935" s="3" t="s">
        <v>3663</v>
      </c>
      <c r="C3935" s="3" t="s">
        <v>3749</v>
      </c>
      <c r="D3935" s="3"/>
      <c r="E3935" s="2" t="str">
        <f>HYPERLINK("https://old.ukr-mobil.com/zadnyaya_kryshka_redmi_note_10_redmi_note_10s_original_prc_ocean_blue_10002101", "Перейти")</f>
        <v>Перейти</v>
      </c>
      <c r="F3935" s="2">
        <v>10002101</v>
      </c>
      <c r="G3935" s="4" t="s">
        <v>4080</v>
      </c>
      <c r="H3935" s="1">
        <v>16</v>
      </c>
      <c r="I3935" s="1">
        <v>5</v>
      </c>
      <c r="J3935" s="1">
        <v>1</v>
      </c>
      <c r="K3935" s="2">
        <v>7.5</v>
      </c>
    </row>
    <row r="3936" spans="1:12">
      <c r="A3936" s="3" t="s">
        <v>2194</v>
      </c>
      <c r="B3936" s="3" t="s">
        <v>3663</v>
      </c>
      <c r="C3936" s="3" t="s">
        <v>3749</v>
      </c>
      <c r="D3936" s="3"/>
      <c r="E3936" s="2" t="str">
        <f>HYPERLINK("https://old.ukr-mobil.com/zadnyaya_kryshka_xiaomi_redmi_note_10s_original_prc_onyx_gray_10002094", "Перейти")</f>
        <v>Перейти</v>
      </c>
      <c r="F3936" s="2">
        <v>10002094</v>
      </c>
      <c r="G3936" s="4" t="s">
        <v>4081</v>
      </c>
      <c r="H3936" s="1">
        <v>24</v>
      </c>
      <c r="I3936" s="1">
        <v>16</v>
      </c>
      <c r="J3936" s="1">
        <v>10</v>
      </c>
      <c r="K3936" s="2">
        <v>4.5</v>
      </c>
    </row>
    <row r="3937" spans="1:12">
      <c r="A3937" s="3" t="s">
        <v>2194</v>
      </c>
      <c r="B3937" s="3" t="s">
        <v>3663</v>
      </c>
      <c r="C3937" s="3" t="s">
        <v>3749</v>
      </c>
      <c r="D3937" s="3"/>
      <c r="E3937" s="2" t="str">
        <f>HYPERLINK("https://old.ukr-mobil.com/index.php?route=product&amp;product_id=10004846", "Перейти")</f>
        <v>Перейти</v>
      </c>
      <c r="F3937" s="2">
        <v>10004846</v>
      </c>
      <c r="G3937" s="4" t="s">
        <v>4082</v>
      </c>
      <c r="H3937" s="1">
        <v>0</v>
      </c>
      <c r="I3937" s="1">
        <v>0</v>
      </c>
      <c r="J3937" s="1">
        <v>0</v>
      </c>
      <c r="K3937" s="2">
        <v>4.2</v>
      </c>
    </row>
    <row r="3938" spans="1:12">
      <c r="A3938" s="3" t="s">
        <v>2194</v>
      </c>
      <c r="B3938" s="3" t="s">
        <v>3663</v>
      </c>
      <c r="C3938" s="3" t="s">
        <v>3749</v>
      </c>
      <c r="D3938" s="3"/>
      <c r="E3938" s="2" t="str">
        <f>HYPERLINK("https://old.ukr-mobil.com/zadnyaya_kryshka_samsung_a025_galaxy_a02s_original_prc_black_10001857", "Перейти")</f>
        <v>Перейти</v>
      </c>
      <c r="F3938" s="2">
        <v>10001857</v>
      </c>
      <c r="G3938" s="4" t="s">
        <v>4083</v>
      </c>
      <c r="H3938" s="1">
        <v>0</v>
      </c>
      <c r="I3938" s="1">
        <v>0</v>
      </c>
      <c r="J3938" s="1">
        <v>0</v>
      </c>
      <c r="K3938" s="2">
        <v>4.0</v>
      </c>
    </row>
    <row r="3939" spans="1:12">
      <c r="A3939" s="3" t="s">
        <v>2194</v>
      </c>
      <c r="B3939" s="3" t="s">
        <v>3663</v>
      </c>
      <c r="C3939" s="3" t="s">
        <v>3749</v>
      </c>
      <c r="D3939" s="3"/>
      <c r="E3939" s="2" t="str">
        <f>HYPERLINK("https://old.ukr-mobil.com/index.php?route=product&amp;product_id=10004616", "Перейти")</f>
        <v>Перейти</v>
      </c>
      <c r="F3939" s="2">
        <v>10004616</v>
      </c>
      <c r="G3939" s="4" t="s">
        <v>4084</v>
      </c>
      <c r="H3939" s="1">
        <v>1</v>
      </c>
      <c r="I3939" s="1">
        <v>0</v>
      </c>
      <c r="J3939" s="1">
        <v>0</v>
      </c>
      <c r="K3939" s="2">
        <v>3.5</v>
      </c>
    </row>
    <row r="3940" spans="1:12">
      <c r="A3940" s="3" t="s">
        <v>2194</v>
      </c>
      <c r="B3940" s="3" t="s">
        <v>3663</v>
      </c>
      <c r="C3940" s="3" t="s">
        <v>3749</v>
      </c>
      <c r="D3940" s="3"/>
      <c r="E3940" s="2" t="str">
        <f>HYPERLINK("https://old.ukr-mobil.com/index.php?route=product&amp;product_id=10004617", "Перейти")</f>
        <v>Перейти</v>
      </c>
      <c r="F3940" s="2">
        <v>10004617</v>
      </c>
      <c r="G3940" s="4" t="s">
        <v>4085</v>
      </c>
      <c r="H3940" s="1">
        <v>4</v>
      </c>
      <c r="I3940" s="1">
        <v>7</v>
      </c>
      <c r="J3940" s="1">
        <v>5</v>
      </c>
      <c r="K3940" s="2">
        <v>3.5</v>
      </c>
    </row>
    <row r="3941" spans="1:12">
      <c r="A3941" s="3" t="s">
        <v>2194</v>
      </c>
      <c r="B3941" s="3" t="s">
        <v>3663</v>
      </c>
      <c r="C3941" s="3" t="s">
        <v>3749</v>
      </c>
      <c r="D3941" s="3"/>
      <c r="E3941" s="2" t="str">
        <f>HYPERLINK("https://old.ukr-mobil.com/index.php?route=product&amp;product_id=10004618", "Перейти")</f>
        <v>Перейти</v>
      </c>
      <c r="F3941" s="2">
        <v>10004618</v>
      </c>
      <c r="G3941" s="4" t="s">
        <v>4086</v>
      </c>
      <c r="H3941" s="1">
        <v>2</v>
      </c>
      <c r="I3941" s="1">
        <v>2</v>
      </c>
      <c r="J3941" s="1">
        <v>1</v>
      </c>
      <c r="K3941" s="2">
        <v>3.5</v>
      </c>
    </row>
    <row r="3942" spans="1:12">
      <c r="A3942" s="3" t="s">
        <v>2194</v>
      </c>
      <c r="B3942" s="3" t="s">
        <v>3663</v>
      </c>
      <c r="C3942" s="3" t="s">
        <v>3749</v>
      </c>
      <c r="D3942" s="3"/>
      <c r="E3942" s="2" t="str">
        <f>HYPERLINK("https://old.ukr-mobil.com/index.php?route=product&amp;product_id=10004610", "Перейти")</f>
        <v>Перейти</v>
      </c>
      <c r="F3942" s="2">
        <v>10004610</v>
      </c>
      <c r="G3942" s="4" t="s">
        <v>4087</v>
      </c>
      <c r="H3942" s="1">
        <v>1</v>
      </c>
      <c r="I3942" s="1">
        <v>2</v>
      </c>
      <c r="J3942" s="1">
        <v>2</v>
      </c>
      <c r="K3942" s="2">
        <v>3.5</v>
      </c>
    </row>
    <row r="3943" spans="1:12">
      <c r="A3943" s="3" t="s">
        <v>2194</v>
      </c>
      <c r="B3943" s="3" t="s">
        <v>3663</v>
      </c>
      <c r="C3943" s="3" t="s">
        <v>3749</v>
      </c>
      <c r="D3943" s="3"/>
      <c r="E3943" s="2" t="str">
        <f>HYPERLINK("https://old.ukr-mobil.com/index.php?route=product&amp;product_id=10004611", "Перейти")</f>
        <v>Перейти</v>
      </c>
      <c r="F3943" s="2">
        <v>10004611</v>
      </c>
      <c r="G3943" s="4" t="s">
        <v>4088</v>
      </c>
      <c r="H3943" s="1">
        <v>6</v>
      </c>
      <c r="I3943" s="1">
        <v>5</v>
      </c>
      <c r="J3943" s="1">
        <v>4</v>
      </c>
      <c r="K3943" s="2">
        <v>3.5</v>
      </c>
    </row>
    <row r="3944" spans="1:12">
      <c r="A3944" s="3" t="s">
        <v>2194</v>
      </c>
      <c r="B3944" s="3" t="s">
        <v>3663</v>
      </c>
      <c r="C3944" s="3" t="s">
        <v>3749</v>
      </c>
      <c r="D3944" s="3"/>
      <c r="E3944" s="2" t="str">
        <f>HYPERLINK("https://old.ukr-mobil.com/index.php?route=product&amp;product_id=10004612", "Перейти")</f>
        <v>Перейти</v>
      </c>
      <c r="F3944" s="2">
        <v>10004612</v>
      </c>
      <c r="G3944" s="4" t="s">
        <v>4089</v>
      </c>
      <c r="H3944" s="1">
        <v>5</v>
      </c>
      <c r="I3944" s="1">
        <v>5</v>
      </c>
      <c r="J3944" s="1">
        <v>4</v>
      </c>
      <c r="K3944" s="2">
        <v>3.6</v>
      </c>
    </row>
    <row r="3945" spans="1:12">
      <c r="A3945" s="3" t="s">
        <v>2194</v>
      </c>
      <c r="B3945" s="3" t="s">
        <v>3663</v>
      </c>
      <c r="C3945" s="3" t="s">
        <v>3749</v>
      </c>
      <c r="D3945" s="3"/>
      <c r="E3945" s="2" t="str">
        <f>HYPERLINK("https://old.ukr-mobil.com/index.php?route=product&amp;product_id=10004613", "Перейти")</f>
        <v>Перейти</v>
      </c>
      <c r="F3945" s="2">
        <v>10004613</v>
      </c>
      <c r="G3945" s="4" t="s">
        <v>4090</v>
      </c>
      <c r="H3945" s="1">
        <v>2</v>
      </c>
      <c r="I3945" s="1">
        <v>1</v>
      </c>
      <c r="J3945" s="1">
        <v>2</v>
      </c>
      <c r="K3945" s="2">
        <v>3.75</v>
      </c>
    </row>
    <row r="3946" spans="1:12">
      <c r="A3946" s="3" t="s">
        <v>2194</v>
      </c>
      <c r="B3946" s="3" t="s">
        <v>3663</v>
      </c>
      <c r="C3946" s="3" t="s">
        <v>3749</v>
      </c>
      <c r="D3946" s="3"/>
      <c r="E3946" s="2" t="str">
        <f>HYPERLINK("https://old.ukr-mobil.com/index.php?route=product&amp;product_id=10004614", "Перейти")</f>
        <v>Перейти</v>
      </c>
      <c r="F3946" s="2">
        <v>10004614</v>
      </c>
      <c r="G3946" s="4" t="s">
        <v>4091</v>
      </c>
      <c r="H3946" s="1">
        <v>4</v>
      </c>
      <c r="I3946" s="1">
        <v>3</v>
      </c>
      <c r="J3946" s="1">
        <v>1</v>
      </c>
      <c r="K3946" s="2">
        <v>4.75</v>
      </c>
    </row>
    <row r="3947" spans="1:12">
      <c r="A3947" s="3" t="s">
        <v>2194</v>
      </c>
      <c r="B3947" s="3" t="s">
        <v>3663</v>
      </c>
      <c r="C3947" s="3" t="s">
        <v>3749</v>
      </c>
      <c r="D3947" s="3"/>
      <c r="E3947" s="2" t="str">
        <f>HYPERLINK("https://old.ukr-mobil.com/index.php?route=product&amp;product_id=10004615", "Перейти")</f>
        <v>Перейти</v>
      </c>
      <c r="F3947" s="2">
        <v>10004615</v>
      </c>
      <c r="G3947" s="4" t="s">
        <v>4092</v>
      </c>
      <c r="H3947" s="1">
        <v>2</v>
      </c>
      <c r="I3947" s="1">
        <v>3</v>
      </c>
      <c r="J3947" s="1">
        <v>2</v>
      </c>
      <c r="K3947" s="2">
        <v>4.75</v>
      </c>
    </row>
    <row r="3948" spans="1:12">
      <c r="A3948" s="3" t="s">
        <v>2194</v>
      </c>
      <c r="B3948" s="3" t="s">
        <v>3663</v>
      </c>
      <c r="C3948" s="3" t="s">
        <v>3749</v>
      </c>
      <c r="D3948" s="3"/>
      <c r="E3948" s="2" t="str">
        <f>HYPERLINK("https://old.ukr-mobil.com/zadnyaya_kryshka_samsung_a105_galaxy_a10_2019_original_blue_12212", "Перейти")</f>
        <v>Перейти</v>
      </c>
      <c r="F3948" s="2">
        <v>12212</v>
      </c>
      <c r="G3948" s="4" t="s">
        <v>4093</v>
      </c>
      <c r="H3948" s="1">
        <v>1</v>
      </c>
      <c r="I3948" s="1">
        <v>0</v>
      </c>
      <c r="J3948" s="1">
        <v>0</v>
      </c>
      <c r="K3948" s="2">
        <v>2.5</v>
      </c>
    </row>
    <row r="3949" spans="1:12">
      <c r="A3949" s="3" t="s">
        <v>2194</v>
      </c>
      <c r="B3949" s="3" t="s">
        <v>3663</v>
      </c>
      <c r="C3949" s="3" t="s">
        <v>3749</v>
      </c>
      <c r="D3949" s="3"/>
      <c r="E3949" s="2" t="str">
        <f>HYPERLINK("https://old.ukr-mobil.com/zadnyaya_kryshka_samsung_a105_galaxy_a10_2019_original_red_12213", "Перейти")</f>
        <v>Перейти</v>
      </c>
      <c r="F3949" s="2">
        <v>12213</v>
      </c>
      <c r="G3949" s="4" t="s">
        <v>4094</v>
      </c>
      <c r="H3949" s="1">
        <v>0</v>
      </c>
      <c r="I3949" s="1">
        <v>0</v>
      </c>
      <c r="J3949" s="1">
        <v>0</v>
      </c>
      <c r="K3949" s="2">
        <v>3.0</v>
      </c>
    </row>
    <row r="3950" spans="1:12">
      <c r="A3950" s="3" t="s">
        <v>2194</v>
      </c>
      <c r="B3950" s="3" t="s">
        <v>3663</v>
      </c>
      <c r="C3950" s="3" t="s">
        <v>3749</v>
      </c>
      <c r="D3950" s="3"/>
      <c r="E3950" s="2" t="str">
        <f>HYPERLINK("https://old.ukr-mobil.com/zadnyaya_kryshka_samsung_a105_galaxy_a10_2019_original_black_12108", "Перейти")</f>
        <v>Перейти</v>
      </c>
      <c r="F3950" s="2">
        <v>12108</v>
      </c>
      <c r="G3950" s="4" t="s">
        <v>4095</v>
      </c>
      <c r="H3950" s="1">
        <v>0</v>
      </c>
      <c r="I3950" s="1">
        <v>0</v>
      </c>
      <c r="J3950" s="1">
        <v>0</v>
      </c>
      <c r="K3950" s="2">
        <v>2.75</v>
      </c>
    </row>
    <row r="3951" spans="1:12">
      <c r="A3951" s="3" t="s">
        <v>2194</v>
      </c>
      <c r="B3951" s="3" t="s">
        <v>3663</v>
      </c>
      <c r="C3951" s="3" t="s">
        <v>3749</v>
      </c>
      <c r="D3951" s="3"/>
      <c r="E3951" s="2" t="str">
        <f>HYPERLINK("https://old.ukr-mobil.com/zadnyaya_kryshka_samsung_a125_galaxy_a12_original_prc_black_10001858", "Перейти")</f>
        <v>Перейти</v>
      </c>
      <c r="F3951" s="2">
        <v>10001858</v>
      </c>
      <c r="G3951" s="4" t="s">
        <v>4096</v>
      </c>
      <c r="H3951" s="1">
        <v>0</v>
      </c>
      <c r="I3951" s="1">
        <v>0</v>
      </c>
      <c r="J3951" s="1">
        <v>0</v>
      </c>
      <c r="K3951" s="2">
        <v>3.0</v>
      </c>
    </row>
    <row r="3952" spans="1:12">
      <c r="A3952" s="3" t="s">
        <v>2194</v>
      </c>
      <c r="B3952" s="3" t="s">
        <v>3663</v>
      </c>
      <c r="C3952" s="3" t="s">
        <v>3749</v>
      </c>
      <c r="D3952" s="3"/>
      <c r="E3952" s="2" t="str">
        <f>HYPERLINK("https://old.ukr-mobil.com/zadnyaya_kryshka_samsung_a125_galaxy_a12_original_prc_blue_10001859", "Перейти")</f>
        <v>Перейти</v>
      </c>
      <c r="F3952" s="2">
        <v>10001859</v>
      </c>
      <c r="G3952" s="4" t="s">
        <v>4097</v>
      </c>
      <c r="H3952" s="1">
        <v>0</v>
      </c>
      <c r="I3952" s="1">
        <v>0</v>
      </c>
      <c r="J3952" s="1">
        <v>0</v>
      </c>
      <c r="K3952" s="2">
        <v>3.0</v>
      </c>
    </row>
    <row r="3953" spans="1:12">
      <c r="A3953" s="3" t="s">
        <v>2194</v>
      </c>
      <c r="B3953" s="3" t="s">
        <v>3663</v>
      </c>
      <c r="C3953" s="3" t="s">
        <v>3749</v>
      </c>
      <c r="D3953" s="3"/>
      <c r="E3953" s="2" t="str">
        <f>HYPERLINK("https://old.ukr-mobil.com/index.php?route=product&amp;product_id=10004622", "Перейти")</f>
        <v>Перейти</v>
      </c>
      <c r="F3953" s="2">
        <v>10004622</v>
      </c>
      <c r="G3953" s="4" t="s">
        <v>4098</v>
      </c>
      <c r="H3953" s="1">
        <v>0</v>
      </c>
      <c r="I3953" s="1">
        <v>0</v>
      </c>
      <c r="J3953" s="1">
        <v>0</v>
      </c>
      <c r="K3953" s="2">
        <v>2.85</v>
      </c>
    </row>
    <row r="3954" spans="1:12">
      <c r="A3954" s="3" t="s">
        <v>2194</v>
      </c>
      <c r="B3954" s="3" t="s">
        <v>3663</v>
      </c>
      <c r="C3954" s="3" t="s">
        <v>3749</v>
      </c>
      <c r="D3954" s="3"/>
      <c r="E3954" s="2" t="str">
        <f>HYPERLINK("https://old.ukr-mobil.com/index.php?route=product&amp;product_id=10004623", "Перейти")</f>
        <v>Перейти</v>
      </c>
      <c r="F3954" s="2">
        <v>10004623</v>
      </c>
      <c r="G3954" s="4" t="s">
        <v>4099</v>
      </c>
      <c r="H3954" s="1">
        <v>0</v>
      </c>
      <c r="I3954" s="1">
        <v>2</v>
      </c>
      <c r="J3954" s="1">
        <v>1</v>
      </c>
      <c r="K3954" s="2">
        <v>3.25</v>
      </c>
    </row>
    <row r="3955" spans="1:12">
      <c r="A3955" s="3" t="s">
        <v>2194</v>
      </c>
      <c r="B3955" s="3" t="s">
        <v>3663</v>
      </c>
      <c r="C3955" s="3" t="s">
        <v>3749</v>
      </c>
      <c r="D3955" s="3"/>
      <c r="E3955" s="2" t="str">
        <f>HYPERLINK("https://old.ukr-mobil.com/index.php?route=product&amp;product_id=10004624", "Перейти")</f>
        <v>Перейти</v>
      </c>
      <c r="F3955" s="2">
        <v>10004624</v>
      </c>
      <c r="G3955" s="4" t="s">
        <v>4100</v>
      </c>
      <c r="H3955" s="1">
        <v>0</v>
      </c>
      <c r="I3955" s="1">
        <v>0</v>
      </c>
      <c r="J3955" s="1">
        <v>2</v>
      </c>
      <c r="K3955" s="2">
        <v>3.25</v>
      </c>
    </row>
    <row r="3956" spans="1:12">
      <c r="A3956" s="3" t="s">
        <v>2194</v>
      </c>
      <c r="B3956" s="3" t="s">
        <v>3663</v>
      </c>
      <c r="C3956" s="3" t="s">
        <v>3749</v>
      </c>
      <c r="D3956" s="3"/>
      <c r="E3956" s="2" t="str">
        <f>HYPERLINK("https://old.ukr-mobil.com/index.php?route=product&amp;product_id=10004619", "Перейти")</f>
        <v>Перейти</v>
      </c>
      <c r="F3956" s="2">
        <v>10004619</v>
      </c>
      <c r="G3956" s="4" t="s">
        <v>4101</v>
      </c>
      <c r="H3956" s="1">
        <v>0</v>
      </c>
      <c r="I3956" s="1">
        <v>0</v>
      </c>
      <c r="J3956" s="1">
        <v>0</v>
      </c>
      <c r="K3956" s="2">
        <v>2.5</v>
      </c>
    </row>
    <row r="3957" spans="1:12">
      <c r="A3957" s="3" t="s">
        <v>2194</v>
      </c>
      <c r="B3957" s="3" t="s">
        <v>3663</v>
      </c>
      <c r="C3957" s="3" t="s">
        <v>3749</v>
      </c>
      <c r="D3957" s="3"/>
      <c r="E3957" s="2" t="str">
        <f>HYPERLINK("https://old.ukr-mobil.com/index.php?route=product&amp;product_id=10004620", "Перейти")</f>
        <v>Перейти</v>
      </c>
      <c r="F3957" s="2">
        <v>10004620</v>
      </c>
      <c r="G3957" s="4" t="s">
        <v>4102</v>
      </c>
      <c r="H3957" s="1">
        <v>5</v>
      </c>
      <c r="I3957" s="1">
        <v>5</v>
      </c>
      <c r="J3957" s="1">
        <v>4</v>
      </c>
      <c r="K3957" s="2">
        <v>2.5</v>
      </c>
    </row>
    <row r="3958" spans="1:12">
      <c r="A3958" s="3" t="s">
        <v>2194</v>
      </c>
      <c r="B3958" s="3" t="s">
        <v>3663</v>
      </c>
      <c r="C3958" s="3" t="s">
        <v>3749</v>
      </c>
      <c r="D3958" s="3"/>
      <c r="E3958" s="2" t="str">
        <f>HYPERLINK("https://old.ukr-mobil.com/index.php?route=product&amp;product_id=10004621", "Перейти")</f>
        <v>Перейти</v>
      </c>
      <c r="F3958" s="2">
        <v>10004621</v>
      </c>
      <c r="G3958" s="4" t="s">
        <v>4103</v>
      </c>
      <c r="H3958" s="1">
        <v>2</v>
      </c>
      <c r="I3958" s="1">
        <v>3</v>
      </c>
      <c r="J3958" s="1">
        <v>3</v>
      </c>
      <c r="K3958" s="2">
        <v>2.5</v>
      </c>
    </row>
    <row r="3959" spans="1:12">
      <c r="A3959" s="3" t="s">
        <v>2194</v>
      </c>
      <c r="B3959" s="3" t="s">
        <v>3663</v>
      </c>
      <c r="C3959" s="3" t="s">
        <v>3749</v>
      </c>
      <c r="D3959" s="3"/>
      <c r="E3959" s="2" t="str">
        <f>HYPERLINK("https://old.ukr-mobil.com/zadnyaya_kryshka_samsung_a205_galaxy_a20_2019_original_black_12109", "Перейти")</f>
        <v>Перейти</v>
      </c>
      <c r="F3959" s="2">
        <v>12109</v>
      </c>
      <c r="G3959" s="4" t="s">
        <v>4104</v>
      </c>
      <c r="H3959" s="1">
        <v>0</v>
      </c>
      <c r="I3959" s="1">
        <v>0</v>
      </c>
      <c r="J3959" s="1">
        <v>0</v>
      </c>
      <c r="K3959" s="2">
        <v>2.7</v>
      </c>
    </row>
    <row r="3960" spans="1:12">
      <c r="A3960" s="3" t="s">
        <v>2194</v>
      </c>
      <c r="B3960" s="3" t="s">
        <v>3663</v>
      </c>
      <c r="C3960" s="3" t="s">
        <v>3749</v>
      </c>
      <c r="D3960" s="3"/>
      <c r="E3960" s="2" t="str">
        <f>HYPERLINK("https://old.ukr-mobil.com/zadnyaya_kryshka_samsung_a205_galaxy_a20_2019_original_blue_12223", "Перейти")</f>
        <v>Перейти</v>
      </c>
      <c r="F3960" s="2">
        <v>12223</v>
      </c>
      <c r="G3960" s="4" t="s">
        <v>4105</v>
      </c>
      <c r="H3960" s="1">
        <v>4</v>
      </c>
      <c r="I3960" s="1">
        <v>4</v>
      </c>
      <c r="J3960" s="1">
        <v>4</v>
      </c>
      <c r="K3960" s="2">
        <v>2.6</v>
      </c>
    </row>
    <row r="3961" spans="1:12">
      <c r="A3961" s="3" t="s">
        <v>2194</v>
      </c>
      <c r="B3961" s="3" t="s">
        <v>3663</v>
      </c>
      <c r="C3961" s="3" t="s">
        <v>3749</v>
      </c>
      <c r="D3961" s="3"/>
      <c r="E3961" s="2" t="str">
        <f>HYPERLINK("https://old.ukr-mobil.com/zadnyaya_kryshka_samsung_a217_galaxy_a21s_original_prc_blue_10001864", "Перейти")</f>
        <v>Перейти</v>
      </c>
      <c r="F3961" s="2">
        <v>10001864</v>
      </c>
      <c r="G3961" s="4" t="s">
        <v>4106</v>
      </c>
      <c r="H3961" s="1">
        <v>2</v>
      </c>
      <c r="I3961" s="1">
        <v>0</v>
      </c>
      <c r="J3961" s="1">
        <v>3</v>
      </c>
      <c r="K3961" s="2">
        <v>2.55</v>
      </c>
    </row>
    <row r="3962" spans="1:12">
      <c r="A3962" s="3" t="s">
        <v>2194</v>
      </c>
      <c r="B3962" s="3" t="s">
        <v>3663</v>
      </c>
      <c r="C3962" s="3" t="s">
        <v>3749</v>
      </c>
      <c r="D3962" s="3"/>
      <c r="E3962" s="2" t="str">
        <f>HYPERLINK("https://old.ukr-mobil.com/zadnyaya_kryshka_samsung_a217_galaxy_a21s_original_prc_red_10002632", "Перейти")</f>
        <v>Перейти</v>
      </c>
      <c r="F3962" s="2">
        <v>10002632</v>
      </c>
      <c r="G3962" s="4" t="s">
        <v>4107</v>
      </c>
      <c r="H3962" s="1">
        <v>3</v>
      </c>
      <c r="I3962" s="1">
        <v>0</v>
      </c>
      <c r="J3962" s="1">
        <v>2</v>
      </c>
      <c r="K3962" s="2">
        <v>3.0</v>
      </c>
    </row>
    <row r="3963" spans="1:12">
      <c r="A3963" s="3" t="s">
        <v>2194</v>
      </c>
      <c r="B3963" s="3" t="s">
        <v>3663</v>
      </c>
      <c r="C3963" s="3" t="s">
        <v>3749</v>
      </c>
      <c r="D3963" s="3"/>
      <c r="E3963" s="2" t="str">
        <f>HYPERLINK("https://old.ukr-mobil.com/index.php?route=product&amp;product_id=10004625", "Перейти")</f>
        <v>Перейти</v>
      </c>
      <c r="F3963" s="2">
        <v>10004625</v>
      </c>
      <c r="G3963" s="4" t="s">
        <v>4108</v>
      </c>
      <c r="H3963" s="1">
        <v>0</v>
      </c>
      <c r="I3963" s="1">
        <v>0</v>
      </c>
      <c r="J3963" s="1">
        <v>0</v>
      </c>
      <c r="K3963" s="2">
        <v>2.85</v>
      </c>
    </row>
    <row r="3964" spans="1:12">
      <c r="A3964" s="3" t="s">
        <v>2194</v>
      </c>
      <c r="B3964" s="3" t="s">
        <v>3663</v>
      </c>
      <c r="C3964" s="3" t="s">
        <v>3749</v>
      </c>
      <c r="D3964" s="3"/>
      <c r="E3964" s="2" t="str">
        <f>HYPERLINK("https://old.ukr-mobil.com/index.php?route=product&amp;product_id=10004626", "Перейти")</f>
        <v>Перейти</v>
      </c>
      <c r="F3964" s="2">
        <v>10004626</v>
      </c>
      <c r="G3964" s="4" t="s">
        <v>4109</v>
      </c>
      <c r="H3964" s="1">
        <v>3</v>
      </c>
      <c r="I3964" s="1">
        <v>3</v>
      </c>
      <c r="J3964" s="1">
        <v>2</v>
      </c>
      <c r="K3964" s="2">
        <v>2.85</v>
      </c>
    </row>
    <row r="3965" spans="1:12">
      <c r="A3965" s="3" t="s">
        <v>2194</v>
      </c>
      <c r="B3965" s="3" t="s">
        <v>3663</v>
      </c>
      <c r="C3965" s="3" t="s">
        <v>3749</v>
      </c>
      <c r="D3965" s="3"/>
      <c r="E3965" s="2" t="str">
        <f>HYPERLINK("https://old.ukr-mobil.com/index.php?route=product&amp;product_id=10004627", "Перейти")</f>
        <v>Перейти</v>
      </c>
      <c r="F3965" s="2">
        <v>10004627</v>
      </c>
      <c r="G3965" s="4" t="s">
        <v>4110</v>
      </c>
      <c r="H3965" s="1">
        <v>3</v>
      </c>
      <c r="I3965" s="1">
        <v>2</v>
      </c>
      <c r="J3965" s="1">
        <v>1</v>
      </c>
      <c r="K3965" s="2">
        <v>2.85</v>
      </c>
    </row>
    <row r="3966" spans="1:12">
      <c r="A3966" s="3" t="s">
        <v>2194</v>
      </c>
      <c r="B3966" s="3" t="s">
        <v>3663</v>
      </c>
      <c r="C3966" s="3" t="s">
        <v>3749</v>
      </c>
      <c r="D3966" s="3"/>
      <c r="E3966" s="2" t="str">
        <f>HYPERLINK("https://old.ukr-mobil.com/zadnyaya_kryshka_samsung_a305_galaxy_a30_2019_original_prc_black_12110", "Перейти")</f>
        <v>Перейти</v>
      </c>
      <c r="F3966" s="2">
        <v>12110</v>
      </c>
      <c r="G3966" s="4" t="s">
        <v>4111</v>
      </c>
      <c r="H3966" s="1">
        <v>14</v>
      </c>
      <c r="I3966" s="1">
        <v>8</v>
      </c>
      <c r="J3966" s="1">
        <v>5</v>
      </c>
      <c r="K3966" s="2">
        <v>2.75</v>
      </c>
    </row>
    <row r="3967" spans="1:12">
      <c r="A3967" s="3" t="s">
        <v>2194</v>
      </c>
      <c r="B3967" s="3" t="s">
        <v>3663</v>
      </c>
      <c r="C3967" s="3" t="s">
        <v>3749</v>
      </c>
      <c r="D3967" s="3"/>
      <c r="E3967" s="2" t="str">
        <f>HYPERLINK("https://old.ukr-mobil.com/zadnyaya_kryshka_samsung_a305_galaxy_a30_2019_original_prc_blue_12221", "Перейти")</f>
        <v>Перейти</v>
      </c>
      <c r="F3967" s="2">
        <v>12221</v>
      </c>
      <c r="G3967" s="4" t="s">
        <v>4112</v>
      </c>
      <c r="H3967" s="1">
        <v>7</v>
      </c>
      <c r="I3967" s="1">
        <v>4</v>
      </c>
      <c r="J3967" s="1">
        <v>4</v>
      </c>
      <c r="K3967" s="2">
        <v>2.75</v>
      </c>
    </row>
    <row r="3968" spans="1:12">
      <c r="A3968" s="3" t="s">
        <v>2194</v>
      </c>
      <c r="B3968" s="3" t="s">
        <v>3663</v>
      </c>
      <c r="C3968" s="3" t="s">
        <v>3749</v>
      </c>
      <c r="D3968" s="3"/>
      <c r="E3968" s="2" t="str">
        <f>HYPERLINK("https://old.ukr-mobil.com/zadnyaya_kryshka_samsung_a305_galaxy_a30_2019_original_prc_white_12222", "Перейти")</f>
        <v>Перейти</v>
      </c>
      <c r="F3968" s="2">
        <v>12222</v>
      </c>
      <c r="G3968" s="4" t="s">
        <v>4113</v>
      </c>
      <c r="H3968" s="1">
        <v>1</v>
      </c>
      <c r="I3968" s="1">
        <v>6</v>
      </c>
      <c r="J3968" s="1">
        <v>4</v>
      </c>
      <c r="K3968" s="2">
        <v>2.75</v>
      </c>
    </row>
    <row r="3969" spans="1:12">
      <c r="A3969" s="3" t="s">
        <v>2194</v>
      </c>
      <c r="B3969" s="3" t="s">
        <v>3663</v>
      </c>
      <c r="C3969" s="3" t="s">
        <v>3749</v>
      </c>
      <c r="D3969" s="3"/>
      <c r="E3969" s="2" t="str">
        <f>HYPERLINK("https://old.ukr-mobil.com/index.php?route=product&amp;product_id=10004896", "Перейти")</f>
        <v>Перейти</v>
      </c>
      <c r="F3969" s="2">
        <v>10004896</v>
      </c>
      <c r="G3969" s="4" t="s">
        <v>4114</v>
      </c>
      <c r="H3969" s="1">
        <v>1</v>
      </c>
      <c r="I3969" s="1">
        <v>1</v>
      </c>
      <c r="J3969" s="1">
        <v>1</v>
      </c>
      <c r="K3969" s="2">
        <v>3.65</v>
      </c>
    </row>
    <row r="3970" spans="1:12">
      <c r="A3970" s="3" t="s">
        <v>2194</v>
      </c>
      <c r="B3970" s="3" t="s">
        <v>3663</v>
      </c>
      <c r="C3970" s="3" t="s">
        <v>3749</v>
      </c>
      <c r="D3970" s="3"/>
      <c r="E3970" s="2" t="str">
        <f>HYPERLINK("https://old.ukr-mobil.com/index.php?route=product&amp;product_id=10004897", "Перейти")</f>
        <v>Перейти</v>
      </c>
      <c r="F3970" s="2">
        <v>10004897</v>
      </c>
      <c r="G3970" s="4" t="s">
        <v>4115</v>
      </c>
      <c r="H3970" s="1">
        <v>3</v>
      </c>
      <c r="I3970" s="1">
        <v>3</v>
      </c>
      <c r="J3970" s="1">
        <v>1</v>
      </c>
      <c r="K3970" s="2">
        <v>3.65</v>
      </c>
    </row>
    <row r="3971" spans="1:12">
      <c r="A3971" s="3" t="s">
        <v>2194</v>
      </c>
      <c r="B3971" s="3" t="s">
        <v>3663</v>
      </c>
      <c r="C3971" s="3" t="s">
        <v>3749</v>
      </c>
      <c r="D3971" s="3"/>
      <c r="E3971" s="2" t="str">
        <f>HYPERLINK("https://old.ukr-mobil.com/index.php?route=product&amp;product_id=10004898", "Перейти")</f>
        <v>Перейти</v>
      </c>
      <c r="F3971" s="2">
        <v>10004898</v>
      </c>
      <c r="G3971" s="4" t="s">
        <v>4116</v>
      </c>
      <c r="H3971" s="1">
        <v>5</v>
      </c>
      <c r="I3971" s="1">
        <v>2</v>
      </c>
      <c r="J3971" s="1">
        <v>2</v>
      </c>
      <c r="K3971" s="2">
        <v>3.65</v>
      </c>
    </row>
    <row r="3972" spans="1:12">
      <c r="A3972" s="3" t="s">
        <v>2194</v>
      </c>
      <c r="B3972" s="3" t="s">
        <v>3663</v>
      </c>
      <c r="C3972" s="3" t="s">
        <v>3749</v>
      </c>
      <c r="D3972" s="3"/>
      <c r="E3972" s="2" t="str">
        <f>HYPERLINK("https://old.ukr-mobil.com/index.php?route=product&amp;product_id=10004885", "Перейти")</f>
        <v>Перейти</v>
      </c>
      <c r="F3972" s="2">
        <v>10004885</v>
      </c>
      <c r="G3972" s="4" t="s">
        <v>4117</v>
      </c>
      <c r="H3972" s="1">
        <v>0</v>
      </c>
      <c r="I3972" s="1">
        <v>0</v>
      </c>
      <c r="J3972" s="1">
        <v>2</v>
      </c>
      <c r="K3972" s="2">
        <v>2.85</v>
      </c>
    </row>
    <row r="3973" spans="1:12">
      <c r="A3973" s="3" t="s">
        <v>2194</v>
      </c>
      <c r="B3973" s="3" t="s">
        <v>3663</v>
      </c>
      <c r="C3973" s="3" t="s">
        <v>3749</v>
      </c>
      <c r="D3973" s="3"/>
      <c r="E3973" s="2" t="str">
        <f>HYPERLINK("https://old.ukr-mobil.com/index.php?route=product&amp;product_id=10004886", "Перейти")</f>
        <v>Перейти</v>
      </c>
      <c r="F3973" s="2">
        <v>10004886</v>
      </c>
      <c r="G3973" s="4" t="s">
        <v>4118</v>
      </c>
      <c r="H3973" s="1">
        <v>3</v>
      </c>
      <c r="I3973" s="1">
        <v>1</v>
      </c>
      <c r="J3973" s="1">
        <v>1</v>
      </c>
      <c r="K3973" s="2">
        <v>2.85</v>
      </c>
    </row>
    <row r="3974" spans="1:12">
      <c r="A3974" s="3" t="s">
        <v>2194</v>
      </c>
      <c r="B3974" s="3" t="s">
        <v>3663</v>
      </c>
      <c r="C3974" s="3" t="s">
        <v>3749</v>
      </c>
      <c r="D3974" s="3"/>
      <c r="E3974" s="2" t="str">
        <f>HYPERLINK("https://old.ukr-mobil.com/index.php?route=product&amp;product_id=10004887", "Перейти")</f>
        <v>Перейти</v>
      </c>
      <c r="F3974" s="2">
        <v>10004887</v>
      </c>
      <c r="G3974" s="4" t="s">
        <v>4119</v>
      </c>
      <c r="H3974" s="1">
        <v>0</v>
      </c>
      <c r="I3974" s="1">
        <v>2</v>
      </c>
      <c r="J3974" s="1">
        <v>2</v>
      </c>
      <c r="K3974" s="2">
        <v>2.85</v>
      </c>
    </row>
    <row r="3975" spans="1:12">
      <c r="A3975" s="3" t="s">
        <v>2194</v>
      </c>
      <c r="B3975" s="3" t="s">
        <v>3663</v>
      </c>
      <c r="C3975" s="3" t="s">
        <v>3749</v>
      </c>
      <c r="D3975" s="3"/>
      <c r="E3975" s="2" t="str">
        <f>HYPERLINK("https://old.ukr-mobil.com/index.php?route=product&amp;product_id=10004888", "Перейти")</f>
        <v>Перейти</v>
      </c>
      <c r="F3975" s="2">
        <v>10004888</v>
      </c>
      <c r="G3975" s="4" t="s">
        <v>4120</v>
      </c>
      <c r="H3975" s="1">
        <v>4</v>
      </c>
      <c r="I3975" s="1">
        <v>1</v>
      </c>
      <c r="J3975" s="1">
        <v>2</v>
      </c>
      <c r="K3975" s="2">
        <v>2.85</v>
      </c>
    </row>
    <row r="3976" spans="1:12">
      <c r="A3976" s="3" t="s">
        <v>2194</v>
      </c>
      <c r="B3976" s="3" t="s">
        <v>3663</v>
      </c>
      <c r="C3976" s="3" t="s">
        <v>3749</v>
      </c>
      <c r="D3976" s="3"/>
      <c r="E3976" s="2" t="str">
        <f>HYPERLINK("https://old.ukr-mobil.com/zadnyaya_kryshka_samsung_a505_galaxy_a50_2019_original_black_12111", "Перейти")</f>
        <v>Перейти</v>
      </c>
      <c r="F3976" s="2">
        <v>12111</v>
      </c>
      <c r="G3976" s="4" t="s">
        <v>4121</v>
      </c>
      <c r="H3976" s="1">
        <v>0</v>
      </c>
      <c r="I3976" s="1">
        <v>0</v>
      </c>
      <c r="J3976" s="1">
        <v>0</v>
      </c>
      <c r="K3976" s="2">
        <v>2.25</v>
      </c>
    </row>
    <row r="3977" spans="1:12">
      <c r="A3977" s="3" t="s">
        <v>2194</v>
      </c>
      <c r="B3977" s="3" t="s">
        <v>3663</v>
      </c>
      <c r="C3977" s="3" t="s">
        <v>3749</v>
      </c>
      <c r="D3977" s="3"/>
      <c r="E3977" s="2" t="str">
        <f>HYPERLINK("https://old.ukr-mobil.com/zadnyaya_kryshka_samsung_a505_galaxy_a50_2019_original_blue_12224", "Перейти")</f>
        <v>Перейти</v>
      </c>
      <c r="F3977" s="2">
        <v>12224</v>
      </c>
      <c r="G3977" s="4" t="s">
        <v>4122</v>
      </c>
      <c r="H3977" s="1">
        <v>17</v>
      </c>
      <c r="I3977" s="1">
        <v>4</v>
      </c>
      <c r="J3977" s="1">
        <v>5</v>
      </c>
      <c r="K3977" s="2">
        <v>2.25</v>
      </c>
    </row>
    <row r="3978" spans="1:12">
      <c r="A3978" s="3" t="s">
        <v>2194</v>
      </c>
      <c r="B3978" s="3" t="s">
        <v>3663</v>
      </c>
      <c r="C3978" s="3" t="s">
        <v>3749</v>
      </c>
      <c r="D3978" s="3"/>
      <c r="E3978" s="2" t="str">
        <f>HYPERLINK("https://old.ukr-mobil.com/zadnyaya_kryshka_samsung_a505_galaxy_a50_2019_original_white_12225", "Перейти")</f>
        <v>Перейти</v>
      </c>
      <c r="F3978" s="2">
        <v>12225</v>
      </c>
      <c r="G3978" s="4" t="s">
        <v>4123</v>
      </c>
      <c r="H3978" s="1">
        <v>0</v>
      </c>
      <c r="I3978" s="1">
        <v>0</v>
      </c>
      <c r="J3978" s="1">
        <v>0</v>
      </c>
      <c r="K3978" s="2">
        <v>3.0</v>
      </c>
    </row>
    <row r="3979" spans="1:12">
      <c r="A3979" s="3" t="s">
        <v>2194</v>
      </c>
      <c r="B3979" s="3" t="s">
        <v>3663</v>
      </c>
      <c r="C3979" s="3" t="s">
        <v>3749</v>
      </c>
      <c r="D3979" s="3"/>
      <c r="E3979" s="2" t="str">
        <f>HYPERLINK("https://old.ukr-mobil.com/zadnyaya_kryshka_samsung_a515_galaxy_a51_original_prc_blue_10002579", "Перейти")</f>
        <v>Перейти</v>
      </c>
      <c r="F3979" s="2">
        <v>10002579</v>
      </c>
      <c r="G3979" s="4" t="s">
        <v>4124</v>
      </c>
      <c r="H3979" s="1">
        <v>0</v>
      </c>
      <c r="I3979" s="1">
        <v>0</v>
      </c>
      <c r="J3979" s="1">
        <v>0</v>
      </c>
      <c r="K3979" s="2">
        <v>3.0</v>
      </c>
    </row>
    <row r="3980" spans="1:12">
      <c r="A3980" s="3" t="s">
        <v>2194</v>
      </c>
      <c r="B3980" s="3" t="s">
        <v>3663</v>
      </c>
      <c r="C3980" s="3" t="s">
        <v>3749</v>
      </c>
      <c r="D3980" s="3"/>
      <c r="E3980" s="2" t="str">
        <f>HYPERLINK("https://old.ukr-mobil.com/zadnyaya_kryshka_samsung_a515_galaxy_a51_original_prc_pink_10002631", "Перейти")</f>
        <v>Перейти</v>
      </c>
      <c r="F3980" s="2">
        <v>10002631</v>
      </c>
      <c r="G3980" s="4" t="s">
        <v>4125</v>
      </c>
      <c r="H3980" s="1">
        <v>6</v>
      </c>
      <c r="I3980" s="1">
        <v>5</v>
      </c>
      <c r="J3980" s="1">
        <v>1</v>
      </c>
      <c r="K3980" s="2">
        <v>2.75</v>
      </c>
    </row>
    <row r="3981" spans="1:12">
      <c r="A3981" s="3" t="s">
        <v>2194</v>
      </c>
      <c r="B3981" s="3" t="s">
        <v>3663</v>
      </c>
      <c r="C3981" s="3" t="s">
        <v>3749</v>
      </c>
      <c r="D3981" s="3"/>
      <c r="E3981" s="2" t="str">
        <f>HYPERLINK("https://old.ukr-mobil.com/zadnyaya_kryshka_samsung_a515_galaxy_a51_original_prc_white_10002580", "Перейти")</f>
        <v>Перейти</v>
      </c>
      <c r="F3981" s="2">
        <v>10002580</v>
      </c>
      <c r="G3981" s="4" t="s">
        <v>4126</v>
      </c>
      <c r="H3981" s="1">
        <v>0</v>
      </c>
      <c r="I3981" s="1">
        <v>11</v>
      </c>
      <c r="J3981" s="1">
        <v>0</v>
      </c>
      <c r="K3981" s="2">
        <v>3.0</v>
      </c>
    </row>
    <row r="3982" spans="1:12">
      <c r="A3982" s="3" t="s">
        <v>2194</v>
      </c>
      <c r="B3982" s="3" t="s">
        <v>3663</v>
      </c>
      <c r="C3982" s="3" t="s">
        <v>3749</v>
      </c>
      <c r="D3982" s="3"/>
      <c r="E3982" s="2" t="str">
        <f>HYPERLINK("https://old.ukr-mobil.com/zadnyaya_kryshka_samsung_a515_galaxy_a51_so_steklom_kamery_original_prc_black_10002581", "Перейти")</f>
        <v>Перейти</v>
      </c>
      <c r="F3982" s="2">
        <v>10002581</v>
      </c>
      <c r="G3982" s="4" t="s">
        <v>4127</v>
      </c>
      <c r="H3982" s="1">
        <v>0</v>
      </c>
      <c r="I3982" s="1">
        <v>8</v>
      </c>
      <c r="J3982" s="1">
        <v>0</v>
      </c>
      <c r="K3982" s="2">
        <v>3.85</v>
      </c>
    </row>
    <row r="3983" spans="1:12">
      <c r="A3983" s="3" t="s">
        <v>2194</v>
      </c>
      <c r="B3983" s="3" t="s">
        <v>3663</v>
      </c>
      <c r="C3983" s="3" t="s">
        <v>3749</v>
      </c>
      <c r="D3983" s="3"/>
      <c r="E3983" s="2" t="str">
        <f>HYPERLINK("https://old.ukr-mobil.com/zadnyaya_kryshka_samsung_a530_galaxy_a8_2018_black_10823", "Перейти")</f>
        <v>Перейти</v>
      </c>
      <c r="F3983" s="2">
        <v>10823</v>
      </c>
      <c r="G3983" s="4" t="s">
        <v>4128</v>
      </c>
      <c r="H3983" s="1">
        <v>5</v>
      </c>
      <c r="I3983" s="1">
        <v>5</v>
      </c>
      <c r="J3983" s="1">
        <v>4</v>
      </c>
      <c r="K3983" s="2">
        <v>2.85</v>
      </c>
    </row>
    <row r="3984" spans="1:12">
      <c r="A3984" s="3" t="s">
        <v>2194</v>
      </c>
      <c r="B3984" s="3" t="s">
        <v>3663</v>
      </c>
      <c r="C3984" s="3" t="s">
        <v>3749</v>
      </c>
      <c r="D3984" s="3"/>
      <c r="E3984" s="2" t="str">
        <f>HYPERLINK("https://old.ukr-mobil.com/zadnyaya_kryshka_samsung_a530_galaxy_a8_2018_blue_11381", "Перейти")</f>
        <v>Перейти</v>
      </c>
      <c r="F3984" s="2">
        <v>11381</v>
      </c>
      <c r="G3984" s="4" t="s">
        <v>4129</v>
      </c>
      <c r="H3984" s="1">
        <v>13</v>
      </c>
      <c r="I3984" s="1">
        <v>5</v>
      </c>
      <c r="J3984" s="1">
        <v>4</v>
      </c>
      <c r="K3984" s="2">
        <v>2.75</v>
      </c>
    </row>
    <row r="3985" spans="1:12">
      <c r="A3985" s="3" t="s">
        <v>2194</v>
      </c>
      <c r="B3985" s="3" t="s">
        <v>3663</v>
      </c>
      <c r="C3985" s="3" t="s">
        <v>3749</v>
      </c>
      <c r="D3985" s="3"/>
      <c r="E3985" s="2" t="str">
        <f>HYPERLINK("https://old.ukr-mobil.com/zadnyaya_kryshka_samsung_a530_galaxy_a8_2018_gold_10822", "Перейти")</f>
        <v>Перейти</v>
      </c>
      <c r="F3985" s="2">
        <v>10822</v>
      </c>
      <c r="G3985" s="4" t="s">
        <v>4130</v>
      </c>
      <c r="H3985" s="1">
        <v>0</v>
      </c>
      <c r="I3985" s="1">
        <v>0</v>
      </c>
      <c r="J3985" s="1">
        <v>0</v>
      </c>
      <c r="K3985" s="2">
        <v>4.54</v>
      </c>
    </row>
    <row r="3986" spans="1:12">
      <c r="A3986" s="3" t="s">
        <v>2194</v>
      </c>
      <c r="B3986" s="3" t="s">
        <v>3663</v>
      </c>
      <c r="C3986" s="3" t="s">
        <v>3749</v>
      </c>
      <c r="D3986" s="3"/>
      <c r="E3986" s="2" t="str">
        <f>HYPERLINK("https://old.ukr-mobil.com/zadnyaya_kryshka_samsung_a530_galaxy_a8_2018_orchid_gray_10824", "Перейти")</f>
        <v>Перейти</v>
      </c>
      <c r="F3986" s="2">
        <v>10824</v>
      </c>
      <c r="G3986" s="4" t="s">
        <v>4131</v>
      </c>
      <c r="H3986" s="1">
        <v>0</v>
      </c>
      <c r="I3986" s="1">
        <v>0</v>
      </c>
      <c r="J3986" s="1">
        <v>0</v>
      </c>
      <c r="K3986" s="2">
        <v>2.75</v>
      </c>
    </row>
    <row r="3987" spans="1:12">
      <c r="A3987" s="3" t="s">
        <v>2194</v>
      </c>
      <c r="B3987" s="3" t="s">
        <v>3663</v>
      </c>
      <c r="C3987" s="3" t="s">
        <v>3749</v>
      </c>
      <c r="D3987" s="3"/>
      <c r="E3987" s="2" t="str">
        <f>HYPERLINK("https://old.ukr-mobil.com/zadnyaya_kryshka_samsung_a600_galaxy_a6_original_black_12113", "Перейти")</f>
        <v>Перейти</v>
      </c>
      <c r="F3987" s="2">
        <v>12113</v>
      </c>
      <c r="G3987" s="4" t="s">
        <v>4132</v>
      </c>
      <c r="H3987" s="1">
        <v>5</v>
      </c>
      <c r="I3987" s="1">
        <v>0</v>
      </c>
      <c r="J3987" s="1">
        <v>1</v>
      </c>
      <c r="K3987" s="2">
        <v>12.0</v>
      </c>
    </row>
    <row r="3988" spans="1:12">
      <c r="A3988" s="3" t="s">
        <v>2194</v>
      </c>
      <c r="B3988" s="3" t="s">
        <v>3663</v>
      </c>
      <c r="C3988" s="3" t="s">
        <v>3749</v>
      </c>
      <c r="D3988" s="3"/>
      <c r="E3988" s="2" t="str">
        <f>HYPERLINK("https://old.ukr-mobil.com/zadnyaya_kryshka_samsung_a600_galaxy_a6_original_blue_12220", "Перейти")</f>
        <v>Перейти</v>
      </c>
      <c r="F3988" s="2">
        <v>12220</v>
      </c>
      <c r="G3988" s="4" t="s">
        <v>4133</v>
      </c>
      <c r="H3988" s="1">
        <v>4</v>
      </c>
      <c r="I3988" s="1">
        <v>0</v>
      </c>
      <c r="J3988" s="1">
        <v>2</v>
      </c>
      <c r="K3988" s="2">
        <v>12.0</v>
      </c>
    </row>
    <row r="3989" spans="1:12">
      <c r="A3989" s="3" t="s">
        <v>2194</v>
      </c>
      <c r="B3989" s="3" t="s">
        <v>3663</v>
      </c>
      <c r="C3989" s="3" t="s">
        <v>3749</v>
      </c>
      <c r="D3989" s="3"/>
      <c r="E3989" s="2" t="str">
        <f>HYPERLINK("https://old.ukr-mobil.com/zadnyaya_kryshka_samsung_a600_galaxy_a6_original_gold_12219", "Перейти")</f>
        <v>Перейти</v>
      </c>
      <c r="F3989" s="2">
        <v>12219</v>
      </c>
      <c r="G3989" s="4" t="s">
        <v>4134</v>
      </c>
      <c r="H3989" s="1">
        <v>4</v>
      </c>
      <c r="I3989" s="1">
        <v>0</v>
      </c>
      <c r="J3989" s="1">
        <v>2</v>
      </c>
      <c r="K3989" s="2">
        <v>12.0</v>
      </c>
    </row>
    <row r="3990" spans="1:12">
      <c r="A3990" s="3" t="s">
        <v>2194</v>
      </c>
      <c r="B3990" s="3" t="s">
        <v>3663</v>
      </c>
      <c r="C3990" s="3" t="s">
        <v>3749</v>
      </c>
      <c r="D3990" s="3"/>
      <c r="E3990" s="2" t="str">
        <f>HYPERLINK("https://old.ukr-mobil.com/zadnyaya_kryshka_samsung_a605_galaxy_a6_plus_2018_original_black_12114", "Перейти")</f>
        <v>Перейти</v>
      </c>
      <c r="F3990" s="2">
        <v>12114</v>
      </c>
      <c r="G3990" s="4" t="s">
        <v>4135</v>
      </c>
      <c r="H3990" s="1">
        <v>0</v>
      </c>
      <c r="I3990" s="1">
        <v>0</v>
      </c>
      <c r="J3990" s="1">
        <v>0</v>
      </c>
      <c r="K3990" s="2">
        <v>6.75</v>
      </c>
    </row>
    <row r="3991" spans="1:12">
      <c r="A3991" s="3" t="s">
        <v>2194</v>
      </c>
      <c r="B3991" s="3" t="s">
        <v>3663</v>
      </c>
      <c r="C3991" s="3" t="s">
        <v>3749</v>
      </c>
      <c r="D3991" s="3"/>
      <c r="E3991" s="2" t="str">
        <f>HYPERLINK("https://old.ukr-mobil.com/zadnyaya_kryshka_samsung_a605_galaxy_a6_plus_2018_original_blue_12214", "Перейти")</f>
        <v>Перейти</v>
      </c>
      <c r="F3991" s="2">
        <v>12214</v>
      </c>
      <c r="G3991" s="4" t="s">
        <v>4136</v>
      </c>
      <c r="H3991" s="1">
        <v>0</v>
      </c>
      <c r="I3991" s="1">
        <v>0</v>
      </c>
      <c r="J3991" s="1">
        <v>0</v>
      </c>
      <c r="K3991" s="2">
        <v>6.75</v>
      </c>
    </row>
    <row r="3992" spans="1:12">
      <c r="A3992" s="3" t="s">
        <v>2194</v>
      </c>
      <c r="B3992" s="3" t="s">
        <v>3663</v>
      </c>
      <c r="C3992" s="3" t="s">
        <v>3749</v>
      </c>
      <c r="D3992" s="3"/>
      <c r="E3992" s="2" t="str">
        <f>HYPERLINK("https://old.ukr-mobil.com/zadnyaya_kryshka_samsung_a605_galaxy_a6_plus_2018_original_gold_109", "Перейти")</f>
        <v>Перейти</v>
      </c>
      <c r="F3992" s="2">
        <v>109</v>
      </c>
      <c r="G3992" s="4" t="s">
        <v>4137</v>
      </c>
      <c r="H3992" s="1">
        <v>7</v>
      </c>
      <c r="I3992" s="1">
        <v>0</v>
      </c>
      <c r="J3992" s="1">
        <v>2</v>
      </c>
      <c r="K3992" s="2">
        <v>6.75</v>
      </c>
    </row>
    <row r="3993" spans="1:12">
      <c r="A3993" s="3" t="s">
        <v>2194</v>
      </c>
      <c r="B3993" s="3" t="s">
        <v>3663</v>
      </c>
      <c r="C3993" s="3" t="s">
        <v>3749</v>
      </c>
      <c r="D3993" s="3"/>
      <c r="E3993" s="2" t="str">
        <f>HYPERLINK("https://old.ukr-mobil.com/zadnyaya_kryshka_samsung_a750_galaxy_a7_2018_original_black_12112", "Перейти")</f>
        <v>Перейти</v>
      </c>
      <c r="F3993" s="2">
        <v>12112</v>
      </c>
      <c r="G3993" s="4" t="s">
        <v>4138</v>
      </c>
      <c r="H3993" s="1">
        <v>0</v>
      </c>
      <c r="I3993" s="1">
        <v>3</v>
      </c>
      <c r="J3993" s="1">
        <v>2</v>
      </c>
      <c r="K3993" s="2">
        <v>2.85</v>
      </c>
    </row>
    <row r="3994" spans="1:12">
      <c r="A3994" s="3" t="s">
        <v>2194</v>
      </c>
      <c r="B3994" s="3" t="s">
        <v>3663</v>
      </c>
      <c r="C3994" s="3" t="s">
        <v>3749</v>
      </c>
      <c r="D3994" s="3"/>
      <c r="E3994" s="2" t="str">
        <f>HYPERLINK("https://old.ukr-mobil.com/zadnyaya_kryshka_samsung_a750_galaxy_a7_2018_original_blue_12179", "Перейти")</f>
        <v>Перейти</v>
      </c>
      <c r="F3994" s="2">
        <v>12179</v>
      </c>
      <c r="G3994" s="4" t="s">
        <v>4139</v>
      </c>
      <c r="H3994" s="1">
        <v>0</v>
      </c>
      <c r="I3994" s="1">
        <v>0</v>
      </c>
      <c r="J3994" s="1">
        <v>0</v>
      </c>
      <c r="K3994" s="2">
        <v>2.5</v>
      </c>
    </row>
    <row r="3995" spans="1:12">
      <c r="A3995" s="3" t="s">
        <v>2194</v>
      </c>
      <c r="B3995" s="3" t="s">
        <v>3663</v>
      </c>
      <c r="C3995" s="3" t="s">
        <v>3749</v>
      </c>
      <c r="D3995" s="3"/>
      <c r="E3995" s="2" t="str">
        <f>HYPERLINK("https://old.ukr-mobil.com/zadnyaya_kryshka_samsung_a750_galaxy_a7_2018_original_gold_12180", "Перейти")</f>
        <v>Перейти</v>
      </c>
      <c r="F3995" s="2">
        <v>12180</v>
      </c>
      <c r="G3995" s="4" t="s">
        <v>4140</v>
      </c>
      <c r="H3995" s="1">
        <v>2</v>
      </c>
      <c r="I3995" s="1">
        <v>5</v>
      </c>
      <c r="J3995" s="1">
        <v>5</v>
      </c>
      <c r="K3995" s="2">
        <v>2.7</v>
      </c>
    </row>
    <row r="3996" spans="1:12">
      <c r="A3996" s="3" t="s">
        <v>2194</v>
      </c>
      <c r="B3996" s="3" t="s">
        <v>3663</v>
      </c>
      <c r="C3996" s="3" t="s">
        <v>3749</v>
      </c>
      <c r="D3996" s="3"/>
      <c r="E3996" s="2" t="str">
        <f>HYPERLINK("https://old.ukr-mobil.com/zadnyaya_kryshka_samsung_a750_galaxy_a7_2018_original_pink_12181", "Перейти")</f>
        <v>Перейти</v>
      </c>
      <c r="F3996" s="2">
        <v>12181</v>
      </c>
      <c r="G3996" s="4" t="s">
        <v>4141</v>
      </c>
      <c r="H3996" s="1">
        <v>2</v>
      </c>
      <c r="I3996" s="1">
        <v>2</v>
      </c>
      <c r="J3996" s="1">
        <v>1</v>
      </c>
      <c r="K3996" s="2">
        <v>2.75</v>
      </c>
    </row>
    <row r="3997" spans="1:12">
      <c r="A3997" s="3" t="s">
        <v>2194</v>
      </c>
      <c r="B3997" s="3" t="s">
        <v>3663</v>
      </c>
      <c r="C3997" s="3" t="s">
        <v>3749</v>
      </c>
      <c r="D3997" s="3"/>
      <c r="E3997" s="2" t="str">
        <f>HYPERLINK("https://old.ukr-mobil.com/index.php?route=product&amp;product_id=10005502", "Перейти")</f>
        <v>Перейти</v>
      </c>
      <c r="F3997" s="2">
        <v>10005502</v>
      </c>
      <c r="G3997" s="4" t="s">
        <v>4142</v>
      </c>
      <c r="H3997" s="1">
        <v>3</v>
      </c>
      <c r="I3997" s="1">
        <v>2</v>
      </c>
      <c r="J3997" s="1">
        <v>0</v>
      </c>
      <c r="K3997" s="2">
        <v>22.95</v>
      </c>
    </row>
    <row r="3998" spans="1:12">
      <c r="A3998" s="3" t="s">
        <v>2194</v>
      </c>
      <c r="B3998" s="3" t="s">
        <v>3663</v>
      </c>
      <c r="C3998" s="3" t="s">
        <v>3749</v>
      </c>
      <c r="D3998" s="3"/>
      <c r="E3998" s="2" t="str">
        <f>HYPERLINK("https://old.ukr-mobil.com/index.php?route=product&amp;product_id=10005501", "Перейти")</f>
        <v>Перейти</v>
      </c>
      <c r="F3998" s="2">
        <v>10005501</v>
      </c>
      <c r="G3998" s="4" t="s">
        <v>4143</v>
      </c>
      <c r="H3998" s="1">
        <v>7</v>
      </c>
      <c r="I3998" s="1">
        <v>2</v>
      </c>
      <c r="J3998" s="1">
        <v>0</v>
      </c>
      <c r="K3998" s="2">
        <v>22.95</v>
      </c>
    </row>
    <row r="3999" spans="1:12">
      <c r="A3999" s="3" t="s">
        <v>2194</v>
      </c>
      <c r="B3999" s="3" t="s">
        <v>3663</v>
      </c>
      <c r="C3999" s="3" t="s">
        <v>3749</v>
      </c>
      <c r="D3999" s="3"/>
      <c r="E3999" s="2" t="str">
        <f>HYPERLINK("https://old.ukr-mobil.com/index.php?route=product&amp;product_id=10005503", "Перейти")</f>
        <v>Перейти</v>
      </c>
      <c r="F3999" s="2">
        <v>10005503</v>
      </c>
      <c r="G3999" s="4" t="s">
        <v>4144</v>
      </c>
      <c r="H3999" s="1">
        <v>8</v>
      </c>
      <c r="I3999" s="1">
        <v>2</v>
      </c>
      <c r="J3999" s="1">
        <v>0</v>
      </c>
      <c r="K3999" s="2">
        <v>22.95</v>
      </c>
    </row>
    <row r="4000" spans="1:12">
      <c r="A4000" s="3" t="s">
        <v>2194</v>
      </c>
      <c r="B4000" s="3" t="s">
        <v>3663</v>
      </c>
      <c r="C4000" s="3" t="s">
        <v>3749</v>
      </c>
      <c r="D4000" s="3"/>
      <c r="E4000" s="2" t="str">
        <f>HYPERLINK("https://old.ukr-mobil.com/index.php?route=product&amp;product_id=10005500", "Перейти")</f>
        <v>Перейти</v>
      </c>
      <c r="F4000" s="2">
        <v>10005500</v>
      </c>
      <c r="G4000" s="4" t="s">
        <v>4145</v>
      </c>
      <c r="H4000" s="1">
        <v>6</v>
      </c>
      <c r="I4000" s="1">
        <v>0</v>
      </c>
      <c r="J4000" s="1">
        <v>0</v>
      </c>
      <c r="K4000" s="2">
        <v>22.95</v>
      </c>
    </row>
    <row r="4001" spans="1:12">
      <c r="A4001" s="3" t="s">
        <v>2194</v>
      </c>
      <c r="B4001" s="3" t="s">
        <v>3663</v>
      </c>
      <c r="C4001" s="3" t="s">
        <v>3749</v>
      </c>
      <c r="D4001" s="3"/>
      <c r="E4001" s="2" t="str">
        <f>HYPERLINK("https://old.ukr-mobil.com/index.php?route=product&amp;product_id=10005492", "Перейти")</f>
        <v>Перейти</v>
      </c>
      <c r="F4001" s="2">
        <v>10005492</v>
      </c>
      <c r="G4001" s="4" t="s">
        <v>4146</v>
      </c>
      <c r="H4001" s="1">
        <v>3</v>
      </c>
      <c r="I4001" s="1">
        <v>2</v>
      </c>
      <c r="J4001" s="1">
        <v>0</v>
      </c>
      <c r="K4001" s="2">
        <v>19.45</v>
      </c>
    </row>
    <row r="4002" spans="1:12">
      <c r="A4002" s="3" t="s">
        <v>2194</v>
      </c>
      <c r="B4002" s="3" t="s">
        <v>3663</v>
      </c>
      <c r="C4002" s="3" t="s">
        <v>3749</v>
      </c>
      <c r="D4002" s="3"/>
      <c r="E4002" s="2" t="str">
        <f>HYPERLINK("https://old.ukr-mobil.com/index.php?route=product&amp;product_id=10005493", "Перейти")</f>
        <v>Перейти</v>
      </c>
      <c r="F4002" s="2">
        <v>10005493</v>
      </c>
      <c r="G4002" s="4" t="s">
        <v>4147</v>
      </c>
      <c r="H4002" s="1">
        <v>15</v>
      </c>
      <c r="I4002" s="1">
        <v>4</v>
      </c>
      <c r="J4002" s="1">
        <v>0</v>
      </c>
      <c r="K4002" s="2">
        <v>20.0</v>
      </c>
    </row>
    <row r="4003" spans="1:12">
      <c r="A4003" s="3" t="s">
        <v>2194</v>
      </c>
      <c r="B4003" s="3" t="s">
        <v>3663</v>
      </c>
      <c r="C4003" s="3" t="s">
        <v>3749</v>
      </c>
      <c r="D4003" s="3"/>
      <c r="E4003" s="2" t="str">
        <f>HYPERLINK("https://old.ukr-mobil.com/index.php?route=product&amp;product_id=10005494", "Перейти")</f>
        <v>Перейти</v>
      </c>
      <c r="F4003" s="2">
        <v>10005494</v>
      </c>
      <c r="G4003" s="4" t="s">
        <v>4148</v>
      </c>
      <c r="H4003" s="1">
        <v>2</v>
      </c>
      <c r="I4003" s="1">
        <v>0</v>
      </c>
      <c r="J4003" s="1">
        <v>0</v>
      </c>
      <c r="K4003" s="2">
        <v>14.95</v>
      </c>
    </row>
    <row r="4004" spans="1:12">
      <c r="A4004" s="3" t="s">
        <v>2194</v>
      </c>
      <c r="B4004" s="3" t="s">
        <v>3663</v>
      </c>
      <c r="C4004" s="3" t="s">
        <v>3749</v>
      </c>
      <c r="D4004" s="3"/>
      <c r="E4004" s="2" t="str">
        <f>HYPERLINK("https://old.ukr-mobil.com/index.php?route=product&amp;product_id=10005496", "Перейти")</f>
        <v>Перейти</v>
      </c>
      <c r="F4004" s="2">
        <v>10005496</v>
      </c>
      <c r="G4004" s="4" t="s">
        <v>4149</v>
      </c>
      <c r="H4004" s="1">
        <v>7</v>
      </c>
      <c r="I4004" s="1">
        <v>2</v>
      </c>
      <c r="J4004" s="1">
        <v>0</v>
      </c>
      <c r="K4004" s="2">
        <v>18.0</v>
      </c>
    </row>
    <row r="4005" spans="1:12">
      <c r="A4005" s="3" t="s">
        <v>2194</v>
      </c>
      <c r="B4005" s="3" t="s">
        <v>3663</v>
      </c>
      <c r="C4005" s="3" t="s">
        <v>3749</v>
      </c>
      <c r="D4005" s="3"/>
      <c r="E4005" s="2" t="str">
        <f>HYPERLINK("https://old.ukr-mobil.com/index.php?route=product&amp;product_id=10005497", "Перейти")</f>
        <v>Перейти</v>
      </c>
      <c r="F4005" s="2">
        <v>10005497</v>
      </c>
      <c r="G4005" s="4" t="s">
        <v>4150</v>
      </c>
      <c r="H4005" s="1">
        <v>5</v>
      </c>
      <c r="I4005" s="1">
        <v>2</v>
      </c>
      <c r="J4005" s="1">
        <v>0</v>
      </c>
      <c r="K4005" s="2">
        <v>18.45</v>
      </c>
    </row>
    <row r="4006" spans="1:12">
      <c r="A4006" s="3" t="s">
        <v>2194</v>
      </c>
      <c r="B4006" s="3" t="s">
        <v>3663</v>
      </c>
      <c r="C4006" s="3" t="s">
        <v>3749</v>
      </c>
      <c r="D4006" s="3"/>
      <c r="E4006" s="2" t="str">
        <f>HYPERLINK("https://old.ukr-mobil.com/index.php?route=product&amp;product_id=10005499", "Перейти")</f>
        <v>Перейти</v>
      </c>
      <c r="F4006" s="2">
        <v>10005499</v>
      </c>
      <c r="G4006" s="4" t="s">
        <v>4151</v>
      </c>
      <c r="H4006" s="1">
        <v>1</v>
      </c>
      <c r="I4006" s="1">
        <v>1</v>
      </c>
      <c r="J4006" s="1">
        <v>0</v>
      </c>
      <c r="K4006" s="2">
        <v>21.0</v>
      </c>
    </row>
    <row r="4007" spans="1:12">
      <c r="A4007" s="3" t="s">
        <v>2194</v>
      </c>
      <c r="B4007" s="3" t="s">
        <v>3663</v>
      </c>
      <c r="C4007" s="3" t="s">
        <v>3749</v>
      </c>
      <c r="D4007" s="3"/>
      <c r="E4007" s="2" t="str">
        <f>HYPERLINK("https://old.ukr-mobil.com/index.php?route=product&amp;product_id=10005498", "Перейти")</f>
        <v>Перейти</v>
      </c>
      <c r="F4007" s="2">
        <v>10005498</v>
      </c>
      <c r="G4007" s="4" t="s">
        <v>4152</v>
      </c>
      <c r="H4007" s="1">
        <v>6</v>
      </c>
      <c r="I4007" s="1">
        <v>2</v>
      </c>
      <c r="J4007" s="1">
        <v>0</v>
      </c>
      <c r="K4007" s="2">
        <v>21.0</v>
      </c>
    </row>
    <row r="4008" spans="1:12">
      <c r="A4008" s="3" t="s">
        <v>2194</v>
      </c>
      <c r="B4008" s="3" t="s">
        <v>3663</v>
      </c>
      <c r="C4008" s="3" t="s">
        <v>3749</v>
      </c>
      <c r="D4008" s="3"/>
      <c r="E4008" s="2" t="str">
        <f>HYPERLINK("https://old.ukr-mobil.com/zadnyaya_kryshka_samsung_g532_galaxy_j2_prime_black_10817", "Перейти")</f>
        <v>Перейти</v>
      </c>
      <c r="F4008" s="2">
        <v>10817</v>
      </c>
      <c r="G4008" s="4" t="s">
        <v>4153</v>
      </c>
      <c r="H4008" s="1">
        <v>0</v>
      </c>
      <c r="I4008" s="1">
        <v>0</v>
      </c>
      <c r="J4008" s="1">
        <v>0</v>
      </c>
      <c r="K4008" s="2">
        <v>1.92</v>
      </c>
    </row>
    <row r="4009" spans="1:12">
      <c r="A4009" s="3" t="s">
        <v>2194</v>
      </c>
      <c r="B4009" s="3" t="s">
        <v>3663</v>
      </c>
      <c r="C4009" s="3" t="s">
        <v>3749</v>
      </c>
      <c r="D4009" s="3"/>
      <c r="E4009" s="2" t="str">
        <f>HYPERLINK("https://old.ukr-mobil.com/zadnyaya_kryshka_samsung_g532_galaxy_j2_prime_gold_10820", "Перейти")</f>
        <v>Перейти</v>
      </c>
      <c r="F4009" s="2">
        <v>10820</v>
      </c>
      <c r="G4009" s="4" t="s">
        <v>4154</v>
      </c>
      <c r="H4009" s="1">
        <v>0</v>
      </c>
      <c r="I4009" s="1">
        <v>0</v>
      </c>
      <c r="J4009" s="1">
        <v>0</v>
      </c>
      <c r="K4009" s="2">
        <v>1.92</v>
      </c>
    </row>
    <row r="4010" spans="1:12">
      <c r="A4010" s="3" t="s">
        <v>2194</v>
      </c>
      <c r="B4010" s="3" t="s">
        <v>3663</v>
      </c>
      <c r="C4010" s="3" t="s">
        <v>3749</v>
      </c>
      <c r="D4010" s="3"/>
      <c r="E4010" s="2" t="str">
        <f>HYPERLINK("https://old.ukr-mobil.com/zadnyaya_kryshka_samsung_g532_galaxy_j2_prime_pink_10000371", "Перейти")</f>
        <v>Перейти</v>
      </c>
      <c r="F4010" s="2">
        <v>10000371</v>
      </c>
      <c r="G4010" s="4" t="s">
        <v>4155</v>
      </c>
      <c r="H4010" s="1">
        <v>1</v>
      </c>
      <c r="I4010" s="1">
        <v>0</v>
      </c>
      <c r="J4010" s="1">
        <v>0</v>
      </c>
      <c r="K4010" s="2">
        <v>0.45</v>
      </c>
    </row>
    <row r="4011" spans="1:12">
      <c r="A4011" s="3" t="s">
        <v>2194</v>
      </c>
      <c r="B4011" s="3" t="s">
        <v>3663</v>
      </c>
      <c r="C4011" s="3" t="s">
        <v>3749</v>
      </c>
      <c r="D4011" s="3"/>
      <c r="E4011" s="2" t="str">
        <f>HYPERLINK("https://old.ukr-mobil.com/zadnyaya_kryshka_samsung_g532_galaxy_j2_prime_silver_10000373", "Перейти")</f>
        <v>Перейти</v>
      </c>
      <c r="F4011" s="2">
        <v>10000373</v>
      </c>
      <c r="G4011" s="4" t="s">
        <v>4156</v>
      </c>
      <c r="H4011" s="1">
        <v>0</v>
      </c>
      <c r="I4011" s="1">
        <v>0</v>
      </c>
      <c r="J4011" s="1">
        <v>0</v>
      </c>
      <c r="K4011" s="2">
        <v>1.92</v>
      </c>
    </row>
    <row r="4012" spans="1:12">
      <c r="A4012" s="3" t="s">
        <v>2194</v>
      </c>
      <c r="B4012" s="3" t="s">
        <v>3663</v>
      </c>
      <c r="C4012" s="3" t="s">
        <v>3749</v>
      </c>
      <c r="D4012" s="3"/>
      <c r="E4012" s="2" t="str">
        <f>HYPERLINK("https://old.ukr-mobil.com/zadnyaya_kryshka_samsung_g532_galaxy_j2_prime_white_10819", "Перейти")</f>
        <v>Перейти</v>
      </c>
      <c r="F4012" s="2">
        <v>10819</v>
      </c>
      <c r="G4012" s="4" t="s">
        <v>4157</v>
      </c>
      <c r="H4012" s="1">
        <v>0</v>
      </c>
      <c r="I4012" s="1">
        <v>0</v>
      </c>
      <c r="J4012" s="1">
        <v>0</v>
      </c>
      <c r="K4012" s="2">
        <v>1.92</v>
      </c>
    </row>
    <row r="4013" spans="1:12">
      <c r="A4013" s="3" t="s">
        <v>2194</v>
      </c>
      <c r="B4013" s="3" t="s">
        <v>3663</v>
      </c>
      <c r="C4013" s="3" t="s">
        <v>3749</v>
      </c>
      <c r="D4013" s="3"/>
      <c r="E4013" s="2" t="str">
        <f>HYPERLINK("https://old.ukr-mobil.com/zadnyaya_kryshka_samsung_g780_galaxy_s20_fe_original_prc_blue_10002582", "Перейти")</f>
        <v>Перейти</v>
      </c>
      <c r="F4013" s="2">
        <v>10002582</v>
      </c>
      <c r="G4013" s="4" t="s">
        <v>4158</v>
      </c>
      <c r="H4013" s="1">
        <v>0</v>
      </c>
      <c r="I4013" s="1">
        <v>0</v>
      </c>
      <c r="J4013" s="1">
        <v>0</v>
      </c>
      <c r="K4013" s="2">
        <v>4.0</v>
      </c>
    </row>
    <row r="4014" spans="1:12">
      <c r="A4014" s="3" t="s">
        <v>2194</v>
      </c>
      <c r="B4014" s="3" t="s">
        <v>3663</v>
      </c>
      <c r="C4014" s="3" t="s">
        <v>3749</v>
      </c>
      <c r="D4014" s="3"/>
      <c r="E4014" s="2" t="str">
        <f>HYPERLINK("https://old.ukr-mobil.com/zadnyaya_kryshka_samsung_g780_galaxy_s20_fe_original_prc_green_10002587", "Перейти")</f>
        <v>Перейти</v>
      </c>
      <c r="F4014" s="2">
        <v>10002587</v>
      </c>
      <c r="G4014" s="4" t="s">
        <v>4159</v>
      </c>
      <c r="H4014" s="1">
        <v>0</v>
      </c>
      <c r="I4014" s="1">
        <v>2</v>
      </c>
      <c r="J4014" s="1">
        <v>0</v>
      </c>
      <c r="K4014" s="2">
        <v>4.0</v>
      </c>
    </row>
    <row r="4015" spans="1:12">
      <c r="A4015" s="3" t="s">
        <v>2194</v>
      </c>
      <c r="B4015" s="3" t="s">
        <v>3663</v>
      </c>
      <c r="C4015" s="3" t="s">
        <v>3749</v>
      </c>
      <c r="D4015" s="3"/>
      <c r="E4015" s="2" t="str">
        <f>HYPERLINK("https://old.ukr-mobil.com/zadnyaya_kryshka_samsung_g780_galaxy_s20_fe_original_prc_light_violet_10002590", "Перейти")</f>
        <v>Перейти</v>
      </c>
      <c r="F4015" s="2">
        <v>10002590</v>
      </c>
      <c r="G4015" s="4" t="s">
        <v>4160</v>
      </c>
      <c r="H4015" s="1">
        <v>8</v>
      </c>
      <c r="I4015" s="1">
        <v>2</v>
      </c>
      <c r="J4015" s="1">
        <v>4</v>
      </c>
      <c r="K4015" s="2">
        <v>4.0</v>
      </c>
    </row>
    <row r="4016" spans="1:12">
      <c r="A4016" s="3" t="s">
        <v>2194</v>
      </c>
      <c r="B4016" s="3" t="s">
        <v>3663</v>
      </c>
      <c r="C4016" s="3" t="s">
        <v>3749</v>
      </c>
      <c r="D4016" s="3"/>
      <c r="E4016" s="2" t="str">
        <f>HYPERLINK("https://old.ukr-mobil.com/zadnyaya_kryshka_samsung_g780_galaxy_s20_fe_original_prc_orange_10002588", "Перейти")</f>
        <v>Перейти</v>
      </c>
      <c r="F4016" s="2">
        <v>10002588</v>
      </c>
      <c r="G4016" s="4" t="s">
        <v>4161</v>
      </c>
      <c r="H4016" s="1">
        <v>9</v>
      </c>
      <c r="I4016" s="1">
        <v>5</v>
      </c>
      <c r="J4016" s="1">
        <v>5</v>
      </c>
      <c r="K4016" s="2">
        <v>4.0</v>
      </c>
    </row>
    <row r="4017" spans="1:12">
      <c r="A4017" s="3" t="s">
        <v>2194</v>
      </c>
      <c r="B4017" s="3" t="s">
        <v>3663</v>
      </c>
      <c r="C4017" s="3" t="s">
        <v>3749</v>
      </c>
      <c r="D4017" s="3"/>
      <c r="E4017" s="2" t="str">
        <f>HYPERLINK("https://old.ukr-mobil.com/zadnyaya_kryshka_samsung_g780_galaxy_s20_fe_original_prc_red_10002589", "Перейти")</f>
        <v>Перейти</v>
      </c>
      <c r="F4017" s="2">
        <v>10002589</v>
      </c>
      <c r="G4017" s="4" t="s">
        <v>4162</v>
      </c>
      <c r="H4017" s="1">
        <v>8</v>
      </c>
      <c r="I4017" s="1">
        <v>6</v>
      </c>
      <c r="J4017" s="1">
        <v>5</v>
      </c>
      <c r="K4017" s="2">
        <v>4.0</v>
      </c>
    </row>
    <row r="4018" spans="1:12">
      <c r="A4018" s="3" t="s">
        <v>2194</v>
      </c>
      <c r="B4018" s="3" t="s">
        <v>3663</v>
      </c>
      <c r="C4018" s="3" t="s">
        <v>3749</v>
      </c>
      <c r="D4018" s="3"/>
      <c r="E4018" s="2" t="str">
        <f>HYPERLINK("https://old.ukr-mobil.com/zadnyaya_kryshka_samsung_g780_galaxy_s20_fe_original_prc_white_10002591", "Перейти")</f>
        <v>Перейти</v>
      </c>
      <c r="F4018" s="2">
        <v>10002591</v>
      </c>
      <c r="G4018" s="4" t="s">
        <v>4163</v>
      </c>
      <c r="H4018" s="1">
        <v>6</v>
      </c>
      <c r="I4018" s="1">
        <v>5</v>
      </c>
      <c r="J4018" s="1">
        <v>5</v>
      </c>
      <c r="K4018" s="2">
        <v>4.0</v>
      </c>
    </row>
    <row r="4019" spans="1:12">
      <c r="A4019" s="3" t="s">
        <v>2194</v>
      </c>
      <c r="B4019" s="3" t="s">
        <v>3663</v>
      </c>
      <c r="C4019" s="3" t="s">
        <v>3749</v>
      </c>
      <c r="D4019" s="3"/>
      <c r="E4019" s="2" t="str">
        <f>HYPERLINK("https://old.ukr-mobil.com/zadnyaya_kryshka_samsung_g928_galaxy_s6_edge_plus_original_prc_blue_8664", "Перейти")</f>
        <v>Перейти</v>
      </c>
      <c r="F4019" s="2">
        <v>8664</v>
      </c>
      <c r="G4019" s="4" t="s">
        <v>4164</v>
      </c>
      <c r="H4019" s="1">
        <v>0</v>
      </c>
      <c r="I4019" s="1">
        <v>0</v>
      </c>
      <c r="J4019" s="1">
        <v>0</v>
      </c>
      <c r="K4019" s="2">
        <v>3.25</v>
      </c>
    </row>
    <row r="4020" spans="1:12">
      <c r="A4020" s="3" t="s">
        <v>2194</v>
      </c>
      <c r="B4020" s="3" t="s">
        <v>3663</v>
      </c>
      <c r="C4020" s="3" t="s">
        <v>3749</v>
      </c>
      <c r="D4020" s="3"/>
      <c r="E4020" s="2" t="str">
        <f>HYPERLINK("https://old.ukr-mobil.com/zadnyaya_kryshka_samsung_g928_galaxy_s6_edge_plus_original_prc_gold_8666", "Перейти")</f>
        <v>Перейти</v>
      </c>
      <c r="F4020" s="2">
        <v>8666</v>
      </c>
      <c r="G4020" s="4" t="s">
        <v>4165</v>
      </c>
      <c r="H4020" s="1">
        <v>0</v>
      </c>
      <c r="I4020" s="1">
        <v>0</v>
      </c>
      <c r="J4020" s="1">
        <v>0</v>
      </c>
      <c r="K4020" s="2">
        <v>3.53</v>
      </c>
    </row>
    <row r="4021" spans="1:12">
      <c r="A4021" s="3" t="s">
        <v>2194</v>
      </c>
      <c r="B4021" s="3" t="s">
        <v>3663</v>
      </c>
      <c r="C4021" s="3" t="s">
        <v>3749</v>
      </c>
      <c r="D4021" s="3"/>
      <c r="E4021" s="2" t="str">
        <f>HYPERLINK("https://old.ukr-mobil.com/zadnyaya_kryshka_samsung_g928_galaxy_s6_edge_plus_original_prc_white_8665", "Перейти")</f>
        <v>Перейти</v>
      </c>
      <c r="F4021" s="2">
        <v>8665</v>
      </c>
      <c r="G4021" s="4" t="s">
        <v>4166</v>
      </c>
      <c r="H4021" s="1">
        <v>1</v>
      </c>
      <c r="I4021" s="1">
        <v>0</v>
      </c>
      <c r="J4021" s="1">
        <v>0</v>
      </c>
      <c r="K4021" s="2">
        <v>4.03</v>
      </c>
    </row>
    <row r="4022" spans="1:12">
      <c r="A4022" s="3" t="s">
        <v>2194</v>
      </c>
      <c r="B4022" s="3" t="s">
        <v>3663</v>
      </c>
      <c r="C4022" s="3" t="s">
        <v>3749</v>
      </c>
      <c r="D4022" s="3"/>
      <c r="E4022" s="2" t="str">
        <f>HYPERLINK("https://old.ukr-mobil.com/zadnyaya_kryshka_samsung_g930_galaxy_s7_original_prc_black_100", "Перейти")</f>
        <v>Перейти</v>
      </c>
      <c r="F4022" s="2">
        <v>100</v>
      </c>
      <c r="G4022" s="4" t="s">
        <v>4167</v>
      </c>
      <c r="H4022" s="1">
        <v>0</v>
      </c>
      <c r="I4022" s="1">
        <v>0</v>
      </c>
      <c r="J4022" s="1">
        <v>0</v>
      </c>
      <c r="K4022" s="2">
        <v>2.25</v>
      </c>
    </row>
    <row r="4023" spans="1:12">
      <c r="A4023" s="3" t="s">
        <v>2194</v>
      </c>
      <c r="B4023" s="3" t="s">
        <v>3663</v>
      </c>
      <c r="C4023" s="3" t="s">
        <v>3749</v>
      </c>
      <c r="D4023" s="3"/>
      <c r="E4023" s="2" t="str">
        <f>HYPERLINK("https://old.ukr-mobil.com/zadnyaya_kryshka_samsung_g930_galaxy_s7_original_prc_gold_7586", "Перейти")</f>
        <v>Перейти</v>
      </c>
      <c r="F4023" s="2">
        <v>7586</v>
      </c>
      <c r="G4023" s="4" t="s">
        <v>4168</v>
      </c>
      <c r="H4023" s="1">
        <v>0</v>
      </c>
      <c r="I4023" s="1">
        <v>0</v>
      </c>
      <c r="J4023" s="1">
        <v>0</v>
      </c>
      <c r="K4023" s="2">
        <v>3.0</v>
      </c>
    </row>
    <row r="4024" spans="1:12">
      <c r="A4024" s="3" t="s">
        <v>2194</v>
      </c>
      <c r="B4024" s="3" t="s">
        <v>3663</v>
      </c>
      <c r="C4024" s="3" t="s">
        <v>3749</v>
      </c>
      <c r="D4024" s="3"/>
      <c r="E4024" s="2" t="str">
        <f>HYPERLINK("https://old.ukr-mobil.com/zadnyaya_kryshka_samsung_g930_galaxy_s7_original_prc_silver_8668", "Перейти")</f>
        <v>Перейти</v>
      </c>
      <c r="F4024" s="2">
        <v>8668</v>
      </c>
      <c r="G4024" s="4" t="s">
        <v>4169</v>
      </c>
      <c r="H4024" s="1">
        <v>0</v>
      </c>
      <c r="I4024" s="1">
        <v>0</v>
      </c>
      <c r="J4024" s="1">
        <v>0</v>
      </c>
      <c r="K4024" s="2">
        <v>4.0</v>
      </c>
    </row>
    <row r="4025" spans="1:12">
      <c r="A4025" s="3" t="s">
        <v>2194</v>
      </c>
      <c r="B4025" s="3" t="s">
        <v>3663</v>
      </c>
      <c r="C4025" s="3" t="s">
        <v>3749</v>
      </c>
      <c r="D4025" s="3"/>
      <c r="E4025" s="2" t="str">
        <f>HYPERLINK("https://old.ukr-mobil.com/zadnyaya_kryshka_samsung_g930_galaxy_s7_original_prc_white_7585", "Перейти")</f>
        <v>Перейти</v>
      </c>
      <c r="F4025" s="2">
        <v>7585</v>
      </c>
      <c r="G4025" s="4" t="s">
        <v>4170</v>
      </c>
      <c r="H4025" s="1">
        <v>0</v>
      </c>
      <c r="I4025" s="1">
        <v>0</v>
      </c>
      <c r="J4025" s="1">
        <v>0</v>
      </c>
      <c r="K4025" s="2">
        <v>4.54</v>
      </c>
    </row>
    <row r="4026" spans="1:12">
      <c r="A4026" s="3" t="s">
        <v>2194</v>
      </c>
      <c r="B4026" s="3" t="s">
        <v>3663</v>
      </c>
      <c r="C4026" s="3" t="s">
        <v>3749</v>
      </c>
      <c r="D4026" s="3"/>
      <c r="E4026" s="2" t="str">
        <f>HYPERLINK("https://old.ukr-mobil.com/zadnyaya_kryshka_samsung_g935_galaxy_s7_edge_high_copy_black_7587", "Перейти")</f>
        <v>Перейти</v>
      </c>
      <c r="F4026" s="2">
        <v>7587</v>
      </c>
      <c r="G4026" s="4" t="s">
        <v>4171</v>
      </c>
      <c r="H4026" s="1">
        <v>0</v>
      </c>
      <c r="I4026" s="1">
        <v>0</v>
      </c>
      <c r="J4026" s="1">
        <v>0</v>
      </c>
      <c r="K4026" s="2">
        <v>2.4</v>
      </c>
    </row>
    <row r="4027" spans="1:12">
      <c r="A4027" s="3" t="s">
        <v>2194</v>
      </c>
      <c r="B4027" s="3" t="s">
        <v>3663</v>
      </c>
      <c r="C4027" s="3" t="s">
        <v>3749</v>
      </c>
      <c r="D4027" s="3"/>
      <c r="E4027" s="2" t="str">
        <f>HYPERLINK("https://old.ukr-mobil.com/zadnyaya_kryshka_samsung_g935_galaxy_s7_edge_high_copy_gold_7589", "Перейти")</f>
        <v>Перейти</v>
      </c>
      <c r="F4027" s="2">
        <v>7589</v>
      </c>
      <c r="G4027" s="4" t="s">
        <v>4172</v>
      </c>
      <c r="H4027" s="1">
        <v>0</v>
      </c>
      <c r="I4027" s="1">
        <v>0</v>
      </c>
      <c r="J4027" s="1">
        <v>0</v>
      </c>
      <c r="K4027" s="2">
        <v>2.02</v>
      </c>
    </row>
    <row r="4028" spans="1:12">
      <c r="A4028" s="3" t="s">
        <v>2194</v>
      </c>
      <c r="B4028" s="3" t="s">
        <v>3663</v>
      </c>
      <c r="C4028" s="3" t="s">
        <v>3749</v>
      </c>
      <c r="D4028" s="3"/>
      <c r="E4028" s="2" t="str">
        <f>HYPERLINK("https://old.ukr-mobil.com/zadnyaya_kryshka_samsung_g935_galaxy_s7_edge_high_copy_silver_8667", "Перейти")</f>
        <v>Перейти</v>
      </c>
      <c r="F4028" s="2">
        <v>8667</v>
      </c>
      <c r="G4028" s="4" t="s">
        <v>4173</v>
      </c>
      <c r="H4028" s="1">
        <v>0</v>
      </c>
      <c r="I4028" s="1">
        <v>0</v>
      </c>
      <c r="J4028" s="1">
        <v>0</v>
      </c>
      <c r="K4028" s="2">
        <v>3.0</v>
      </c>
    </row>
    <row r="4029" spans="1:12">
      <c r="A4029" s="3" t="s">
        <v>2194</v>
      </c>
      <c r="B4029" s="3" t="s">
        <v>3663</v>
      </c>
      <c r="C4029" s="3" t="s">
        <v>3749</v>
      </c>
      <c r="D4029" s="3"/>
      <c r="E4029" s="2" t="str">
        <f>HYPERLINK("https://old.ukr-mobil.com/zadnyaya_kryshka_samsung_g935_galaxy_s7_edge_high_copy_white_7588", "Перейти")</f>
        <v>Перейти</v>
      </c>
      <c r="F4029" s="2">
        <v>7588</v>
      </c>
      <c r="G4029" s="4" t="s">
        <v>4174</v>
      </c>
      <c r="H4029" s="1">
        <v>0</v>
      </c>
      <c r="I4029" s="1">
        <v>0</v>
      </c>
      <c r="J4029" s="1">
        <v>0</v>
      </c>
      <c r="K4029" s="2">
        <v>2.02</v>
      </c>
    </row>
    <row r="4030" spans="1:12">
      <c r="A4030" s="3" t="s">
        <v>2194</v>
      </c>
      <c r="B4030" s="3" t="s">
        <v>3663</v>
      </c>
      <c r="C4030" s="3" t="s">
        <v>3749</v>
      </c>
      <c r="D4030" s="3"/>
      <c r="E4030" s="2" t="str">
        <f>HYPERLINK("https://old.ukr-mobil.com/zadnyaya_kryshka_samsung_g950_galaxy_s8_high_copy_blue_11383", "Перейти")</f>
        <v>Перейти</v>
      </c>
      <c r="F4030" s="2">
        <v>11383</v>
      </c>
      <c r="G4030" s="4" t="s">
        <v>4175</v>
      </c>
      <c r="H4030" s="1">
        <v>0</v>
      </c>
      <c r="I4030" s="1">
        <v>0</v>
      </c>
      <c r="J4030" s="1">
        <v>0</v>
      </c>
      <c r="K4030" s="2">
        <v>2.8</v>
      </c>
    </row>
    <row r="4031" spans="1:12">
      <c r="A4031" s="3" t="s">
        <v>2194</v>
      </c>
      <c r="B4031" s="3" t="s">
        <v>3663</v>
      </c>
      <c r="C4031" s="3" t="s">
        <v>3749</v>
      </c>
      <c r="D4031" s="3"/>
      <c r="E4031" s="2" t="str">
        <f>HYPERLINK("https://old.ukr-mobil.com/zadnyaya_kryshka_samsung_g950_galaxy_s8_high_copy_gold_8671", "Перейти")</f>
        <v>Перейти</v>
      </c>
      <c r="F4031" s="2">
        <v>8671</v>
      </c>
      <c r="G4031" s="4" t="s">
        <v>4176</v>
      </c>
      <c r="H4031" s="1">
        <v>16</v>
      </c>
      <c r="I4031" s="1">
        <v>4</v>
      </c>
      <c r="J4031" s="1">
        <v>3</v>
      </c>
      <c r="K4031" s="2">
        <v>2.8</v>
      </c>
    </row>
    <row r="4032" spans="1:12">
      <c r="A4032" s="3" t="s">
        <v>2194</v>
      </c>
      <c r="B4032" s="3" t="s">
        <v>3663</v>
      </c>
      <c r="C4032" s="3" t="s">
        <v>3749</v>
      </c>
      <c r="D4032" s="3"/>
      <c r="E4032" s="2" t="str">
        <f>HYPERLINK("https://old.ukr-mobil.com/zadnyaya_kryshka_samsung_g950_galaxy_s8_high_copy_midnight_black_8669", "Перейти")</f>
        <v>Перейти</v>
      </c>
      <c r="F4032" s="2">
        <v>8669</v>
      </c>
      <c r="G4032" s="4" t="s">
        <v>4177</v>
      </c>
      <c r="H4032" s="1">
        <v>13</v>
      </c>
      <c r="I4032" s="1">
        <v>7</v>
      </c>
      <c r="J4032" s="1">
        <v>1</v>
      </c>
      <c r="K4032" s="2">
        <v>3.0</v>
      </c>
    </row>
    <row r="4033" spans="1:12">
      <c r="A4033" s="3" t="s">
        <v>2194</v>
      </c>
      <c r="B4033" s="3" t="s">
        <v>3663</v>
      </c>
      <c r="C4033" s="3" t="s">
        <v>3749</v>
      </c>
      <c r="D4033" s="3"/>
      <c r="E4033" s="2" t="str">
        <f>HYPERLINK("https://old.ukr-mobil.com/zadnyaya_kryshka_samsung_g950_galaxy_s8_high_copy_silver_8670", "Перейти")</f>
        <v>Перейти</v>
      </c>
      <c r="F4033" s="2">
        <v>8670</v>
      </c>
      <c r="G4033" s="4" t="s">
        <v>4178</v>
      </c>
      <c r="H4033" s="1">
        <v>1</v>
      </c>
      <c r="I4033" s="1">
        <v>3</v>
      </c>
      <c r="J4033" s="1">
        <v>4</v>
      </c>
      <c r="K4033" s="2">
        <v>2.8</v>
      </c>
    </row>
    <row r="4034" spans="1:12">
      <c r="A4034" s="3" t="s">
        <v>2194</v>
      </c>
      <c r="B4034" s="3" t="s">
        <v>3663</v>
      </c>
      <c r="C4034" s="3" t="s">
        <v>3749</v>
      </c>
      <c r="D4034" s="3"/>
      <c r="E4034" s="2" t="str">
        <f>HYPERLINK("https://old.ukr-mobil.com/zadnyaya_kryshka_samsung_g955_galaxy_s8_plus_high_copy_arctic_silver_8673", "Перейти")</f>
        <v>Перейти</v>
      </c>
      <c r="F4034" s="2">
        <v>8673</v>
      </c>
      <c r="G4034" s="4" t="s">
        <v>4179</v>
      </c>
      <c r="H4034" s="1">
        <v>4</v>
      </c>
      <c r="I4034" s="1">
        <v>4</v>
      </c>
      <c r="J4034" s="1">
        <v>3</v>
      </c>
      <c r="K4034" s="2">
        <v>3.25</v>
      </c>
    </row>
    <row r="4035" spans="1:12">
      <c r="A4035" s="3" t="s">
        <v>2194</v>
      </c>
      <c r="B4035" s="3" t="s">
        <v>3663</v>
      </c>
      <c r="C4035" s="3" t="s">
        <v>3749</v>
      </c>
      <c r="D4035" s="3"/>
      <c r="E4035" s="2" t="str">
        <f>HYPERLINK("https://old.ukr-mobil.com/zadnyaya_kryshka_samsung_g955_galaxy_s8_plus_high_copy_maple_gold_8674", "Перейти")</f>
        <v>Перейти</v>
      </c>
      <c r="F4035" s="2">
        <v>8674</v>
      </c>
      <c r="G4035" s="4" t="s">
        <v>4180</v>
      </c>
      <c r="H4035" s="1">
        <v>13</v>
      </c>
      <c r="I4035" s="1">
        <v>1</v>
      </c>
      <c r="J4035" s="1">
        <v>2</v>
      </c>
      <c r="K4035" s="2">
        <v>3.25</v>
      </c>
    </row>
    <row r="4036" spans="1:12">
      <c r="A4036" s="3" t="s">
        <v>2194</v>
      </c>
      <c r="B4036" s="3" t="s">
        <v>3663</v>
      </c>
      <c r="C4036" s="3" t="s">
        <v>3749</v>
      </c>
      <c r="D4036" s="3"/>
      <c r="E4036" s="2" t="str">
        <f>HYPERLINK("https://old.ukr-mobil.com/zadnyaya_kryshka_samsung_g955_galaxy_s8_plus_high_copy_midnight_black_8672", "Перейти")</f>
        <v>Перейти</v>
      </c>
      <c r="F4036" s="2">
        <v>8672</v>
      </c>
      <c r="G4036" s="4" t="s">
        <v>4181</v>
      </c>
      <c r="H4036" s="1">
        <v>15</v>
      </c>
      <c r="I4036" s="1">
        <v>5</v>
      </c>
      <c r="J4036" s="1">
        <v>5</v>
      </c>
      <c r="K4036" s="2">
        <v>3.5</v>
      </c>
    </row>
    <row r="4037" spans="1:12">
      <c r="A4037" s="3" t="s">
        <v>2194</v>
      </c>
      <c r="B4037" s="3" t="s">
        <v>3663</v>
      </c>
      <c r="C4037" s="3" t="s">
        <v>3749</v>
      </c>
      <c r="D4037" s="3"/>
      <c r="E4037" s="2" t="str">
        <f>HYPERLINK("https://old.ukr-mobil.com/zadnyaya_kryshka_samsung_g955_galaxy_s8_plus_so_steklom_kamery_high_copy_orchid_gray_10002452", "Перейти")</f>
        <v>Перейти</v>
      </c>
      <c r="F4037" s="2">
        <v>10002452</v>
      </c>
      <c r="G4037" s="4" t="s">
        <v>4182</v>
      </c>
      <c r="H4037" s="1">
        <v>16</v>
      </c>
      <c r="I4037" s="1">
        <v>5</v>
      </c>
      <c r="J4037" s="1">
        <v>1</v>
      </c>
      <c r="K4037" s="2">
        <v>4.0</v>
      </c>
    </row>
    <row r="4038" spans="1:12">
      <c r="A4038" s="3" t="s">
        <v>2194</v>
      </c>
      <c r="B4038" s="3" t="s">
        <v>3663</v>
      </c>
      <c r="C4038" s="3" t="s">
        <v>3749</v>
      </c>
      <c r="D4038" s="3"/>
      <c r="E4038" s="2" t="str">
        <f>HYPERLINK("https://old.ukr-mobil.com/zadnyaya_kryshka_samsung_g960_galaxy_s9_blue_10829", "Перейти")</f>
        <v>Перейти</v>
      </c>
      <c r="F4038" s="2">
        <v>10829</v>
      </c>
      <c r="G4038" s="4" t="s">
        <v>4183</v>
      </c>
      <c r="H4038" s="1">
        <v>16</v>
      </c>
      <c r="I4038" s="1">
        <v>0</v>
      </c>
      <c r="J4038" s="1">
        <v>1</v>
      </c>
      <c r="K4038" s="2">
        <v>3.2</v>
      </c>
    </row>
    <row r="4039" spans="1:12">
      <c r="A4039" s="3" t="s">
        <v>2194</v>
      </c>
      <c r="B4039" s="3" t="s">
        <v>3663</v>
      </c>
      <c r="C4039" s="3" t="s">
        <v>3749</v>
      </c>
      <c r="D4039" s="3"/>
      <c r="E4039" s="2" t="str">
        <f>HYPERLINK("https://old.ukr-mobil.com/zadnyaya_kryshka_samsung_g960_galaxy_s9_lilac_purple_10828", "Перейти")</f>
        <v>Перейти</v>
      </c>
      <c r="F4039" s="2">
        <v>10828</v>
      </c>
      <c r="G4039" s="4" t="s">
        <v>4184</v>
      </c>
      <c r="H4039" s="1">
        <v>3</v>
      </c>
      <c r="I4039" s="1">
        <v>0</v>
      </c>
      <c r="J4039" s="1">
        <v>1</v>
      </c>
      <c r="K4039" s="2">
        <v>4.5</v>
      </c>
    </row>
    <row r="4040" spans="1:12">
      <c r="A4040" s="3" t="s">
        <v>2194</v>
      </c>
      <c r="B4040" s="3" t="s">
        <v>3663</v>
      </c>
      <c r="C4040" s="3" t="s">
        <v>3749</v>
      </c>
      <c r="D4040" s="3"/>
      <c r="E4040" s="2" t="str">
        <f>HYPERLINK("https://old.ukr-mobil.com/zadnyaya_kryshka_samsung_g960_galaxy_s9_midnight_black_10825", "Перейти")</f>
        <v>Перейти</v>
      </c>
      <c r="F4040" s="2">
        <v>10825</v>
      </c>
      <c r="G4040" s="4" t="s">
        <v>4185</v>
      </c>
      <c r="H4040" s="1">
        <v>0</v>
      </c>
      <c r="I4040" s="1">
        <v>0</v>
      </c>
      <c r="J4040" s="1">
        <v>0</v>
      </c>
      <c r="K4040" s="2">
        <v>3.5</v>
      </c>
    </row>
    <row r="4041" spans="1:12">
      <c r="A4041" s="3" t="s">
        <v>2194</v>
      </c>
      <c r="B4041" s="3" t="s">
        <v>3663</v>
      </c>
      <c r="C4041" s="3" t="s">
        <v>3749</v>
      </c>
      <c r="D4041" s="3"/>
      <c r="E4041" s="2" t="str">
        <f>HYPERLINK("https://old.ukr-mobil.com/zadnyaya_kryshka_samsung_g960_galaxy_s9_sunrise_gold_10826", "Перейти")</f>
        <v>Перейти</v>
      </c>
      <c r="F4041" s="2">
        <v>10826</v>
      </c>
      <c r="G4041" s="4" t="s">
        <v>4186</v>
      </c>
      <c r="H4041" s="1">
        <v>1</v>
      </c>
      <c r="I4041" s="1">
        <v>1</v>
      </c>
      <c r="J4041" s="1">
        <v>0</v>
      </c>
      <c r="K4041" s="2">
        <v>4.5</v>
      </c>
    </row>
    <row r="4042" spans="1:12">
      <c r="A4042" s="3" t="s">
        <v>2194</v>
      </c>
      <c r="B4042" s="3" t="s">
        <v>3663</v>
      </c>
      <c r="C4042" s="3" t="s">
        <v>3749</v>
      </c>
      <c r="D4042" s="3"/>
      <c r="E4042" s="2" t="str">
        <f>HYPERLINK("https://old.ukr-mobil.com/zadnyaya_kryshka_samsung_g960_galaxy_s9_titanium_gray_10827", "Перейти")</f>
        <v>Перейти</v>
      </c>
      <c r="F4042" s="2">
        <v>10827</v>
      </c>
      <c r="G4042" s="4" t="s">
        <v>4187</v>
      </c>
      <c r="H4042" s="1">
        <v>16</v>
      </c>
      <c r="I4042" s="1">
        <v>6</v>
      </c>
      <c r="J4042" s="1">
        <v>6</v>
      </c>
      <c r="K4042" s="2">
        <v>4.5</v>
      </c>
    </row>
    <row r="4043" spans="1:12">
      <c r="A4043" s="3" t="s">
        <v>2194</v>
      </c>
      <c r="B4043" s="3" t="s">
        <v>3663</v>
      </c>
      <c r="C4043" s="3" t="s">
        <v>3749</v>
      </c>
      <c r="D4043" s="3"/>
      <c r="E4043" s="2" t="str">
        <f>HYPERLINK("https://old.ukr-mobil.com/zadnyaya_kryshka_samsung_g960_galaxy_s9_so_steklom_kamery_midnight_black_10002455", "Перейти")</f>
        <v>Перейти</v>
      </c>
      <c r="F4043" s="2">
        <v>10002455</v>
      </c>
      <c r="G4043" s="4" t="s">
        <v>4188</v>
      </c>
      <c r="H4043" s="1">
        <v>0</v>
      </c>
      <c r="I4043" s="1">
        <v>0</v>
      </c>
      <c r="J4043" s="1">
        <v>0</v>
      </c>
      <c r="K4043" s="2">
        <v>4.5</v>
      </c>
    </row>
    <row r="4044" spans="1:12">
      <c r="A4044" s="3" t="s">
        <v>2194</v>
      </c>
      <c r="B4044" s="3" t="s">
        <v>3663</v>
      </c>
      <c r="C4044" s="3" t="s">
        <v>3749</v>
      </c>
      <c r="D4044" s="3"/>
      <c r="E4044" s="2" t="str">
        <f>HYPERLINK("https://old.ukr-mobil.com/zadnyaya_kryshka_samsung_g965_galaxy_s9_plus_blue_10834", "Перейти")</f>
        <v>Перейти</v>
      </c>
      <c r="F4044" s="2">
        <v>10834</v>
      </c>
      <c r="G4044" s="4" t="s">
        <v>4189</v>
      </c>
      <c r="H4044" s="1">
        <v>1</v>
      </c>
      <c r="I4044" s="1">
        <v>4</v>
      </c>
      <c r="J4044" s="1">
        <v>2</v>
      </c>
      <c r="K4044" s="2">
        <v>3.25</v>
      </c>
    </row>
    <row r="4045" spans="1:12">
      <c r="A4045" s="3" t="s">
        <v>2194</v>
      </c>
      <c r="B4045" s="3" t="s">
        <v>3663</v>
      </c>
      <c r="C4045" s="3" t="s">
        <v>3749</v>
      </c>
      <c r="D4045" s="3"/>
      <c r="E4045" s="2" t="str">
        <f>HYPERLINK("https://old.ukr-mobil.com/zadnyaya_kryshka_samsung_g965_galaxy_s9_plus_lilac_purple_10833", "Перейти")</f>
        <v>Перейти</v>
      </c>
      <c r="F4045" s="2">
        <v>10833</v>
      </c>
      <c r="G4045" s="4" t="s">
        <v>4190</v>
      </c>
      <c r="H4045" s="1">
        <v>4</v>
      </c>
      <c r="I4045" s="1">
        <v>1</v>
      </c>
      <c r="J4045" s="1">
        <v>0</v>
      </c>
      <c r="K4045" s="2">
        <v>4.5</v>
      </c>
    </row>
    <row r="4046" spans="1:12">
      <c r="A4046" s="3" t="s">
        <v>2194</v>
      </c>
      <c r="B4046" s="3" t="s">
        <v>3663</v>
      </c>
      <c r="C4046" s="3" t="s">
        <v>3749</v>
      </c>
      <c r="D4046" s="3"/>
      <c r="E4046" s="2" t="str">
        <f>HYPERLINK("https://old.ukr-mobil.com/zadnyaya_kryshka_samsung_g965_galaxy_s9_plus_midnight_black_10830", "Перейти")</f>
        <v>Перейти</v>
      </c>
      <c r="F4046" s="2">
        <v>10830</v>
      </c>
      <c r="G4046" s="4" t="s">
        <v>4191</v>
      </c>
      <c r="H4046" s="1">
        <v>4</v>
      </c>
      <c r="I4046" s="1">
        <v>5</v>
      </c>
      <c r="J4046" s="1">
        <v>5</v>
      </c>
      <c r="K4046" s="2">
        <v>3.5</v>
      </c>
    </row>
    <row r="4047" spans="1:12">
      <c r="A4047" s="3" t="s">
        <v>2194</v>
      </c>
      <c r="B4047" s="3" t="s">
        <v>3663</v>
      </c>
      <c r="C4047" s="3" t="s">
        <v>3749</v>
      </c>
      <c r="D4047" s="3"/>
      <c r="E4047" s="2" t="str">
        <f>HYPERLINK("https://old.ukr-mobil.com/zadnyaya_kryshka_samsung_g965_galaxy_s9_plus_sunrise_gold_10832", "Перейти")</f>
        <v>Перейти</v>
      </c>
      <c r="F4047" s="2">
        <v>10832</v>
      </c>
      <c r="G4047" s="4" t="s">
        <v>4192</v>
      </c>
      <c r="H4047" s="1">
        <v>14</v>
      </c>
      <c r="I4047" s="1">
        <v>6</v>
      </c>
      <c r="J4047" s="1">
        <v>8</v>
      </c>
      <c r="K4047" s="2">
        <v>4.0</v>
      </c>
    </row>
    <row r="4048" spans="1:12">
      <c r="A4048" s="3" t="s">
        <v>2194</v>
      </c>
      <c r="B4048" s="3" t="s">
        <v>3663</v>
      </c>
      <c r="C4048" s="3" t="s">
        <v>3749</v>
      </c>
      <c r="D4048" s="3"/>
      <c r="E4048" s="2" t="str">
        <f>HYPERLINK("https://old.ukr-mobil.com/zadnyaya_kryshka_samsung_g965_galaxy_s9_plus_titanium_gray_10831", "Перейти")</f>
        <v>Перейти</v>
      </c>
      <c r="F4048" s="2">
        <v>10831</v>
      </c>
      <c r="G4048" s="4" t="s">
        <v>4193</v>
      </c>
      <c r="H4048" s="1">
        <v>0</v>
      </c>
      <c r="I4048" s="1">
        <v>0</v>
      </c>
      <c r="J4048" s="1">
        <v>0</v>
      </c>
      <c r="K4048" s="2">
        <v>4.0</v>
      </c>
    </row>
    <row r="4049" spans="1:12">
      <c r="A4049" s="3" t="s">
        <v>2194</v>
      </c>
      <c r="B4049" s="3" t="s">
        <v>3663</v>
      </c>
      <c r="C4049" s="3" t="s">
        <v>3749</v>
      </c>
      <c r="D4049" s="3"/>
      <c r="E4049" s="2" t="str">
        <f>HYPERLINK("https://old.ukr-mobil.com/zadnyaya_kryshka_samsung_g965_galaxy_s9_plus_so_steklom_kamery_blue_10002453", "Перейти")</f>
        <v>Перейти</v>
      </c>
      <c r="F4049" s="2">
        <v>10002453</v>
      </c>
      <c r="G4049" s="4" t="s">
        <v>4194</v>
      </c>
      <c r="H4049" s="1">
        <v>18</v>
      </c>
      <c r="I4049" s="1">
        <v>4</v>
      </c>
      <c r="J4049" s="1">
        <v>3</v>
      </c>
      <c r="K4049" s="2">
        <v>6.0</v>
      </c>
    </row>
    <row r="4050" spans="1:12">
      <c r="A4050" s="3" t="s">
        <v>2194</v>
      </c>
      <c r="B4050" s="3" t="s">
        <v>3663</v>
      </c>
      <c r="C4050" s="3" t="s">
        <v>3749</v>
      </c>
      <c r="D4050" s="3"/>
      <c r="E4050" s="2" t="str">
        <f>HYPERLINK("https://old.ukr-mobil.com/zadnyaya_kryshka_samsung_g965_galaxy_s9_plus_so_steklom_kamery_titanium_gray_10002454", "Перейти")</f>
        <v>Перейти</v>
      </c>
      <c r="F4050" s="2">
        <v>10002454</v>
      </c>
      <c r="G4050" s="4" t="s">
        <v>4195</v>
      </c>
      <c r="H4050" s="1">
        <v>4</v>
      </c>
      <c r="I4050" s="1">
        <v>3</v>
      </c>
      <c r="J4050" s="1">
        <v>4</v>
      </c>
      <c r="K4050" s="2">
        <v>6.0</v>
      </c>
    </row>
    <row r="4051" spans="1:12">
      <c r="A4051" s="3" t="s">
        <v>2194</v>
      </c>
      <c r="B4051" s="3" t="s">
        <v>3663</v>
      </c>
      <c r="C4051" s="3" t="s">
        <v>3749</v>
      </c>
      <c r="D4051" s="3"/>
      <c r="E4051" s="2" t="str">
        <f>HYPERLINK("https://old.ukr-mobil.com/zadnyaya_kryshka_samsung_g970_galaxy_s10e_high_copy_black_12172", "Перейти")</f>
        <v>Перейти</v>
      </c>
      <c r="F4051" s="2">
        <v>12172</v>
      </c>
      <c r="G4051" s="4" t="s">
        <v>4196</v>
      </c>
      <c r="H4051" s="1">
        <v>3</v>
      </c>
      <c r="I4051" s="1">
        <v>1</v>
      </c>
      <c r="J4051" s="1">
        <v>11</v>
      </c>
      <c r="K4051" s="2">
        <v>4.5</v>
      </c>
    </row>
    <row r="4052" spans="1:12">
      <c r="A4052" s="3" t="s">
        <v>2194</v>
      </c>
      <c r="B4052" s="3" t="s">
        <v>3663</v>
      </c>
      <c r="C4052" s="3" t="s">
        <v>3749</v>
      </c>
      <c r="D4052" s="3"/>
      <c r="E4052" s="2" t="str">
        <f>HYPERLINK("https://old.ukr-mobil.com/zadnyaya_kryshka_samsung_g970_galaxy_s10e_high_copy_blue_12174", "Перейти")</f>
        <v>Перейти</v>
      </c>
      <c r="F4052" s="2">
        <v>12174</v>
      </c>
      <c r="G4052" s="4" t="s">
        <v>4197</v>
      </c>
      <c r="H4052" s="1">
        <v>11</v>
      </c>
      <c r="I4052" s="1">
        <v>3</v>
      </c>
      <c r="J4052" s="1">
        <v>9</v>
      </c>
      <c r="K4052" s="2">
        <v>4.5</v>
      </c>
    </row>
    <row r="4053" spans="1:12">
      <c r="A4053" s="3" t="s">
        <v>2194</v>
      </c>
      <c r="B4053" s="3" t="s">
        <v>3663</v>
      </c>
      <c r="C4053" s="3" t="s">
        <v>3749</v>
      </c>
      <c r="D4053" s="3"/>
      <c r="E4053" s="2" t="str">
        <f>HYPERLINK("https://old.ukr-mobil.com/zadnyaya_kryshka_samsung_g970_galaxy_s10e_high_copy_green_12173", "Перейти")</f>
        <v>Перейти</v>
      </c>
      <c r="F4053" s="2">
        <v>12173</v>
      </c>
      <c r="G4053" s="4" t="s">
        <v>4198</v>
      </c>
      <c r="H4053" s="1">
        <v>4</v>
      </c>
      <c r="I4053" s="1">
        <v>4</v>
      </c>
      <c r="J4053" s="1">
        <v>4</v>
      </c>
      <c r="K4053" s="2">
        <v>4.5</v>
      </c>
    </row>
    <row r="4054" spans="1:12">
      <c r="A4054" s="3" t="s">
        <v>2194</v>
      </c>
      <c r="B4054" s="3" t="s">
        <v>3663</v>
      </c>
      <c r="C4054" s="3" t="s">
        <v>3749</v>
      </c>
      <c r="D4054" s="3"/>
      <c r="E4054" s="2" t="str">
        <f>HYPERLINK("https://old.ukr-mobil.com/zadnyaya_kryshka_samsung_g970_galaxy_s10e_high_copy_white_10000362", "Перейти")</f>
        <v>Перейти</v>
      </c>
      <c r="F4054" s="2">
        <v>10000362</v>
      </c>
      <c r="G4054" s="4" t="s">
        <v>4199</v>
      </c>
      <c r="H4054" s="1">
        <v>7</v>
      </c>
      <c r="I4054" s="1">
        <v>4</v>
      </c>
      <c r="J4054" s="1">
        <v>4</v>
      </c>
      <c r="K4054" s="2">
        <v>4.5</v>
      </c>
    </row>
    <row r="4055" spans="1:12">
      <c r="A4055" s="3" t="s">
        <v>2194</v>
      </c>
      <c r="B4055" s="3" t="s">
        <v>3663</v>
      </c>
      <c r="C4055" s="3" t="s">
        <v>3749</v>
      </c>
      <c r="D4055" s="3"/>
      <c r="E4055" s="2" t="str">
        <f>HYPERLINK("https://old.ukr-mobil.com/zadnyaya_kryshka_samsung_g970_galaxy_s10e_high_copy_yellow_12176", "Перейти")</f>
        <v>Перейти</v>
      </c>
      <c r="F4055" s="2">
        <v>12176</v>
      </c>
      <c r="G4055" s="4" t="s">
        <v>4200</v>
      </c>
      <c r="H4055" s="1">
        <v>0</v>
      </c>
      <c r="I4055" s="1">
        <v>0</v>
      </c>
      <c r="J4055" s="1">
        <v>0</v>
      </c>
      <c r="K4055" s="2">
        <v>4.5</v>
      </c>
    </row>
    <row r="4056" spans="1:12">
      <c r="A4056" s="3" t="s">
        <v>2194</v>
      </c>
      <c r="B4056" s="3" t="s">
        <v>3663</v>
      </c>
      <c r="C4056" s="3" t="s">
        <v>3749</v>
      </c>
      <c r="D4056" s="3"/>
      <c r="E4056" s="2" t="str">
        <f>HYPERLINK("https://old.ukr-mobil.com/zadnyaya_kryshka_samsung_g970_galaxy_s10e_so_steklom_kamery_high_copy_black_10002450", "Перейти")</f>
        <v>Перейти</v>
      </c>
      <c r="F4056" s="2">
        <v>10002450</v>
      </c>
      <c r="G4056" s="4" t="s">
        <v>4201</v>
      </c>
      <c r="H4056" s="1">
        <v>0</v>
      </c>
      <c r="I4056" s="1">
        <v>0</v>
      </c>
      <c r="J4056" s="1">
        <v>0</v>
      </c>
      <c r="K4056" s="2">
        <v>5.0</v>
      </c>
    </row>
    <row r="4057" spans="1:12">
      <c r="A4057" s="3" t="s">
        <v>2194</v>
      </c>
      <c r="B4057" s="3" t="s">
        <v>3663</v>
      </c>
      <c r="C4057" s="3" t="s">
        <v>3749</v>
      </c>
      <c r="D4057" s="3"/>
      <c r="E4057" s="2" t="str">
        <f>HYPERLINK("https://old.ukr-mobil.com/zadnyaya_kryshka_samsung_g970_galaxy_s10e_so_steklom_kamery_high_copy_blue_10002451", "Перейти")</f>
        <v>Перейти</v>
      </c>
      <c r="F4057" s="2">
        <v>10002451</v>
      </c>
      <c r="G4057" s="4" t="s">
        <v>4202</v>
      </c>
      <c r="H4057" s="1">
        <v>0</v>
      </c>
      <c r="I4057" s="1">
        <v>0</v>
      </c>
      <c r="J4057" s="1">
        <v>1</v>
      </c>
      <c r="K4057" s="2">
        <v>5.0</v>
      </c>
    </row>
    <row r="4058" spans="1:12">
      <c r="A4058" s="3" t="s">
        <v>2194</v>
      </c>
      <c r="B4058" s="3" t="s">
        <v>3663</v>
      </c>
      <c r="C4058" s="3" t="s">
        <v>3749</v>
      </c>
      <c r="D4058" s="3"/>
      <c r="E4058" s="2" t="str">
        <f>HYPERLINK("https://old.ukr-mobil.com/zadnyaya_kryshka_samsung_g973_galaxy_s10_high_copy_black_12162", "Перейти")</f>
        <v>Перейти</v>
      </c>
      <c r="F4058" s="2">
        <v>12162</v>
      </c>
      <c r="G4058" s="4" t="s">
        <v>4203</v>
      </c>
      <c r="H4058" s="1">
        <v>5</v>
      </c>
      <c r="I4058" s="1">
        <v>5</v>
      </c>
      <c r="J4058" s="1">
        <v>1</v>
      </c>
      <c r="K4058" s="2">
        <v>3.5</v>
      </c>
    </row>
    <row r="4059" spans="1:12">
      <c r="A4059" s="3" t="s">
        <v>2194</v>
      </c>
      <c r="B4059" s="3" t="s">
        <v>3663</v>
      </c>
      <c r="C4059" s="3" t="s">
        <v>3749</v>
      </c>
      <c r="D4059" s="3"/>
      <c r="E4059" s="2" t="str">
        <f>HYPERLINK("https://old.ukr-mobil.com/zadnyaya_kryshka_samsung_g973_galaxy_s10_high_copy_blue_12166", "Перейти")</f>
        <v>Перейти</v>
      </c>
      <c r="F4059" s="2">
        <v>12166</v>
      </c>
      <c r="G4059" s="4" t="s">
        <v>4204</v>
      </c>
      <c r="H4059" s="1">
        <v>18</v>
      </c>
      <c r="I4059" s="1">
        <v>4</v>
      </c>
      <c r="J4059" s="1">
        <v>0</v>
      </c>
      <c r="K4059" s="2">
        <v>4.25</v>
      </c>
    </row>
    <row r="4060" spans="1:12">
      <c r="A4060" s="3" t="s">
        <v>2194</v>
      </c>
      <c r="B4060" s="3" t="s">
        <v>3663</v>
      </c>
      <c r="C4060" s="3" t="s">
        <v>3749</v>
      </c>
      <c r="D4060" s="3"/>
      <c r="E4060" s="2" t="str">
        <f>HYPERLINK("https://old.ukr-mobil.com/zadnyaya_kryshka_samsung_g973_galaxy_s10_high_copy_green_12164", "Перейти")</f>
        <v>Перейти</v>
      </c>
      <c r="F4060" s="2">
        <v>12164</v>
      </c>
      <c r="G4060" s="4" t="s">
        <v>4205</v>
      </c>
      <c r="H4060" s="1">
        <v>5</v>
      </c>
      <c r="I4060" s="1">
        <v>3</v>
      </c>
      <c r="J4060" s="1">
        <v>2</v>
      </c>
      <c r="K4060" s="2">
        <v>4.25</v>
      </c>
    </row>
    <row r="4061" spans="1:12">
      <c r="A4061" s="3" t="s">
        <v>2194</v>
      </c>
      <c r="B4061" s="3" t="s">
        <v>3663</v>
      </c>
      <c r="C4061" s="3" t="s">
        <v>3749</v>
      </c>
      <c r="D4061" s="3"/>
      <c r="E4061" s="2" t="str">
        <f>HYPERLINK("https://old.ukr-mobil.com/zadnyaya_kryshka_samsung_g973_galaxy_s10_high_copy_red_12165", "Перейти")</f>
        <v>Перейти</v>
      </c>
      <c r="F4061" s="2">
        <v>12165</v>
      </c>
      <c r="G4061" s="4" t="s">
        <v>4206</v>
      </c>
      <c r="H4061" s="1">
        <v>0</v>
      </c>
      <c r="I4061" s="1">
        <v>1</v>
      </c>
      <c r="J4061" s="1">
        <v>2</v>
      </c>
      <c r="K4061" s="2">
        <v>4.25</v>
      </c>
    </row>
    <row r="4062" spans="1:12">
      <c r="A4062" s="3" t="s">
        <v>2194</v>
      </c>
      <c r="B4062" s="3" t="s">
        <v>3663</v>
      </c>
      <c r="C4062" s="3" t="s">
        <v>3749</v>
      </c>
      <c r="D4062" s="3"/>
      <c r="E4062" s="2" t="str">
        <f>HYPERLINK("https://old.ukr-mobil.com/zadnyaya_kryshka_samsung_g973_galaxy_s10_high_copy_white_12163", "Перейти")</f>
        <v>Перейти</v>
      </c>
      <c r="F4062" s="2">
        <v>12163</v>
      </c>
      <c r="G4062" s="4" t="s">
        <v>4207</v>
      </c>
      <c r="H4062" s="1">
        <v>8</v>
      </c>
      <c r="I4062" s="1">
        <v>3</v>
      </c>
      <c r="J4062" s="1">
        <v>5</v>
      </c>
      <c r="K4062" s="2">
        <v>4.25</v>
      </c>
    </row>
    <row r="4063" spans="1:12">
      <c r="A4063" s="3" t="s">
        <v>2194</v>
      </c>
      <c r="B4063" s="3" t="s">
        <v>3663</v>
      </c>
      <c r="C4063" s="3" t="s">
        <v>3749</v>
      </c>
      <c r="D4063" s="3"/>
      <c r="E4063" s="2" t="str">
        <f>HYPERLINK("https://old.ukr-mobil.com/zadnyaya_kryshka_samsung_g973_galaxy_s10_so_steklom_kamery_high_copy_black_10002583", "Перейти")</f>
        <v>Перейти</v>
      </c>
      <c r="F4063" s="2">
        <v>10002583</v>
      </c>
      <c r="G4063" s="4" t="s">
        <v>4208</v>
      </c>
      <c r="H4063" s="1">
        <v>0</v>
      </c>
      <c r="I4063" s="1">
        <v>0</v>
      </c>
      <c r="J4063" s="1">
        <v>0</v>
      </c>
      <c r="K4063" s="2">
        <v>5.85</v>
      </c>
    </row>
    <row r="4064" spans="1:12">
      <c r="A4064" s="3" t="s">
        <v>2194</v>
      </c>
      <c r="B4064" s="3" t="s">
        <v>3663</v>
      </c>
      <c r="C4064" s="3" t="s">
        <v>3749</v>
      </c>
      <c r="D4064" s="3"/>
      <c r="E4064" s="2" t="str">
        <f>HYPERLINK("https://old.ukr-mobil.com/zadnyaya_kryshka_samsung_g973_galaxy_s10_so_steklom_kamery_high_copy_blue_10002584", "Перейти")</f>
        <v>Перейти</v>
      </c>
      <c r="F4064" s="2">
        <v>10002584</v>
      </c>
      <c r="G4064" s="4" t="s">
        <v>4209</v>
      </c>
      <c r="H4064" s="1">
        <v>5</v>
      </c>
      <c r="I4064" s="1">
        <v>4</v>
      </c>
      <c r="J4064" s="1">
        <v>3</v>
      </c>
      <c r="K4064" s="2">
        <v>5.85</v>
      </c>
    </row>
    <row r="4065" spans="1:12">
      <c r="A4065" s="3" t="s">
        <v>2194</v>
      </c>
      <c r="B4065" s="3" t="s">
        <v>3663</v>
      </c>
      <c r="C4065" s="3" t="s">
        <v>3749</v>
      </c>
      <c r="D4065" s="3"/>
      <c r="E4065" s="2" t="str">
        <f>HYPERLINK("https://old.ukr-mobil.com/zadnyaya_kryshka_samsung_g973_galaxy_s10_so_steklom_kamery_high_copy_green_10002449", "Перейти")</f>
        <v>Перейти</v>
      </c>
      <c r="F4065" s="2">
        <v>10002449</v>
      </c>
      <c r="G4065" s="4" t="s">
        <v>4210</v>
      </c>
      <c r="H4065" s="1">
        <v>8</v>
      </c>
      <c r="I4065" s="1">
        <v>4</v>
      </c>
      <c r="J4065" s="1">
        <v>4</v>
      </c>
      <c r="K4065" s="2">
        <v>5.85</v>
      </c>
    </row>
    <row r="4066" spans="1:12">
      <c r="A4066" s="3" t="s">
        <v>2194</v>
      </c>
      <c r="B4066" s="3" t="s">
        <v>3663</v>
      </c>
      <c r="C4066" s="3" t="s">
        <v>3749</v>
      </c>
      <c r="D4066" s="3"/>
      <c r="E4066" s="2" t="str">
        <f>HYPERLINK("https://old.ukr-mobil.com/zadnyaya_kryshka_samsung_g975_galaxy_s10_plus_high_copy_black_12167", "Перейти")</f>
        <v>Перейти</v>
      </c>
      <c r="F4066" s="2">
        <v>12167</v>
      </c>
      <c r="G4066" s="4" t="s">
        <v>4211</v>
      </c>
      <c r="H4066" s="1">
        <v>0</v>
      </c>
      <c r="I4066" s="1">
        <v>0</v>
      </c>
      <c r="J4066" s="1">
        <v>0</v>
      </c>
      <c r="K4066" s="2">
        <v>3.35</v>
      </c>
    </row>
    <row r="4067" spans="1:12">
      <c r="A4067" s="3" t="s">
        <v>2194</v>
      </c>
      <c r="B4067" s="3" t="s">
        <v>3663</v>
      </c>
      <c r="C4067" s="3" t="s">
        <v>3749</v>
      </c>
      <c r="D4067" s="3"/>
      <c r="E4067" s="2" t="str">
        <f>HYPERLINK("https://old.ukr-mobil.com/zadnyaya_kryshka_samsung_g975_galaxy_s10_plus_high_copy_blue_12169", "Перейти")</f>
        <v>Перейти</v>
      </c>
      <c r="F4067" s="2">
        <v>12169</v>
      </c>
      <c r="G4067" s="4" t="s">
        <v>4212</v>
      </c>
      <c r="H4067" s="1">
        <v>1</v>
      </c>
      <c r="I4067" s="1">
        <v>0</v>
      </c>
      <c r="J4067" s="1">
        <v>3</v>
      </c>
      <c r="K4067" s="2">
        <v>4.0</v>
      </c>
    </row>
    <row r="4068" spans="1:12">
      <c r="A4068" s="3" t="s">
        <v>2194</v>
      </c>
      <c r="B4068" s="3" t="s">
        <v>3663</v>
      </c>
      <c r="C4068" s="3" t="s">
        <v>3749</v>
      </c>
      <c r="D4068" s="3"/>
      <c r="E4068" s="2" t="str">
        <f>HYPERLINK("https://old.ukr-mobil.com/zadnyaya_kryshka_samsung_g975_galaxy_s10_plus_high_copy_green_12170", "Перейти")</f>
        <v>Перейти</v>
      </c>
      <c r="F4068" s="2">
        <v>12170</v>
      </c>
      <c r="G4068" s="4" t="s">
        <v>4213</v>
      </c>
      <c r="H4068" s="1">
        <v>11</v>
      </c>
      <c r="I4068" s="1">
        <v>8</v>
      </c>
      <c r="J4068" s="1">
        <v>7</v>
      </c>
      <c r="K4068" s="2">
        <v>4.25</v>
      </c>
    </row>
    <row r="4069" spans="1:12">
      <c r="A4069" s="3" t="s">
        <v>2194</v>
      </c>
      <c r="B4069" s="3" t="s">
        <v>3663</v>
      </c>
      <c r="C4069" s="3" t="s">
        <v>3749</v>
      </c>
      <c r="D4069" s="3"/>
      <c r="E4069" s="2" t="str">
        <f>HYPERLINK("https://old.ukr-mobil.com/zadnyaya_kryshka_samsung_g975_galaxy_s10_plus_high_copy_red_12171", "Перейти")</f>
        <v>Перейти</v>
      </c>
      <c r="F4069" s="2">
        <v>12171</v>
      </c>
      <c r="G4069" s="4" t="s">
        <v>4214</v>
      </c>
      <c r="H4069" s="1">
        <v>7</v>
      </c>
      <c r="I4069" s="1">
        <v>7</v>
      </c>
      <c r="J4069" s="1">
        <v>6</v>
      </c>
      <c r="K4069" s="2">
        <v>4.5</v>
      </c>
    </row>
    <row r="4070" spans="1:12">
      <c r="A4070" s="3" t="s">
        <v>2194</v>
      </c>
      <c r="B4070" s="3" t="s">
        <v>3663</v>
      </c>
      <c r="C4070" s="3" t="s">
        <v>3749</v>
      </c>
      <c r="D4070" s="3"/>
      <c r="E4070" s="2" t="str">
        <f>HYPERLINK("https://old.ukr-mobil.com/zadnyaya_kryshka_samsung_g975_galaxy_s10_plus_high_copy_white_12168", "Перейти")</f>
        <v>Перейти</v>
      </c>
      <c r="F4070" s="2">
        <v>12168</v>
      </c>
      <c r="G4070" s="4" t="s">
        <v>4215</v>
      </c>
      <c r="H4070" s="1">
        <v>2</v>
      </c>
      <c r="I4070" s="1">
        <v>4</v>
      </c>
      <c r="J4070" s="1">
        <v>5</v>
      </c>
      <c r="K4070" s="2">
        <v>4.25</v>
      </c>
    </row>
    <row r="4071" spans="1:12">
      <c r="A4071" s="3" t="s">
        <v>2194</v>
      </c>
      <c r="B4071" s="3" t="s">
        <v>3663</v>
      </c>
      <c r="C4071" s="3" t="s">
        <v>3749</v>
      </c>
      <c r="D4071" s="3"/>
      <c r="E4071" s="2" t="str">
        <f>HYPERLINK("https://old.ukr-mobil.com/index.php?route=product&amp;product_id=10006138", "Перейти")</f>
        <v>Перейти</v>
      </c>
      <c r="F4071" s="2">
        <v>10006138</v>
      </c>
      <c r="G4071" s="4" t="s">
        <v>4216</v>
      </c>
      <c r="H4071" s="1">
        <v>0</v>
      </c>
      <c r="I4071" s="1">
        <v>1</v>
      </c>
      <c r="J4071" s="1">
        <v>0</v>
      </c>
      <c r="K4071" s="2">
        <v>8.35</v>
      </c>
    </row>
    <row r="4072" spans="1:12">
      <c r="A4072" s="3" t="s">
        <v>2194</v>
      </c>
      <c r="B4072" s="3" t="s">
        <v>3663</v>
      </c>
      <c r="C4072" s="3" t="s">
        <v>3749</v>
      </c>
      <c r="D4072" s="3"/>
      <c r="E4072" s="2" t="str">
        <f>HYPERLINK("https://old.ukr-mobil.com/zadnyaya_kryshka_samsung_g996_galaxy_s21_plus_original_prc_phantom_black_10002585", "Перейти")</f>
        <v>Перейти</v>
      </c>
      <c r="F4072" s="2">
        <v>10002585</v>
      </c>
      <c r="G4072" s="4" t="s">
        <v>4217</v>
      </c>
      <c r="H4072" s="1">
        <v>0</v>
      </c>
      <c r="I4072" s="1">
        <v>0</v>
      </c>
      <c r="J4072" s="1">
        <v>0</v>
      </c>
      <c r="K4072" s="2">
        <v>8.5</v>
      </c>
    </row>
    <row r="4073" spans="1:12">
      <c r="A4073" s="3" t="s">
        <v>2194</v>
      </c>
      <c r="B4073" s="3" t="s">
        <v>3663</v>
      </c>
      <c r="C4073" s="3" t="s">
        <v>3749</v>
      </c>
      <c r="D4073" s="3"/>
      <c r="E4073" s="2" t="str">
        <f>HYPERLINK("https://old.ukr-mobil.com/zadnyaya_kryshka_samsung_g996_galaxy_s21_plus_so_steklom_kamery_original_prc_phantom_black_10002586", "Перейти")</f>
        <v>Перейти</v>
      </c>
      <c r="F4073" s="2">
        <v>10002586</v>
      </c>
      <c r="G4073" s="4" t="s">
        <v>4218</v>
      </c>
      <c r="H4073" s="1">
        <v>0</v>
      </c>
      <c r="I4073" s="1">
        <v>0</v>
      </c>
      <c r="J4073" s="1">
        <v>0</v>
      </c>
      <c r="K4073" s="2">
        <v>10.0</v>
      </c>
    </row>
    <row r="4074" spans="1:12">
      <c r="A4074" s="3" t="s">
        <v>2194</v>
      </c>
      <c r="B4074" s="3" t="s">
        <v>3663</v>
      </c>
      <c r="C4074" s="3" t="s">
        <v>3749</v>
      </c>
      <c r="D4074" s="3"/>
      <c r="E4074" s="2" t="str">
        <f>HYPERLINK("https://old.ukr-mobil.com/zadnyaya_kryshka_samsung_j330_galaxy_j3_2017_black_10813", "Перейти")</f>
        <v>Перейти</v>
      </c>
      <c r="F4074" s="2">
        <v>10813</v>
      </c>
      <c r="G4074" s="4" t="s">
        <v>4219</v>
      </c>
      <c r="H4074" s="1">
        <v>4</v>
      </c>
      <c r="I4074" s="1">
        <v>1</v>
      </c>
      <c r="J4074" s="1">
        <v>1</v>
      </c>
      <c r="K4074" s="2">
        <v>5.35</v>
      </c>
    </row>
    <row r="4075" spans="1:12">
      <c r="A4075" s="3" t="s">
        <v>2194</v>
      </c>
      <c r="B4075" s="3" t="s">
        <v>3663</v>
      </c>
      <c r="C4075" s="3" t="s">
        <v>3749</v>
      </c>
      <c r="D4075" s="3"/>
      <c r="E4075" s="2" t="str">
        <f>HYPERLINK("https://old.ukr-mobil.com/zadnyaya_kryshka_samsung_j330_galaxy_j3_2017_blue_10815", "Перейти")</f>
        <v>Перейти</v>
      </c>
      <c r="F4075" s="2">
        <v>10815</v>
      </c>
      <c r="G4075" s="4" t="s">
        <v>4220</v>
      </c>
      <c r="H4075" s="1">
        <v>0</v>
      </c>
      <c r="I4075" s="1">
        <v>0</v>
      </c>
      <c r="J4075" s="1">
        <v>1</v>
      </c>
      <c r="K4075" s="2">
        <v>5.35</v>
      </c>
    </row>
    <row r="4076" spans="1:12">
      <c r="A4076" s="3" t="s">
        <v>2194</v>
      </c>
      <c r="B4076" s="3" t="s">
        <v>3663</v>
      </c>
      <c r="C4076" s="3" t="s">
        <v>3749</v>
      </c>
      <c r="D4076" s="3"/>
      <c r="E4076" s="2" t="str">
        <f>HYPERLINK("https://old.ukr-mobil.com/zadnyaya_kryshka_samsung_j330_galaxy_j3_2017_gold_10814", "Перейти")</f>
        <v>Перейти</v>
      </c>
      <c r="F4076" s="2">
        <v>10814</v>
      </c>
      <c r="G4076" s="4" t="s">
        <v>4221</v>
      </c>
      <c r="H4076" s="1">
        <v>0</v>
      </c>
      <c r="I4076" s="1">
        <v>0</v>
      </c>
      <c r="J4076" s="1">
        <v>0</v>
      </c>
      <c r="K4076" s="2">
        <v>5.35</v>
      </c>
    </row>
    <row r="4077" spans="1:12">
      <c r="A4077" s="3" t="s">
        <v>2194</v>
      </c>
      <c r="B4077" s="3" t="s">
        <v>3663</v>
      </c>
      <c r="C4077" s="3" t="s">
        <v>3749</v>
      </c>
      <c r="D4077" s="3"/>
      <c r="E4077" s="2" t="str">
        <f>HYPERLINK("https://old.ukr-mobil.com/zadnyaya_kryshka_samsung_j330_galaxy_j3_2017_pink_10816", "Перейти")</f>
        <v>Перейти</v>
      </c>
      <c r="F4077" s="2">
        <v>10816</v>
      </c>
      <c r="G4077" s="4" t="s">
        <v>4222</v>
      </c>
      <c r="H4077" s="1">
        <v>4</v>
      </c>
      <c r="I4077" s="1">
        <v>0</v>
      </c>
      <c r="J4077" s="1">
        <v>1</v>
      </c>
      <c r="K4077" s="2">
        <v>5.35</v>
      </c>
    </row>
    <row r="4078" spans="1:12">
      <c r="A4078" s="3" t="s">
        <v>2194</v>
      </c>
      <c r="B4078" s="3" t="s">
        <v>3663</v>
      </c>
      <c r="C4078" s="3" t="s">
        <v>3749</v>
      </c>
      <c r="D4078" s="3"/>
      <c r="E4078" s="2" t="str">
        <f>HYPERLINK("https://old.ukr-mobil.com/zadnyaya_kryshka_samsung_j400_galaxy_j4_2018_high_copy_black_11310", "Перейти")</f>
        <v>Перейти</v>
      </c>
      <c r="F4078" s="2">
        <v>11310</v>
      </c>
      <c r="G4078" s="4" t="s">
        <v>4223</v>
      </c>
      <c r="H4078" s="1">
        <v>16</v>
      </c>
      <c r="I4078" s="1">
        <v>5</v>
      </c>
      <c r="J4078" s="1">
        <v>3</v>
      </c>
      <c r="K4078" s="2">
        <v>1.5</v>
      </c>
    </row>
    <row r="4079" spans="1:12">
      <c r="A4079" s="3" t="s">
        <v>2194</v>
      </c>
      <c r="B4079" s="3" t="s">
        <v>3663</v>
      </c>
      <c r="C4079" s="3" t="s">
        <v>3749</v>
      </c>
      <c r="D4079" s="3"/>
      <c r="E4079" s="2" t="str">
        <f>HYPERLINK("https://old.ukr-mobil.com/zadnyaya_kryshka_samsung_j510_galaxy_j5_2016_high_copy_black_11585", "Перейти")</f>
        <v>Перейти</v>
      </c>
      <c r="F4079" s="2">
        <v>11585</v>
      </c>
      <c r="G4079" s="4" t="s">
        <v>4224</v>
      </c>
      <c r="H4079" s="1">
        <v>0</v>
      </c>
      <c r="I4079" s="1">
        <v>0</v>
      </c>
      <c r="J4079" s="1">
        <v>0</v>
      </c>
      <c r="K4079" s="2">
        <v>1.75</v>
      </c>
    </row>
    <row r="4080" spans="1:12">
      <c r="A4080" s="3" t="s">
        <v>2194</v>
      </c>
      <c r="B4080" s="3" t="s">
        <v>3663</v>
      </c>
      <c r="C4080" s="3" t="s">
        <v>3749</v>
      </c>
      <c r="D4080" s="3"/>
      <c r="E4080" s="2" t="str">
        <f>HYPERLINK("https://old.ukr-mobil.com/zadnyaya_kryshka_samsung_j510_galaxy_j5_2016_high_copy_gold_11586", "Перейти")</f>
        <v>Перейти</v>
      </c>
      <c r="F4080" s="2">
        <v>11586</v>
      </c>
      <c r="G4080" s="4" t="s">
        <v>4225</v>
      </c>
      <c r="H4080" s="1">
        <v>2</v>
      </c>
      <c r="I4080" s="1">
        <v>0</v>
      </c>
      <c r="J4080" s="1">
        <v>0</v>
      </c>
      <c r="K4080" s="2">
        <v>1.85</v>
      </c>
    </row>
    <row r="4081" spans="1:12">
      <c r="A4081" s="3" t="s">
        <v>2194</v>
      </c>
      <c r="B4081" s="3" t="s">
        <v>3663</v>
      </c>
      <c r="C4081" s="3" t="s">
        <v>3749</v>
      </c>
      <c r="D4081" s="3"/>
      <c r="E4081" s="2" t="str">
        <f>HYPERLINK("https://old.ukr-mobil.com/zadnyaya_kryshka_samsung_j510_galaxy_j5_2016_high_copy_white_11587", "Перейти")</f>
        <v>Перейти</v>
      </c>
      <c r="F4081" s="2">
        <v>11587</v>
      </c>
      <c r="G4081" s="4" t="s">
        <v>4226</v>
      </c>
      <c r="H4081" s="1">
        <v>0</v>
      </c>
      <c r="I4081" s="1">
        <v>0</v>
      </c>
      <c r="J4081" s="1">
        <v>0</v>
      </c>
      <c r="K4081" s="2">
        <v>1.85</v>
      </c>
    </row>
    <row r="4082" spans="1:12">
      <c r="A4082" s="3" t="s">
        <v>2194</v>
      </c>
      <c r="B4082" s="3" t="s">
        <v>3663</v>
      </c>
      <c r="C4082" s="3" t="s">
        <v>3749</v>
      </c>
      <c r="D4082" s="3"/>
      <c r="E4082" s="2" t="str">
        <f>HYPERLINK("https://old.ukr-mobil.com/zadnyaya_kryshka_samsung_j610_galaxy_j6_plus_2018_black_11708", "Перейти")</f>
        <v>Перейти</v>
      </c>
      <c r="F4082" s="2">
        <v>11708</v>
      </c>
      <c r="G4082" s="4" t="s">
        <v>4227</v>
      </c>
      <c r="H4082" s="1">
        <v>0</v>
      </c>
      <c r="I4082" s="1">
        <v>1</v>
      </c>
      <c r="J4082" s="1">
        <v>1</v>
      </c>
      <c r="K4082" s="2">
        <v>2.75</v>
      </c>
    </row>
    <row r="4083" spans="1:12">
      <c r="A4083" s="3" t="s">
        <v>2194</v>
      </c>
      <c r="B4083" s="3" t="s">
        <v>3663</v>
      </c>
      <c r="C4083" s="3" t="s">
        <v>3749</v>
      </c>
      <c r="D4083" s="3"/>
      <c r="E4083" s="2" t="str">
        <f>HYPERLINK("https://old.ukr-mobil.com/zadnyaya_kryshka_samsung_j710_galaxy_j7_2016_high_copy_black_10808", "Перейти")</f>
        <v>Перейти</v>
      </c>
      <c r="F4083" s="2">
        <v>10808</v>
      </c>
      <c r="G4083" s="4" t="s">
        <v>4228</v>
      </c>
      <c r="H4083" s="1">
        <v>11</v>
      </c>
      <c r="I4083" s="1">
        <v>1</v>
      </c>
      <c r="J4083" s="1">
        <v>0</v>
      </c>
      <c r="K4083" s="2">
        <v>2.5</v>
      </c>
    </row>
    <row r="4084" spans="1:12">
      <c r="A4084" s="3" t="s">
        <v>2194</v>
      </c>
      <c r="B4084" s="3" t="s">
        <v>3663</v>
      </c>
      <c r="C4084" s="3" t="s">
        <v>3749</v>
      </c>
      <c r="D4084" s="3"/>
      <c r="E4084" s="2" t="str">
        <f>HYPERLINK("https://old.ukr-mobil.com/zadnyaya_kryshka_samsung_j730_galaxy_j7_2017_black_10811", "Перейти")</f>
        <v>Перейти</v>
      </c>
      <c r="F4084" s="2">
        <v>10811</v>
      </c>
      <c r="G4084" s="4" t="s">
        <v>4229</v>
      </c>
      <c r="H4084" s="1">
        <v>2</v>
      </c>
      <c r="I4084" s="1">
        <v>0</v>
      </c>
      <c r="J4084" s="1">
        <v>1</v>
      </c>
      <c r="K4084" s="2">
        <v>12.1</v>
      </c>
    </row>
    <row r="4085" spans="1:12">
      <c r="A4085" s="3" t="s">
        <v>2194</v>
      </c>
      <c r="B4085" s="3" t="s">
        <v>3663</v>
      </c>
      <c r="C4085" s="3" t="s">
        <v>3749</v>
      </c>
      <c r="D4085" s="3"/>
      <c r="E4085" s="2" t="str">
        <f>HYPERLINK("https://old.ukr-mobil.com/zadnyaya_kryshka_samsung_j730_galaxy_j7_2017_gold_10812", "Перейти")</f>
        <v>Перейти</v>
      </c>
      <c r="F4085" s="2">
        <v>10812</v>
      </c>
      <c r="G4085" s="4" t="s">
        <v>4230</v>
      </c>
      <c r="H4085" s="1">
        <v>1</v>
      </c>
      <c r="I4085" s="1">
        <v>0</v>
      </c>
      <c r="J4085" s="1">
        <v>0</v>
      </c>
      <c r="K4085" s="2">
        <v>12.1</v>
      </c>
    </row>
    <row r="4086" spans="1:12">
      <c r="A4086" s="3" t="s">
        <v>2194</v>
      </c>
      <c r="B4086" s="3" t="s">
        <v>3663</v>
      </c>
      <c r="C4086" s="3" t="s">
        <v>3749</v>
      </c>
      <c r="D4086" s="3"/>
      <c r="E4086" s="2" t="str">
        <f>HYPERLINK("https://old.ukr-mobil.com/index.php?route=product&amp;product_id=10004893", "Перейти")</f>
        <v>Перейти</v>
      </c>
      <c r="F4086" s="2">
        <v>10004893</v>
      </c>
      <c r="G4086" s="4" t="s">
        <v>4231</v>
      </c>
      <c r="H4086" s="1">
        <v>2</v>
      </c>
      <c r="I4086" s="1">
        <v>2</v>
      </c>
      <c r="J4086" s="1">
        <v>0</v>
      </c>
      <c r="K4086" s="2">
        <v>3.75</v>
      </c>
    </row>
    <row r="4087" spans="1:12">
      <c r="A4087" s="3" t="s">
        <v>2194</v>
      </c>
      <c r="B4087" s="3" t="s">
        <v>3663</v>
      </c>
      <c r="C4087" s="3" t="s">
        <v>3749</v>
      </c>
      <c r="D4087" s="3"/>
      <c r="E4087" s="2" t="str">
        <f>HYPERLINK("https://old.ukr-mobil.com/index.php?route=product&amp;product_id=10004895", "Перейти")</f>
        <v>Перейти</v>
      </c>
      <c r="F4087" s="2">
        <v>10004895</v>
      </c>
      <c r="G4087" s="4" t="s">
        <v>4232</v>
      </c>
      <c r="H4087" s="1">
        <v>2</v>
      </c>
      <c r="I4087" s="1">
        <v>3</v>
      </c>
      <c r="J4087" s="1">
        <v>2</v>
      </c>
      <c r="K4087" s="2">
        <v>3.75</v>
      </c>
    </row>
    <row r="4088" spans="1:12">
      <c r="A4088" s="3" t="s">
        <v>2194</v>
      </c>
      <c r="B4088" s="3" t="s">
        <v>3663</v>
      </c>
      <c r="C4088" s="3" t="s">
        <v>3749</v>
      </c>
      <c r="D4088" s="3"/>
      <c r="E4088" s="2" t="str">
        <f>HYPERLINK("https://old.ukr-mobil.com/index.php?route=product&amp;product_id=10004894", "Перейти")</f>
        <v>Перейти</v>
      </c>
      <c r="F4088" s="2">
        <v>10004894</v>
      </c>
      <c r="G4088" s="4" t="s">
        <v>4233</v>
      </c>
      <c r="H4088" s="1">
        <v>1</v>
      </c>
      <c r="I4088" s="1">
        <v>3</v>
      </c>
      <c r="J4088" s="1">
        <v>3</v>
      </c>
      <c r="K4088" s="2">
        <v>3.75</v>
      </c>
    </row>
    <row r="4089" spans="1:12">
      <c r="A4089" s="3" t="s">
        <v>2194</v>
      </c>
      <c r="B4089" s="3" t="s">
        <v>3663</v>
      </c>
      <c r="C4089" s="3" t="s">
        <v>3749</v>
      </c>
      <c r="D4089" s="3"/>
      <c r="E4089" s="2" t="str">
        <f>HYPERLINK("https://old.ukr-mobil.com/zadnyaya_kryshka_samsung_n950_galaxy_note_8_blue_9979", "Перейти")</f>
        <v>Перейти</v>
      </c>
      <c r="F4089" s="2">
        <v>9979</v>
      </c>
      <c r="G4089" s="4" t="s">
        <v>4234</v>
      </c>
      <c r="H4089" s="1">
        <v>0</v>
      </c>
      <c r="I4089" s="1">
        <v>0</v>
      </c>
      <c r="J4089" s="1">
        <v>0</v>
      </c>
      <c r="K4089" s="2">
        <v>3.53</v>
      </c>
    </row>
    <row r="4090" spans="1:12">
      <c r="A4090" s="3" t="s">
        <v>2194</v>
      </c>
      <c r="B4090" s="3" t="s">
        <v>3663</v>
      </c>
      <c r="C4090" s="3" t="s">
        <v>3749</v>
      </c>
      <c r="D4090" s="3"/>
      <c r="E4090" s="2" t="str">
        <f>HYPERLINK("https://old.ukr-mobil.com/zadnyaya_kryshka_samsung_n950_galaxy_note_8_gold_9981", "Перейти")</f>
        <v>Перейти</v>
      </c>
      <c r="F4090" s="2">
        <v>9981</v>
      </c>
      <c r="G4090" s="4" t="s">
        <v>4235</v>
      </c>
      <c r="H4090" s="1">
        <v>0</v>
      </c>
      <c r="I4090" s="1">
        <v>0</v>
      </c>
      <c r="J4090" s="1">
        <v>0</v>
      </c>
      <c r="K4090" s="2">
        <v>3.53</v>
      </c>
    </row>
    <row r="4091" spans="1:12">
      <c r="A4091" s="3" t="s">
        <v>2194</v>
      </c>
      <c r="B4091" s="3" t="s">
        <v>3663</v>
      </c>
      <c r="C4091" s="3" t="s">
        <v>3749</v>
      </c>
      <c r="D4091" s="3"/>
      <c r="E4091" s="2" t="str">
        <f>HYPERLINK("https://old.ukr-mobil.com/zadnyaya_kryshka_samsung_n960_galaxy_note_9_lavender_purple_12159", "Перейти")</f>
        <v>Перейти</v>
      </c>
      <c r="F4091" s="2">
        <v>12159</v>
      </c>
      <c r="G4091" s="4" t="s">
        <v>4236</v>
      </c>
      <c r="H4091" s="1">
        <v>4</v>
      </c>
      <c r="I4091" s="1">
        <v>0</v>
      </c>
      <c r="J4091" s="1">
        <v>0</v>
      </c>
      <c r="K4091" s="2">
        <v>4.54</v>
      </c>
    </row>
    <row r="4092" spans="1:12">
      <c r="A4092" s="3" t="s">
        <v>2194</v>
      </c>
      <c r="B4092" s="3" t="s">
        <v>3663</v>
      </c>
      <c r="C4092" s="3" t="s">
        <v>3749</v>
      </c>
      <c r="D4092" s="3"/>
      <c r="E4092" s="2" t="str">
        <f>HYPERLINK("https://old.ukr-mobil.com/zadnyaya_kryshka_samsung_n960_galaxy_note_9_metallic_copper_12161", "Перейти")</f>
        <v>Перейти</v>
      </c>
      <c r="F4092" s="2">
        <v>12161</v>
      </c>
      <c r="G4092" s="4" t="s">
        <v>4237</v>
      </c>
      <c r="H4092" s="1">
        <v>1</v>
      </c>
      <c r="I4092" s="1">
        <v>0</v>
      </c>
      <c r="J4092" s="1">
        <v>2</v>
      </c>
      <c r="K4092" s="2">
        <v>6.05</v>
      </c>
    </row>
    <row r="4093" spans="1:12">
      <c r="A4093" s="3" t="s">
        <v>2194</v>
      </c>
      <c r="B4093" s="3" t="s">
        <v>3663</v>
      </c>
      <c r="C4093" s="3" t="s">
        <v>3749</v>
      </c>
      <c r="D4093" s="3"/>
      <c r="E4093" s="2" t="str">
        <f>HYPERLINK("https://old.ukr-mobil.com/index.php?route=product&amp;product_id=10005445", "Перейти")</f>
        <v>Перейти</v>
      </c>
      <c r="F4093" s="2">
        <v>10005445</v>
      </c>
      <c r="G4093" s="4" t="s">
        <v>4238</v>
      </c>
      <c r="H4093" s="1">
        <v>10</v>
      </c>
      <c r="I4093" s="1">
        <v>3</v>
      </c>
      <c r="J4093" s="1">
        <v>2</v>
      </c>
      <c r="K4093" s="2">
        <v>7.0</v>
      </c>
    </row>
    <row r="4094" spans="1:12">
      <c r="A4094" s="3" t="s">
        <v>2194</v>
      </c>
      <c r="B4094" s="3" t="s">
        <v>3663</v>
      </c>
      <c r="C4094" s="3" t="s">
        <v>3749</v>
      </c>
      <c r="D4094" s="3"/>
      <c r="E4094" s="2" t="str">
        <f>HYPERLINK("https://old.ukr-mobil.com/index.php?route=product&amp;product_id=10005443", "Перейти")</f>
        <v>Перейти</v>
      </c>
      <c r="F4094" s="2">
        <v>10005443</v>
      </c>
      <c r="G4094" s="4" t="s">
        <v>4239</v>
      </c>
      <c r="H4094" s="1">
        <v>10</v>
      </c>
      <c r="I4094" s="1">
        <v>3</v>
      </c>
      <c r="J4094" s="1">
        <v>2</v>
      </c>
      <c r="K4094" s="2">
        <v>5.1</v>
      </c>
    </row>
    <row r="4095" spans="1:12">
      <c r="A4095" s="3" t="s">
        <v>2194</v>
      </c>
      <c r="B4095" s="3" t="s">
        <v>3663</v>
      </c>
      <c r="C4095" s="3" t="s">
        <v>3749</v>
      </c>
      <c r="D4095" s="3"/>
      <c r="E4095" s="2" t="str">
        <f>HYPERLINK("https://old.ukr-mobil.com/index.php?route=product&amp;product_id=10005442", "Перейти")</f>
        <v>Перейти</v>
      </c>
      <c r="F4095" s="2">
        <v>10005442</v>
      </c>
      <c r="G4095" s="4" t="s">
        <v>4240</v>
      </c>
      <c r="H4095" s="1">
        <v>8</v>
      </c>
      <c r="I4095" s="1">
        <v>5</v>
      </c>
      <c r="J4095" s="1">
        <v>5</v>
      </c>
      <c r="K4095" s="2">
        <v>4.6</v>
      </c>
    </row>
    <row r="4096" spans="1:12">
      <c r="A4096" s="3" t="s">
        <v>2194</v>
      </c>
      <c r="B4096" s="3" t="s">
        <v>3663</v>
      </c>
      <c r="C4096" s="3" t="s">
        <v>3749</v>
      </c>
      <c r="D4096" s="3"/>
      <c r="E4096" s="2" t="str">
        <f>HYPERLINK("https://old.ukr-mobil.com/index.php?route=product&amp;product_id=10005444", "Перейти")</f>
        <v>Перейти</v>
      </c>
      <c r="F4096" s="2">
        <v>10005444</v>
      </c>
      <c r="G4096" s="4" t="s">
        <v>4241</v>
      </c>
      <c r="H4096" s="1">
        <v>8</v>
      </c>
      <c r="I4096" s="1">
        <v>3</v>
      </c>
      <c r="J4096" s="1">
        <v>2</v>
      </c>
      <c r="K4096" s="2">
        <v>5.75</v>
      </c>
    </row>
    <row r="4097" spans="1:12">
      <c r="A4097" s="3" t="s">
        <v>2194</v>
      </c>
      <c r="B4097" s="3" t="s">
        <v>3663</v>
      </c>
      <c r="C4097" s="3" t="s">
        <v>3749</v>
      </c>
      <c r="D4097" s="3"/>
      <c r="E4097" s="2" t="str">
        <f>HYPERLINK("https://old.ukr-mobil.com/index.php?route=product&amp;product_id=10005472", "Перейти")</f>
        <v>Перейти</v>
      </c>
      <c r="F4097" s="2">
        <v>10005472</v>
      </c>
      <c r="G4097" s="4" t="s">
        <v>4242</v>
      </c>
      <c r="H4097" s="1">
        <v>2</v>
      </c>
      <c r="I4097" s="1">
        <v>2</v>
      </c>
      <c r="J4097" s="1">
        <v>1</v>
      </c>
      <c r="K4097" s="2">
        <v>4.85</v>
      </c>
    </row>
    <row r="4098" spans="1:12">
      <c r="A4098" s="3" t="s">
        <v>2194</v>
      </c>
      <c r="B4098" s="3" t="s">
        <v>3663</v>
      </c>
      <c r="C4098" s="3" t="s">
        <v>3749</v>
      </c>
      <c r="D4098" s="3"/>
      <c r="E4098" s="2" t="str">
        <f>HYPERLINK("https://old.ukr-mobil.com/index.php?route=product&amp;product_id=10005470", "Перейти")</f>
        <v>Перейти</v>
      </c>
      <c r="F4098" s="2">
        <v>10005470</v>
      </c>
      <c r="G4098" s="4" t="s">
        <v>4243</v>
      </c>
      <c r="H4098" s="1">
        <v>0</v>
      </c>
      <c r="I4098" s="1">
        <v>3</v>
      </c>
      <c r="J4098" s="1">
        <v>2</v>
      </c>
      <c r="K4098" s="2">
        <v>4.85</v>
      </c>
    </row>
    <row r="4099" spans="1:12">
      <c r="A4099" s="3" t="s">
        <v>2194</v>
      </c>
      <c r="B4099" s="3" t="s">
        <v>3663</v>
      </c>
      <c r="C4099" s="3" t="s">
        <v>3749</v>
      </c>
      <c r="D4099" s="3"/>
      <c r="E4099" s="2" t="str">
        <f>HYPERLINK("https://old.ukr-mobil.com/index.php?route=product&amp;product_id=10005469", "Перейти")</f>
        <v>Перейти</v>
      </c>
      <c r="F4099" s="2">
        <v>10005469</v>
      </c>
      <c r="G4099" s="4" t="s">
        <v>4244</v>
      </c>
      <c r="H4099" s="1">
        <v>2</v>
      </c>
      <c r="I4099" s="1">
        <v>3</v>
      </c>
      <c r="J4099" s="1">
        <v>2</v>
      </c>
      <c r="K4099" s="2">
        <v>7.8</v>
      </c>
    </row>
    <row r="4100" spans="1:12">
      <c r="A4100" s="3" t="s">
        <v>2194</v>
      </c>
      <c r="B4100" s="3" t="s">
        <v>3663</v>
      </c>
      <c r="C4100" s="3" t="s">
        <v>3749</v>
      </c>
      <c r="D4100" s="3"/>
      <c r="E4100" s="2" t="str">
        <f>HYPERLINK("https://old.ukr-mobil.com/index.php?route=product&amp;product_id=10005471", "Перейти")</f>
        <v>Перейти</v>
      </c>
      <c r="F4100" s="2">
        <v>10005471</v>
      </c>
      <c r="G4100" s="4" t="s">
        <v>4245</v>
      </c>
      <c r="H4100" s="1">
        <v>0</v>
      </c>
      <c r="I4100" s="1">
        <v>0</v>
      </c>
      <c r="J4100" s="1">
        <v>0</v>
      </c>
      <c r="K4100" s="2">
        <v>4.85</v>
      </c>
    </row>
    <row r="4101" spans="1:12">
      <c r="A4101" s="3" t="s">
        <v>2194</v>
      </c>
      <c r="B4101" s="3" t="s">
        <v>3663</v>
      </c>
      <c r="C4101" s="3" t="s">
        <v>3749</v>
      </c>
      <c r="D4101" s="3"/>
      <c r="E4101" s="2" t="str">
        <f>HYPERLINK("https://old.ukr-mobil.com/index.php?route=product&amp;product_id=10005449", "Перейти")</f>
        <v>Перейти</v>
      </c>
      <c r="F4101" s="2">
        <v>10005449</v>
      </c>
      <c r="G4101" s="4" t="s">
        <v>4246</v>
      </c>
      <c r="H4101" s="1">
        <v>8</v>
      </c>
      <c r="I4101" s="1">
        <v>4</v>
      </c>
      <c r="J4101" s="1">
        <v>2</v>
      </c>
      <c r="K4101" s="2">
        <v>7.95</v>
      </c>
    </row>
    <row r="4102" spans="1:12">
      <c r="A4102" s="3" t="s">
        <v>2194</v>
      </c>
      <c r="B4102" s="3" t="s">
        <v>3663</v>
      </c>
      <c r="C4102" s="3" t="s">
        <v>3749</v>
      </c>
      <c r="D4102" s="3"/>
      <c r="E4102" s="2" t="str">
        <f>HYPERLINK("https://old.ukr-mobil.com/index.php?route=product&amp;product_id=10005446", "Перейти")</f>
        <v>Перейти</v>
      </c>
      <c r="F4102" s="2">
        <v>10005446</v>
      </c>
      <c r="G4102" s="4" t="s">
        <v>4247</v>
      </c>
      <c r="H4102" s="1">
        <v>1</v>
      </c>
      <c r="I4102" s="1">
        <v>1</v>
      </c>
      <c r="J4102" s="1">
        <v>1</v>
      </c>
      <c r="K4102" s="2">
        <v>6.9</v>
      </c>
    </row>
    <row r="4103" spans="1:12">
      <c r="A4103" s="3" t="s">
        <v>2194</v>
      </c>
      <c r="B4103" s="3" t="s">
        <v>3663</v>
      </c>
      <c r="C4103" s="3" t="s">
        <v>3749</v>
      </c>
      <c r="D4103" s="3"/>
      <c r="E4103" s="2" t="str">
        <f>HYPERLINK("https://old.ukr-mobil.com/index.php?route=product&amp;product_id=10005448", "Перейти")</f>
        <v>Перейти</v>
      </c>
      <c r="F4103" s="2">
        <v>10005448</v>
      </c>
      <c r="G4103" s="4" t="s">
        <v>4248</v>
      </c>
      <c r="H4103" s="1">
        <v>8</v>
      </c>
      <c r="I4103" s="1">
        <v>3</v>
      </c>
      <c r="J4103" s="1">
        <v>2</v>
      </c>
      <c r="K4103" s="2">
        <v>6.3</v>
      </c>
    </row>
    <row r="4104" spans="1:12">
      <c r="A4104" s="3" t="s">
        <v>2194</v>
      </c>
      <c r="B4104" s="3" t="s">
        <v>3663</v>
      </c>
      <c r="C4104" s="3" t="s">
        <v>3749</v>
      </c>
      <c r="D4104" s="3"/>
      <c r="E4104" s="2" t="str">
        <f>HYPERLINK("https://old.ukr-mobil.com/index.php?route=product&amp;product_id=10005474", "Перейти")</f>
        <v>Перейти</v>
      </c>
      <c r="F4104" s="2">
        <v>10005474</v>
      </c>
      <c r="G4104" s="4" t="s">
        <v>4249</v>
      </c>
      <c r="H4104" s="1">
        <v>0</v>
      </c>
      <c r="I4104" s="1">
        <v>0</v>
      </c>
      <c r="J4104" s="1">
        <v>0</v>
      </c>
      <c r="K4104" s="2">
        <v>6.35</v>
      </c>
    </row>
    <row r="4105" spans="1:12">
      <c r="A4105" s="3" t="s">
        <v>2194</v>
      </c>
      <c r="B4105" s="3" t="s">
        <v>3663</v>
      </c>
      <c r="C4105" s="3" t="s">
        <v>3749</v>
      </c>
      <c r="D4105" s="3"/>
      <c r="E4105" s="2" t="str">
        <f>HYPERLINK("https://old.ukr-mobil.com/index.php?route=product&amp;product_id=10005447", "Перейти")</f>
        <v>Перейти</v>
      </c>
      <c r="F4105" s="2">
        <v>10005447</v>
      </c>
      <c r="G4105" s="4" t="s">
        <v>4250</v>
      </c>
      <c r="H4105" s="1">
        <v>0</v>
      </c>
      <c r="I4105" s="1">
        <v>0</v>
      </c>
      <c r="J4105" s="1">
        <v>0</v>
      </c>
      <c r="K4105" s="2">
        <v>7.65</v>
      </c>
    </row>
    <row r="4106" spans="1:12">
      <c r="A4106" s="3" t="s">
        <v>2194</v>
      </c>
      <c r="B4106" s="3" t="s">
        <v>3663</v>
      </c>
      <c r="C4106" s="3" t="s">
        <v>3749</v>
      </c>
      <c r="D4106" s="3"/>
      <c r="E4106" s="2" t="str">
        <f>HYPERLINK("https://old.ukr-mobil.com/index.php?route=product&amp;product_id=10005473", "Перейти")</f>
        <v>Перейти</v>
      </c>
      <c r="F4106" s="2">
        <v>10005473</v>
      </c>
      <c r="G4106" s="4" t="s">
        <v>4251</v>
      </c>
      <c r="H4106" s="1">
        <v>4</v>
      </c>
      <c r="I4106" s="1">
        <v>3</v>
      </c>
      <c r="J4106" s="1">
        <v>1</v>
      </c>
      <c r="K4106" s="2">
        <v>6.35</v>
      </c>
    </row>
    <row r="4107" spans="1:12">
      <c r="A4107" s="3" t="s">
        <v>2194</v>
      </c>
      <c r="B4107" s="3" t="s">
        <v>3663</v>
      </c>
      <c r="C4107" s="3" t="s">
        <v>3749</v>
      </c>
      <c r="D4107" s="3"/>
      <c r="E4107" s="2" t="str">
        <f>HYPERLINK("https://old.ukr-mobil.com/index.php?route=product&amp;product_id=10005452", "Перейти")</f>
        <v>Перейти</v>
      </c>
      <c r="F4107" s="2">
        <v>10005452</v>
      </c>
      <c r="G4107" s="4" t="s">
        <v>4252</v>
      </c>
      <c r="H4107" s="1">
        <v>9</v>
      </c>
      <c r="I4107" s="1">
        <v>5</v>
      </c>
      <c r="J4107" s="1">
        <v>5</v>
      </c>
      <c r="K4107" s="2">
        <v>9.2</v>
      </c>
    </row>
    <row r="4108" spans="1:12">
      <c r="A4108" s="3" t="s">
        <v>2194</v>
      </c>
      <c r="B4108" s="3" t="s">
        <v>3663</v>
      </c>
      <c r="C4108" s="3" t="s">
        <v>3749</v>
      </c>
      <c r="D4108" s="3"/>
      <c r="E4108" s="2" t="str">
        <f>HYPERLINK("https://old.ukr-mobil.com/index.php?route=product&amp;product_id=10005450", "Перейти")</f>
        <v>Перейти</v>
      </c>
      <c r="F4108" s="2">
        <v>10005450</v>
      </c>
      <c r="G4108" s="4" t="s">
        <v>4253</v>
      </c>
      <c r="H4108" s="1">
        <v>10</v>
      </c>
      <c r="I4108" s="1">
        <v>3</v>
      </c>
      <c r="J4108" s="1">
        <v>2</v>
      </c>
      <c r="K4108" s="2">
        <v>9.2</v>
      </c>
    </row>
    <row r="4109" spans="1:12">
      <c r="A4109" s="3" t="s">
        <v>2194</v>
      </c>
      <c r="B4109" s="3" t="s">
        <v>3663</v>
      </c>
      <c r="C4109" s="3" t="s">
        <v>3749</v>
      </c>
      <c r="D4109" s="3"/>
      <c r="E4109" s="2" t="str">
        <f>HYPERLINK("https://old.ukr-mobil.com/index.php?route=product&amp;product_id=10005451", "Перейти")</f>
        <v>Перейти</v>
      </c>
      <c r="F4109" s="2">
        <v>10005451</v>
      </c>
      <c r="G4109" s="4" t="s">
        <v>4254</v>
      </c>
      <c r="H4109" s="1">
        <v>9</v>
      </c>
      <c r="I4109" s="1">
        <v>3</v>
      </c>
      <c r="J4109" s="1">
        <v>2</v>
      </c>
      <c r="K4109" s="2">
        <v>8.95</v>
      </c>
    </row>
    <row r="4110" spans="1:12">
      <c r="A4110" s="3" t="s">
        <v>2194</v>
      </c>
      <c r="B4110" s="3" t="s">
        <v>3663</v>
      </c>
      <c r="C4110" s="3" t="s">
        <v>3749</v>
      </c>
      <c r="D4110" s="3"/>
      <c r="E4110" s="2" t="str">
        <f>HYPERLINK("https://old.ukr-mobil.com/index.php?route=product&amp;product_id=10005468", "Перейти")</f>
        <v>Перейти</v>
      </c>
      <c r="F4110" s="2">
        <v>10005468</v>
      </c>
      <c r="G4110" s="4" t="s">
        <v>4255</v>
      </c>
      <c r="H4110" s="1">
        <v>10</v>
      </c>
      <c r="I4110" s="1">
        <v>2</v>
      </c>
      <c r="J4110" s="1">
        <v>2</v>
      </c>
      <c r="K4110" s="2">
        <v>6.1</v>
      </c>
    </row>
    <row r="4111" spans="1:12">
      <c r="A4111" s="3" t="s">
        <v>2194</v>
      </c>
      <c r="B4111" s="3" t="s">
        <v>3663</v>
      </c>
      <c r="C4111" s="3" t="s">
        <v>3749</v>
      </c>
      <c r="D4111" s="3"/>
      <c r="E4111" s="2" t="str">
        <f>HYPERLINK("https://old.ukr-mobil.com/index.php?route=product&amp;product_id=10005477", "Перейти")</f>
        <v>Перейти</v>
      </c>
      <c r="F4111" s="2">
        <v>10005477</v>
      </c>
      <c r="G4111" s="4" t="s">
        <v>4256</v>
      </c>
      <c r="H4111" s="1">
        <v>7</v>
      </c>
      <c r="I4111" s="1">
        <v>3</v>
      </c>
      <c r="J4111" s="1">
        <v>2</v>
      </c>
      <c r="K4111" s="2">
        <v>8.0</v>
      </c>
    </row>
    <row r="4112" spans="1:12">
      <c r="A4112" s="3" t="s">
        <v>2194</v>
      </c>
      <c r="B4112" s="3" t="s">
        <v>3663</v>
      </c>
      <c r="C4112" s="3" t="s">
        <v>3749</v>
      </c>
      <c r="D4112" s="3"/>
      <c r="E4112" s="2" t="str">
        <f>HYPERLINK("https://old.ukr-mobil.com/index.php?route=product&amp;product_id=10005476", "Перейти")</f>
        <v>Перейти</v>
      </c>
      <c r="F4112" s="2">
        <v>10005476</v>
      </c>
      <c r="G4112" s="4" t="s">
        <v>4257</v>
      </c>
      <c r="H4112" s="1">
        <v>7</v>
      </c>
      <c r="I4112" s="1">
        <v>3</v>
      </c>
      <c r="J4112" s="1">
        <v>2</v>
      </c>
      <c r="K4112" s="2">
        <v>8.0</v>
      </c>
    </row>
    <row r="4113" spans="1:12">
      <c r="A4113" s="3" t="s">
        <v>2194</v>
      </c>
      <c r="B4113" s="3" t="s">
        <v>3663</v>
      </c>
      <c r="C4113" s="3" t="s">
        <v>3749</v>
      </c>
      <c r="D4113" s="3"/>
      <c r="E4113" s="2" t="str">
        <f>HYPERLINK("https://old.ukr-mobil.com/index.php?route=product&amp;product_id=10005478", "Перейти")</f>
        <v>Перейти</v>
      </c>
      <c r="F4113" s="2">
        <v>10005478</v>
      </c>
      <c r="G4113" s="4" t="s">
        <v>4258</v>
      </c>
      <c r="H4113" s="1">
        <v>7</v>
      </c>
      <c r="I4113" s="1">
        <v>3</v>
      </c>
      <c r="J4113" s="1">
        <v>2</v>
      </c>
      <c r="K4113" s="2">
        <v>6.15</v>
      </c>
    </row>
    <row r="4114" spans="1:12">
      <c r="A4114" s="3" t="s">
        <v>2194</v>
      </c>
      <c r="B4114" s="3" t="s">
        <v>3663</v>
      </c>
      <c r="C4114" s="3" t="s">
        <v>3749</v>
      </c>
      <c r="D4114" s="3"/>
      <c r="E4114" s="2" t="str">
        <f>HYPERLINK("https://old.ukr-mobil.com/index.php?route=product&amp;product_id=10005475", "Перейти")</f>
        <v>Перейти</v>
      </c>
      <c r="F4114" s="2">
        <v>10005475</v>
      </c>
      <c r="G4114" s="4" t="s">
        <v>4259</v>
      </c>
      <c r="H4114" s="1">
        <v>5</v>
      </c>
      <c r="I4114" s="1">
        <v>2</v>
      </c>
      <c r="J4114" s="1">
        <v>2</v>
      </c>
      <c r="K4114" s="2">
        <v>7.65</v>
      </c>
    </row>
    <row r="4115" spans="1:12">
      <c r="A4115" s="3" t="s">
        <v>2194</v>
      </c>
      <c r="B4115" s="3" t="s">
        <v>3663</v>
      </c>
      <c r="C4115" s="3" t="s">
        <v>3749</v>
      </c>
      <c r="D4115" s="3"/>
      <c r="E4115" s="2" t="str">
        <f>HYPERLINK("https://old.ukr-mobil.com/index.php?route=product&amp;product_id=10005460", "Перейти")</f>
        <v>Перейти</v>
      </c>
      <c r="F4115" s="2">
        <v>10005460</v>
      </c>
      <c r="G4115" s="4" t="s">
        <v>4260</v>
      </c>
      <c r="H4115" s="1">
        <v>10</v>
      </c>
      <c r="I4115" s="1">
        <v>3</v>
      </c>
      <c r="J4115" s="1">
        <v>2</v>
      </c>
      <c r="K4115" s="2">
        <v>8.2</v>
      </c>
    </row>
    <row r="4116" spans="1:12">
      <c r="A4116" s="3" t="s">
        <v>2194</v>
      </c>
      <c r="B4116" s="3" t="s">
        <v>3663</v>
      </c>
      <c r="C4116" s="3" t="s">
        <v>3749</v>
      </c>
      <c r="D4116" s="3"/>
      <c r="E4116" s="2" t="str">
        <f>HYPERLINK("https://old.ukr-mobil.com/index.php?route=product&amp;product_id=10005461", "Перейти")</f>
        <v>Перейти</v>
      </c>
      <c r="F4116" s="2">
        <v>10005461</v>
      </c>
      <c r="G4116" s="4" t="s">
        <v>4261</v>
      </c>
      <c r="H4116" s="1">
        <v>10</v>
      </c>
      <c r="I4116" s="1">
        <v>3</v>
      </c>
      <c r="J4116" s="1">
        <v>2</v>
      </c>
      <c r="K4116" s="2">
        <v>8.4</v>
      </c>
    </row>
    <row r="4117" spans="1:12">
      <c r="A4117" s="3" t="s">
        <v>2194</v>
      </c>
      <c r="B4117" s="3" t="s">
        <v>3663</v>
      </c>
      <c r="C4117" s="3" t="s">
        <v>3749</v>
      </c>
      <c r="D4117" s="3"/>
      <c r="E4117" s="2" t="str">
        <f>HYPERLINK("https://old.ukr-mobil.com/index.php?route=product&amp;product_id=10005459", "Перейти")</f>
        <v>Перейти</v>
      </c>
      <c r="F4117" s="2">
        <v>10005459</v>
      </c>
      <c r="G4117" s="4" t="s">
        <v>4262</v>
      </c>
      <c r="H4117" s="1">
        <v>10</v>
      </c>
      <c r="I4117" s="1">
        <v>3</v>
      </c>
      <c r="J4117" s="1">
        <v>2</v>
      </c>
      <c r="K4117" s="2">
        <v>5.6</v>
      </c>
    </row>
    <row r="4118" spans="1:12">
      <c r="A4118" s="3" t="s">
        <v>2194</v>
      </c>
      <c r="B4118" s="3" t="s">
        <v>3663</v>
      </c>
      <c r="C4118" s="3" t="s">
        <v>3749</v>
      </c>
      <c r="D4118" s="3"/>
      <c r="E4118" s="2" t="str">
        <f>HYPERLINK("https://old.ukr-mobil.com/index.php?route=product&amp;product_id=10005480", "Перейти")</f>
        <v>Перейти</v>
      </c>
      <c r="F4118" s="2">
        <v>10005480</v>
      </c>
      <c r="G4118" s="4" t="s">
        <v>4263</v>
      </c>
      <c r="H4118" s="1">
        <v>4</v>
      </c>
      <c r="I4118" s="1">
        <v>3</v>
      </c>
      <c r="J4118" s="1">
        <v>2</v>
      </c>
      <c r="K4118" s="2">
        <v>6.15</v>
      </c>
    </row>
    <row r="4119" spans="1:12">
      <c r="A4119" s="3" t="s">
        <v>2194</v>
      </c>
      <c r="B4119" s="3" t="s">
        <v>3663</v>
      </c>
      <c r="C4119" s="3" t="s">
        <v>3749</v>
      </c>
      <c r="D4119" s="3"/>
      <c r="E4119" s="2" t="str">
        <f>HYPERLINK("https://old.ukr-mobil.com/index.php?route=product&amp;product_id=10005481", "Перейти")</f>
        <v>Перейти</v>
      </c>
      <c r="F4119" s="2">
        <v>10005481</v>
      </c>
      <c r="G4119" s="4" t="s">
        <v>4264</v>
      </c>
      <c r="H4119" s="1">
        <v>4</v>
      </c>
      <c r="I4119" s="1">
        <v>3</v>
      </c>
      <c r="J4119" s="1">
        <v>2</v>
      </c>
      <c r="K4119" s="2">
        <v>6.15</v>
      </c>
    </row>
    <row r="4120" spans="1:12">
      <c r="A4120" s="3" t="s">
        <v>2194</v>
      </c>
      <c r="B4120" s="3" t="s">
        <v>3663</v>
      </c>
      <c r="C4120" s="3" t="s">
        <v>3749</v>
      </c>
      <c r="D4120" s="3"/>
      <c r="E4120" s="2" t="str">
        <f>HYPERLINK("https://old.ukr-mobil.com/index.php?route=product&amp;product_id=10005479", "Перейти")</f>
        <v>Перейти</v>
      </c>
      <c r="F4120" s="2">
        <v>10005479</v>
      </c>
      <c r="G4120" s="4" t="s">
        <v>4265</v>
      </c>
      <c r="H4120" s="1">
        <v>3</v>
      </c>
      <c r="I4120" s="1">
        <v>3</v>
      </c>
      <c r="J4120" s="1">
        <v>2</v>
      </c>
      <c r="K4120" s="2">
        <v>6.15</v>
      </c>
    </row>
    <row r="4121" spans="1:12">
      <c r="A4121" s="3" t="s">
        <v>2194</v>
      </c>
      <c r="B4121" s="3" t="s">
        <v>3663</v>
      </c>
      <c r="C4121" s="3" t="s">
        <v>3749</v>
      </c>
      <c r="D4121" s="3"/>
      <c r="E4121" s="2" t="str">
        <f>HYPERLINK("https://old.ukr-mobil.com/index.php?route=product&amp;product_id=10005467", "Перейти")</f>
        <v>Перейти</v>
      </c>
      <c r="F4121" s="2">
        <v>10005467</v>
      </c>
      <c r="G4121" s="4" t="s">
        <v>4266</v>
      </c>
      <c r="H4121" s="1">
        <v>10</v>
      </c>
      <c r="I4121" s="1">
        <v>3</v>
      </c>
      <c r="J4121" s="1">
        <v>2</v>
      </c>
      <c r="K4121" s="2">
        <v>10.65</v>
      </c>
    </row>
    <row r="4122" spans="1:12">
      <c r="A4122" s="3" t="s">
        <v>2194</v>
      </c>
      <c r="B4122" s="3" t="s">
        <v>3663</v>
      </c>
      <c r="C4122" s="3" t="s">
        <v>3749</v>
      </c>
      <c r="D4122" s="3"/>
      <c r="E4122" s="2" t="str">
        <f>HYPERLINK("https://old.ukr-mobil.com/index.php?route=product&amp;product_id=10005466", "Перейти")</f>
        <v>Перейти</v>
      </c>
      <c r="F4122" s="2">
        <v>10005466</v>
      </c>
      <c r="G4122" s="4" t="s">
        <v>4267</v>
      </c>
      <c r="H4122" s="1">
        <v>10</v>
      </c>
      <c r="I4122" s="1">
        <v>2</v>
      </c>
      <c r="J4122" s="1">
        <v>2</v>
      </c>
      <c r="K4122" s="2">
        <v>10.65</v>
      </c>
    </row>
    <row r="4123" spans="1:12">
      <c r="A4123" s="3" t="s">
        <v>2194</v>
      </c>
      <c r="B4123" s="3" t="s">
        <v>3663</v>
      </c>
      <c r="C4123" s="3" t="s">
        <v>3749</v>
      </c>
      <c r="D4123" s="3"/>
      <c r="E4123" s="2" t="str">
        <f>HYPERLINK("https://old.ukr-mobil.com/index.php?route=product&amp;product_id=10005465", "Перейти")</f>
        <v>Перейти</v>
      </c>
      <c r="F4123" s="2">
        <v>10005465</v>
      </c>
      <c r="G4123" s="4" t="s">
        <v>4268</v>
      </c>
      <c r="H4123" s="1">
        <v>9</v>
      </c>
      <c r="I4123" s="1">
        <v>3</v>
      </c>
      <c r="J4123" s="1">
        <v>2</v>
      </c>
      <c r="K4123" s="2">
        <v>10.65</v>
      </c>
    </row>
    <row r="4124" spans="1:12">
      <c r="A4124" s="3" t="s">
        <v>2194</v>
      </c>
      <c r="B4124" s="3" t="s">
        <v>3663</v>
      </c>
      <c r="C4124" s="3" t="s">
        <v>3749</v>
      </c>
      <c r="D4124" s="3"/>
      <c r="E4124" s="2" t="str">
        <f>HYPERLINK("https://old.ukr-mobil.com/index.php?route=product&amp;product_id=10005464", "Перейти")</f>
        <v>Перейти</v>
      </c>
      <c r="F4124" s="2">
        <v>10005464</v>
      </c>
      <c r="G4124" s="4" t="s">
        <v>4269</v>
      </c>
      <c r="H4124" s="1">
        <v>7</v>
      </c>
      <c r="I4124" s="1">
        <v>3</v>
      </c>
      <c r="J4124" s="1">
        <v>2</v>
      </c>
      <c r="K4124" s="2">
        <v>10.65</v>
      </c>
    </row>
    <row r="4125" spans="1:12">
      <c r="A4125" s="3" t="s">
        <v>2194</v>
      </c>
      <c r="B4125" s="3" t="s">
        <v>3663</v>
      </c>
      <c r="C4125" s="3" t="s">
        <v>3749</v>
      </c>
      <c r="D4125" s="3"/>
      <c r="E4125" s="2" t="str">
        <f>HYPERLINK("https://old.ukr-mobil.com/index.php?route=product&amp;product_id=10005485", "Перейти")</f>
        <v>Перейти</v>
      </c>
      <c r="F4125" s="2">
        <v>10005485</v>
      </c>
      <c r="G4125" s="4" t="s">
        <v>4270</v>
      </c>
      <c r="H4125" s="1">
        <v>5</v>
      </c>
      <c r="I4125" s="1">
        <v>3</v>
      </c>
      <c r="J4125" s="1">
        <v>2</v>
      </c>
      <c r="K4125" s="2">
        <v>8.1</v>
      </c>
    </row>
    <row r="4126" spans="1:12">
      <c r="A4126" s="3" t="s">
        <v>2194</v>
      </c>
      <c r="B4126" s="3" t="s">
        <v>3663</v>
      </c>
      <c r="C4126" s="3" t="s">
        <v>3749</v>
      </c>
      <c r="D4126" s="3"/>
      <c r="E4126" s="2" t="str">
        <f>HYPERLINK("https://old.ukr-mobil.com/index.php?route=product&amp;product_id=10005483", "Перейти")</f>
        <v>Перейти</v>
      </c>
      <c r="F4126" s="2">
        <v>10005483</v>
      </c>
      <c r="G4126" s="4" t="s">
        <v>4271</v>
      </c>
      <c r="H4126" s="1">
        <v>0</v>
      </c>
      <c r="I4126" s="1">
        <v>0</v>
      </c>
      <c r="J4126" s="1">
        <v>0</v>
      </c>
      <c r="K4126" s="2">
        <v>8.1</v>
      </c>
    </row>
    <row r="4127" spans="1:12">
      <c r="A4127" s="3" t="s">
        <v>2194</v>
      </c>
      <c r="B4127" s="3" t="s">
        <v>3663</v>
      </c>
      <c r="C4127" s="3" t="s">
        <v>3749</v>
      </c>
      <c r="D4127" s="3"/>
      <c r="E4127" s="2" t="str">
        <f>HYPERLINK("https://old.ukr-mobil.com/index.php?route=product&amp;product_id=10005484", "Перейти")</f>
        <v>Перейти</v>
      </c>
      <c r="F4127" s="2">
        <v>10005484</v>
      </c>
      <c r="G4127" s="4" t="s">
        <v>4272</v>
      </c>
      <c r="H4127" s="1">
        <v>4</v>
      </c>
      <c r="I4127" s="1">
        <v>3</v>
      </c>
      <c r="J4127" s="1">
        <v>2</v>
      </c>
      <c r="K4127" s="2">
        <v>8.1</v>
      </c>
    </row>
    <row r="4128" spans="1:12">
      <c r="A4128" s="3" t="s">
        <v>2194</v>
      </c>
      <c r="B4128" s="3" t="s">
        <v>3663</v>
      </c>
      <c r="C4128" s="3" t="s">
        <v>3749</v>
      </c>
      <c r="D4128" s="3"/>
      <c r="E4128" s="2" t="str">
        <f>HYPERLINK("https://old.ukr-mobil.com/index.php?route=product&amp;product_id=10005482", "Перейти")</f>
        <v>Перейти</v>
      </c>
      <c r="F4128" s="2">
        <v>10005482</v>
      </c>
      <c r="G4128" s="4" t="s">
        <v>4273</v>
      </c>
      <c r="H4128" s="1">
        <v>0</v>
      </c>
      <c r="I4128" s="1">
        <v>0</v>
      </c>
      <c r="J4128" s="1">
        <v>0</v>
      </c>
      <c r="K4128" s="2">
        <v>8.35</v>
      </c>
    </row>
    <row r="4129" spans="1:12">
      <c r="A4129" s="3" t="s">
        <v>2194</v>
      </c>
      <c r="B4129" s="3" t="s">
        <v>3663</v>
      </c>
      <c r="C4129" s="3" t="s">
        <v>3749</v>
      </c>
      <c r="D4129" s="3"/>
      <c r="E4129" s="2" t="str">
        <f>HYPERLINK("https://old.ukr-mobil.com/zadnyaya_kryshka_sony_c6602_xperia_z_c6603_xperia_z_black_4849", "Перейти")</f>
        <v>Перейти</v>
      </c>
      <c r="F4129" s="2">
        <v>4849</v>
      </c>
      <c r="G4129" s="4" t="s">
        <v>4274</v>
      </c>
      <c r="H4129" s="1">
        <v>1</v>
      </c>
      <c r="I4129" s="1">
        <v>0</v>
      </c>
      <c r="J4129" s="1">
        <v>0</v>
      </c>
      <c r="K4129" s="2">
        <v>1.76</v>
      </c>
    </row>
    <row r="4130" spans="1:12">
      <c r="A4130" s="3" t="s">
        <v>2194</v>
      </c>
      <c r="B4130" s="3" t="s">
        <v>3663</v>
      </c>
      <c r="C4130" s="3" t="s">
        <v>3749</v>
      </c>
      <c r="D4130" s="3"/>
      <c r="E4130" s="2" t="str">
        <f>HYPERLINK("https://old.ukr-mobil.com/zadnyaya_kryshka_sony_c6602_xperia_z_c6603_xperia_z_white_4848", "Перейти")</f>
        <v>Перейти</v>
      </c>
      <c r="F4130" s="2">
        <v>4848</v>
      </c>
      <c r="G4130" s="4" t="s">
        <v>4275</v>
      </c>
      <c r="H4130" s="1">
        <v>4</v>
      </c>
      <c r="I4130" s="1">
        <v>0</v>
      </c>
      <c r="J4130" s="1">
        <v>1</v>
      </c>
      <c r="K4130" s="2">
        <v>1.76</v>
      </c>
    </row>
    <row r="4131" spans="1:12">
      <c r="A4131" s="3" t="s">
        <v>2194</v>
      </c>
      <c r="B4131" s="3" t="s">
        <v>3663</v>
      </c>
      <c r="C4131" s="3" t="s">
        <v>3749</v>
      </c>
      <c r="D4131" s="3"/>
      <c r="E4131" s="2" t="str">
        <f>HYPERLINK("https://old.ukr-mobil.com/zadnyaya_kryshka_sony_d5503_xperia_z1_compact_white_6804", "Перейти")</f>
        <v>Перейти</v>
      </c>
      <c r="F4131" s="2">
        <v>6804</v>
      </c>
      <c r="G4131" s="4" t="s">
        <v>4276</v>
      </c>
      <c r="H4131" s="1">
        <v>2</v>
      </c>
      <c r="I4131" s="1">
        <v>0</v>
      </c>
      <c r="J4131" s="1">
        <v>0</v>
      </c>
      <c r="K4131" s="2">
        <v>2.52</v>
      </c>
    </row>
    <row r="4132" spans="1:12">
      <c r="A4132" s="3" t="s">
        <v>2194</v>
      </c>
      <c r="B4132" s="3" t="s">
        <v>3663</v>
      </c>
      <c r="C4132" s="3" t="s">
        <v>3749</v>
      </c>
      <c r="D4132" s="3"/>
      <c r="E4132" s="2" t="str">
        <f>HYPERLINK("https://old.ukr-mobil.com/zadnyaya_kryshka_sony_d6603_xperia_z3_d6633_xperia_z3_d6643_xperia_z3_d6653_xperia_z3_white_6033", "Перейти")</f>
        <v>Перейти</v>
      </c>
      <c r="F4132" s="2">
        <v>6033</v>
      </c>
      <c r="G4132" s="4" t="s">
        <v>4277</v>
      </c>
      <c r="H4132" s="1">
        <v>2</v>
      </c>
      <c r="I4132" s="1">
        <v>2</v>
      </c>
      <c r="J4132" s="1">
        <v>2</v>
      </c>
      <c r="K4132" s="2">
        <v>2.02</v>
      </c>
    </row>
    <row r="4133" spans="1:12">
      <c r="A4133" s="3" t="s">
        <v>2194</v>
      </c>
      <c r="B4133" s="3" t="s">
        <v>3663</v>
      </c>
      <c r="C4133" s="3" t="s">
        <v>3749</v>
      </c>
      <c r="D4133" s="3"/>
      <c r="E4133" s="2" t="str">
        <f>HYPERLINK("https://old.ukr-mobil.com/zadnyaya_kryshka_sony_e6533_xperia_z3_ds_e6553_xperia_z3_xperia_z4_black_8085", "Перейти")</f>
        <v>Перейти</v>
      </c>
      <c r="F4133" s="2">
        <v>8085</v>
      </c>
      <c r="G4133" s="4" t="s">
        <v>4278</v>
      </c>
      <c r="H4133" s="1">
        <v>0</v>
      </c>
      <c r="I4133" s="1">
        <v>3</v>
      </c>
      <c r="J4133" s="1">
        <v>2</v>
      </c>
      <c r="K4133" s="2">
        <v>2.02</v>
      </c>
    </row>
    <row r="4134" spans="1:12">
      <c r="A4134" s="3" t="s">
        <v>2194</v>
      </c>
      <c r="B4134" s="3" t="s">
        <v>3663</v>
      </c>
      <c r="C4134" s="3" t="s">
        <v>3749</v>
      </c>
      <c r="D4134" s="3"/>
      <c r="E4134" s="2" t="str">
        <f>HYPERLINK("https://old.ukr-mobil.com/zadnyaya_kryshka_sony_e6533_xperia_z3_ds_e6553_xperia_z3_xperia_z4_white_8084", "Перейти")</f>
        <v>Перейти</v>
      </c>
      <c r="F4134" s="2">
        <v>8084</v>
      </c>
      <c r="G4134" s="4" t="s">
        <v>4279</v>
      </c>
      <c r="H4134" s="1">
        <v>16</v>
      </c>
      <c r="I4134" s="1">
        <v>2</v>
      </c>
      <c r="J4134" s="1">
        <v>2</v>
      </c>
      <c r="K4134" s="2">
        <v>2.02</v>
      </c>
    </row>
    <row r="4135" spans="1:12">
      <c r="A4135" s="3" t="s">
        <v>2194</v>
      </c>
      <c r="B4135" s="3" t="s">
        <v>3663</v>
      </c>
      <c r="C4135" s="3" t="s">
        <v>3749</v>
      </c>
      <c r="D4135" s="3"/>
      <c r="E4135" s="2" t="str">
        <f>HYPERLINK("https://old.ukr-mobil.com/zadnyaya_kryshka_sony_e6833_xperia_z5_premium_dual_e6853_xperia_z5_premium_e6883_xperia_z5_premium_dual_white_9297", "Перейти")</f>
        <v>Перейти</v>
      </c>
      <c r="F4135" s="2">
        <v>9297</v>
      </c>
      <c r="G4135" s="4" t="s">
        <v>4280</v>
      </c>
      <c r="H4135" s="1">
        <v>0</v>
      </c>
      <c r="I4135" s="1">
        <v>0</v>
      </c>
      <c r="J4135" s="1">
        <v>0</v>
      </c>
      <c r="K4135" s="2">
        <v>2.37</v>
      </c>
    </row>
    <row r="4136" spans="1:12">
      <c r="A4136" s="3" t="s">
        <v>2194</v>
      </c>
      <c r="B4136" s="3" t="s">
        <v>3663</v>
      </c>
      <c r="C4136" s="3" t="s">
        <v>3749</v>
      </c>
      <c r="D4136" s="3"/>
      <c r="E4136" s="2" t="str">
        <f>HYPERLINK("https://old.ukr-mobil.com/zadnyaya_kryshka_sony_f3111_xperia_xa_f3112_xperia_xa_dual_f3113_xperia_xa_f3115_xperia_xa_f3116_xperia_xa_dual_gold_9300", "Перейти")</f>
        <v>Перейти</v>
      </c>
      <c r="F4136" s="2">
        <v>9300</v>
      </c>
      <c r="G4136" s="4" t="s">
        <v>4281</v>
      </c>
      <c r="H4136" s="1">
        <v>7</v>
      </c>
      <c r="I4136" s="1">
        <v>0</v>
      </c>
      <c r="J4136" s="1">
        <v>2</v>
      </c>
      <c r="K4136" s="2">
        <v>3.53</v>
      </c>
    </row>
    <row r="4137" spans="1:12">
      <c r="A4137" s="3" t="s">
        <v>2194</v>
      </c>
      <c r="B4137" s="3" t="s">
        <v>3663</v>
      </c>
      <c r="C4137" s="3" t="s">
        <v>3749</v>
      </c>
      <c r="D4137" s="3"/>
      <c r="E4137" s="2" t="str">
        <f>HYPERLINK("https://old.ukr-mobil.com/zadnyaya_kryshka_sony_f3111_xperia_xa_f3112_xperia_xa_dual_f3113_xperia_xa_f3115_xperia_xa_f3116_xperia_xa_dual_pink_9301", "Перейти")</f>
        <v>Перейти</v>
      </c>
      <c r="F4137" s="2">
        <v>9301</v>
      </c>
      <c r="G4137" s="4" t="s">
        <v>4282</v>
      </c>
      <c r="H4137" s="1">
        <v>20</v>
      </c>
      <c r="I4137" s="1">
        <v>0</v>
      </c>
      <c r="J4137" s="1">
        <v>3</v>
      </c>
      <c r="K4137" s="2">
        <v>3.53</v>
      </c>
    </row>
    <row r="4138" spans="1:12">
      <c r="A4138" s="3" t="s">
        <v>2194</v>
      </c>
      <c r="B4138" s="3" t="s">
        <v>3663</v>
      </c>
      <c r="C4138" s="3" t="s">
        <v>3749</v>
      </c>
      <c r="D4138" s="3"/>
      <c r="E4138" s="2" t="str">
        <f>HYPERLINK("https://old.ukr-mobil.com/zadnyaya_kryshka_sony_f3111_xperia_xa_f3112_xperia_xa_dual_f3113_xperia_xa_f3115_xperia_xa_f3116_xperia_xa_dual_white_9299", "Перейти")</f>
        <v>Перейти</v>
      </c>
      <c r="F4138" s="2">
        <v>9299</v>
      </c>
      <c r="G4138" s="4" t="s">
        <v>4283</v>
      </c>
      <c r="H4138" s="1">
        <v>16</v>
      </c>
      <c r="I4138" s="1">
        <v>0</v>
      </c>
      <c r="J4138" s="1">
        <v>2</v>
      </c>
      <c r="K4138" s="2">
        <v>3.53</v>
      </c>
    </row>
    <row r="4139" spans="1:12">
      <c r="A4139" s="3" t="s">
        <v>2194</v>
      </c>
      <c r="B4139" s="3" t="s">
        <v>3663</v>
      </c>
      <c r="C4139" s="3" t="s">
        <v>3749</v>
      </c>
      <c r="D4139" s="3"/>
      <c r="E4139" s="2" t="str">
        <f>HYPERLINK("https://old.ukr-mobil.com/zadnyaya_kryshka_sony_f5121_xperia_x_f5122_xperia_x_dual_f8131_xperia_x_performance_f8132_xperia_x_performance_dual_black_12115", "Перейти")</f>
        <v>Перейти</v>
      </c>
      <c r="F4139" s="2">
        <v>12115</v>
      </c>
      <c r="G4139" s="4" t="s">
        <v>4284</v>
      </c>
      <c r="H4139" s="1">
        <v>0</v>
      </c>
      <c r="I4139" s="1">
        <v>0</v>
      </c>
      <c r="J4139" s="1">
        <v>0</v>
      </c>
      <c r="K4139" s="2">
        <v>4.03</v>
      </c>
    </row>
    <row r="4140" spans="1:12">
      <c r="A4140" s="3" t="s">
        <v>2194</v>
      </c>
      <c r="B4140" s="3" t="s">
        <v>3663</v>
      </c>
      <c r="C4140" s="3" t="s">
        <v>3749</v>
      </c>
      <c r="D4140" s="3"/>
      <c r="E4140" s="2" t="str">
        <f>HYPERLINK("https://old.ukr-mobil.com/zadnyaya_kryshka_sony_f5321_xperia_x_compact_black_12120", "Перейти")</f>
        <v>Перейти</v>
      </c>
      <c r="F4140" s="2">
        <v>12120</v>
      </c>
      <c r="G4140" s="4" t="s">
        <v>4285</v>
      </c>
      <c r="H4140" s="1">
        <v>4</v>
      </c>
      <c r="I4140" s="1">
        <v>0</v>
      </c>
      <c r="J4140" s="1">
        <v>2</v>
      </c>
      <c r="K4140" s="2">
        <v>4.03</v>
      </c>
    </row>
    <row r="4141" spans="1:12">
      <c r="A4141" s="3" t="s">
        <v>2194</v>
      </c>
      <c r="B4141" s="3" t="s">
        <v>3663</v>
      </c>
      <c r="C4141" s="3" t="s">
        <v>3749</v>
      </c>
      <c r="D4141" s="3"/>
      <c r="E4141" s="2" t="str">
        <f>HYPERLINK("https://old.ukr-mobil.com/zadnyaya_kryshka_sony_f8332_xperia_xz_black_12119", "Перейти")</f>
        <v>Перейти</v>
      </c>
      <c r="F4141" s="2">
        <v>12119</v>
      </c>
      <c r="G4141" s="4" t="s">
        <v>4286</v>
      </c>
      <c r="H4141" s="1">
        <v>7</v>
      </c>
      <c r="I4141" s="1">
        <v>0</v>
      </c>
      <c r="J4141" s="1">
        <v>2</v>
      </c>
      <c r="K4141" s="2">
        <v>5.54</v>
      </c>
    </row>
    <row r="4142" spans="1:12">
      <c r="A4142" s="3" t="s">
        <v>2194</v>
      </c>
      <c r="B4142" s="3" t="s">
        <v>3663</v>
      </c>
      <c r="C4142" s="3" t="s">
        <v>3749</v>
      </c>
      <c r="D4142" s="3"/>
      <c r="E4142" s="2" t="str">
        <f>HYPERLINK("https://old.ukr-mobil.com/zadnyaya_kryshka_sony_g3112_xperia_xa1_dual_g3116_xperia_xa1_g3121_xperia_xa1_g3125_xperia_xa1_s_tachskrinom_black_12116", "Перейти")</f>
        <v>Перейти</v>
      </c>
      <c r="F4142" s="2">
        <v>12116</v>
      </c>
      <c r="G4142" s="4" t="s">
        <v>4287</v>
      </c>
      <c r="H4142" s="1">
        <v>0</v>
      </c>
      <c r="I4142" s="1">
        <v>0</v>
      </c>
      <c r="J4142" s="1">
        <v>0</v>
      </c>
      <c r="K4142" s="2">
        <v>4.03</v>
      </c>
    </row>
    <row r="4143" spans="1:12">
      <c r="A4143" s="3" t="s">
        <v>2194</v>
      </c>
      <c r="B4143" s="3" t="s">
        <v>3663</v>
      </c>
      <c r="C4143" s="3" t="s">
        <v>3749</v>
      </c>
      <c r="D4143" s="3"/>
      <c r="E4143" s="2" t="str">
        <f>HYPERLINK("https://old.ukr-mobil.com/zadnyaya_kryshka_sony_h3113_xperia_xa2_h3123_xperia_xa2_h3133_xperia_xa2_h4113_xperia_xa2_h4133_xperia_xa2_black_12117", "Перейти")</f>
        <v>Перейти</v>
      </c>
      <c r="F4143" s="2">
        <v>12117</v>
      </c>
      <c r="G4143" s="4" t="s">
        <v>4288</v>
      </c>
      <c r="H4143" s="1">
        <v>1</v>
      </c>
      <c r="I4143" s="1">
        <v>0</v>
      </c>
      <c r="J4143" s="1">
        <v>1</v>
      </c>
      <c r="K4143" s="2">
        <v>4.03</v>
      </c>
    </row>
    <row r="4144" spans="1:12">
      <c r="A4144" s="3" t="s">
        <v>2194</v>
      </c>
      <c r="B4144" s="3" t="s">
        <v>3663</v>
      </c>
      <c r="C4144" s="3" t="s">
        <v>3749</v>
      </c>
      <c r="D4144" s="3"/>
      <c r="E4144" s="2" t="str">
        <f>HYPERLINK("https://old.ukr-mobil.com/zadnyaya_kryshka_sony_h4311_xperia_l2_black_12118", "Перейти")</f>
        <v>Перейти</v>
      </c>
      <c r="F4144" s="2">
        <v>12118</v>
      </c>
      <c r="G4144" s="4" t="s">
        <v>4289</v>
      </c>
      <c r="H4144" s="1">
        <v>7</v>
      </c>
      <c r="I4144" s="1">
        <v>0</v>
      </c>
      <c r="J4144" s="1">
        <v>2</v>
      </c>
      <c r="K4144" s="2">
        <v>5.5</v>
      </c>
    </row>
    <row r="4145" spans="1:12">
      <c r="A4145" s="3" t="s">
        <v>2194</v>
      </c>
      <c r="B4145" s="3" t="s">
        <v>3663</v>
      </c>
      <c r="C4145" s="3" t="s">
        <v>3749</v>
      </c>
      <c r="D4145" s="3"/>
      <c r="E4145" s="2" t="str">
        <f>HYPERLINK("https://old.ukr-mobil.com/zadnyaya_kryshka_tecno_camon_17p_cg7n_frost_silver_10002494", "Перейти")</f>
        <v>Перейти</v>
      </c>
      <c r="F4145" s="2">
        <v>10002494</v>
      </c>
      <c r="G4145" s="4" t="s">
        <v>4290</v>
      </c>
      <c r="H4145" s="1">
        <v>8</v>
      </c>
      <c r="I4145" s="1">
        <v>3</v>
      </c>
      <c r="J4145" s="1">
        <v>1</v>
      </c>
      <c r="K4145" s="2">
        <v>7.5</v>
      </c>
    </row>
    <row r="4146" spans="1:12">
      <c r="A4146" s="3" t="s">
        <v>2194</v>
      </c>
      <c r="B4146" s="3" t="s">
        <v>3663</v>
      </c>
      <c r="C4146" s="3" t="s">
        <v>3749</v>
      </c>
      <c r="D4146" s="3"/>
      <c r="E4146" s="2" t="str">
        <f>HYPERLINK("https://old.ukr-mobil.com/zadnyaya_kryshka_tecno_camon_17p_cg7n_magnet_black_10002493", "Перейти")</f>
        <v>Перейти</v>
      </c>
      <c r="F4146" s="2">
        <v>10002493</v>
      </c>
      <c r="G4146" s="4" t="s">
        <v>4291</v>
      </c>
      <c r="H4146" s="1">
        <v>1</v>
      </c>
      <c r="I4146" s="1">
        <v>1</v>
      </c>
      <c r="J4146" s="1">
        <v>3</v>
      </c>
      <c r="K4146" s="2">
        <v>7.5</v>
      </c>
    </row>
    <row r="4147" spans="1:12">
      <c r="A4147" s="3" t="s">
        <v>2194</v>
      </c>
      <c r="B4147" s="3" t="s">
        <v>3663</v>
      </c>
      <c r="C4147" s="3" t="s">
        <v>3749</v>
      </c>
      <c r="D4147" s="3"/>
      <c r="E4147" s="2" t="str">
        <f>HYPERLINK("https://old.ukr-mobil.com/zadnyaya_kryshka_tecno_camon_17p_cg7n_spruce_green_10002495", "Перейти")</f>
        <v>Перейти</v>
      </c>
      <c r="F4147" s="2">
        <v>10002495</v>
      </c>
      <c r="G4147" s="4" t="s">
        <v>4292</v>
      </c>
      <c r="H4147" s="1">
        <v>4</v>
      </c>
      <c r="I4147" s="1">
        <v>2</v>
      </c>
      <c r="J4147" s="1">
        <v>2</v>
      </c>
      <c r="K4147" s="2">
        <v>7.5</v>
      </c>
    </row>
    <row r="4148" spans="1:12">
      <c r="A4148" s="3" t="s">
        <v>2194</v>
      </c>
      <c r="B4148" s="3" t="s">
        <v>3663</v>
      </c>
      <c r="C4148" s="3" t="s">
        <v>3749</v>
      </c>
      <c r="D4148" s="3"/>
      <c r="E4148" s="2" t="str">
        <f>HYPERLINK("https://old.ukr-mobil.com/index.php?route=product&amp;product_id=10004900", "Перейти")</f>
        <v>Перейти</v>
      </c>
      <c r="F4148" s="2">
        <v>10004900</v>
      </c>
      <c r="G4148" s="4" t="s">
        <v>4293</v>
      </c>
      <c r="H4148" s="1">
        <v>0</v>
      </c>
      <c r="I4148" s="1">
        <v>0</v>
      </c>
      <c r="J4148" s="1">
        <v>0</v>
      </c>
      <c r="K4148" s="2">
        <v>3.5</v>
      </c>
    </row>
    <row r="4149" spans="1:12">
      <c r="A4149" s="3" t="s">
        <v>2194</v>
      </c>
      <c r="B4149" s="3" t="s">
        <v>3663</v>
      </c>
      <c r="C4149" s="3" t="s">
        <v>3749</v>
      </c>
      <c r="D4149" s="3"/>
      <c r="E4149" s="2" t="str">
        <f>HYPERLINK("https://old.ukr-mobil.com/zadnyaya_kryshka_tecno_pop_5_bd2p_ice_blue_10002499", "Перейти")</f>
        <v>Перейти</v>
      </c>
      <c r="F4149" s="2">
        <v>10002499</v>
      </c>
      <c r="G4149" s="4" t="s">
        <v>4294</v>
      </c>
      <c r="H4149" s="1">
        <v>0</v>
      </c>
      <c r="I4149" s="1">
        <v>1</v>
      </c>
      <c r="J4149" s="1">
        <v>0</v>
      </c>
      <c r="K4149" s="2">
        <v>5.75</v>
      </c>
    </row>
    <row r="4150" spans="1:12">
      <c r="A4150" s="3" t="s">
        <v>2194</v>
      </c>
      <c r="B4150" s="3" t="s">
        <v>3663</v>
      </c>
      <c r="C4150" s="3" t="s">
        <v>3749</v>
      </c>
      <c r="D4150" s="3"/>
      <c r="E4150" s="2" t="str">
        <f>HYPERLINK("https://old.ukr-mobil.com/zadnyaya_kryshka_tecno_pop_5_bd2p_ice_lake_green_10002497", "Перейти")</f>
        <v>Перейти</v>
      </c>
      <c r="F4150" s="2">
        <v>10002497</v>
      </c>
      <c r="G4150" s="4" t="s">
        <v>4295</v>
      </c>
      <c r="H4150" s="1">
        <v>3</v>
      </c>
      <c r="I4150" s="1">
        <v>1</v>
      </c>
      <c r="J4150" s="1">
        <v>1</v>
      </c>
      <c r="K4150" s="2">
        <v>5.75</v>
      </c>
    </row>
    <row r="4151" spans="1:12">
      <c r="A4151" s="3" t="s">
        <v>2194</v>
      </c>
      <c r="B4151" s="3" t="s">
        <v>3663</v>
      </c>
      <c r="C4151" s="3" t="s">
        <v>3749</v>
      </c>
      <c r="D4151" s="3"/>
      <c r="E4151" s="2" t="str">
        <f>HYPERLINK("https://old.ukr-mobil.com/zadnyaya_kryshka_tecno_pop_5_bd2p_obsidian_black_10002498", "Перейти")</f>
        <v>Перейти</v>
      </c>
      <c r="F4151" s="2">
        <v>10002498</v>
      </c>
      <c r="G4151" s="4" t="s">
        <v>4296</v>
      </c>
      <c r="H4151" s="1">
        <v>0</v>
      </c>
      <c r="I4151" s="1">
        <v>0</v>
      </c>
      <c r="J4151" s="1">
        <v>0</v>
      </c>
      <c r="K4151" s="2">
        <v>5.75</v>
      </c>
    </row>
    <row r="4152" spans="1:12">
      <c r="A4152" s="3" t="s">
        <v>2194</v>
      </c>
      <c r="B4152" s="3" t="s">
        <v>3663</v>
      </c>
      <c r="C4152" s="3" t="s">
        <v>3749</v>
      </c>
      <c r="D4152" s="3"/>
      <c r="E4152" s="2" t="str">
        <f>HYPERLINK("https://old.ukr-mobil.com/zadnyaya_kryshka_tecno_pova_2_le7n_dazzle_black_10002496", "Перейти")</f>
        <v>Перейти</v>
      </c>
      <c r="F4152" s="2">
        <v>10002496</v>
      </c>
      <c r="G4152" s="4" t="s">
        <v>4297</v>
      </c>
      <c r="H4152" s="1">
        <v>5</v>
      </c>
      <c r="I4152" s="1">
        <v>4</v>
      </c>
      <c r="J4152" s="1">
        <v>3</v>
      </c>
      <c r="K4152" s="2">
        <v>7.0</v>
      </c>
    </row>
    <row r="4153" spans="1:12">
      <c r="A4153" s="3" t="s">
        <v>2194</v>
      </c>
      <c r="B4153" s="3" t="s">
        <v>3663</v>
      </c>
      <c r="C4153" s="3" t="s">
        <v>3749</v>
      </c>
      <c r="D4153" s="3"/>
      <c r="E4153" s="2" t="str">
        <f>HYPERLINK("https://old.ukr-mobil.com/index.php?route=product&amp;product_id=10004883", "Перейти")</f>
        <v>Перейти</v>
      </c>
      <c r="F4153" s="2">
        <v>10004883</v>
      </c>
      <c r="G4153" s="4" t="s">
        <v>4298</v>
      </c>
      <c r="H4153" s="1">
        <v>3</v>
      </c>
      <c r="I4153" s="1">
        <v>1</v>
      </c>
      <c r="J4153" s="1">
        <v>0</v>
      </c>
      <c r="K4153" s="2">
        <v>3.75</v>
      </c>
    </row>
    <row r="4154" spans="1:12">
      <c r="A4154" s="3" t="s">
        <v>2194</v>
      </c>
      <c r="B4154" s="3" t="s">
        <v>3663</v>
      </c>
      <c r="C4154" s="3" t="s">
        <v>3749</v>
      </c>
      <c r="D4154" s="3"/>
      <c r="E4154" s="2" t="str">
        <f>HYPERLINK("https://old.ukr-mobil.com/index.php?route=product&amp;product_id=10004882", "Перейти")</f>
        <v>Перейти</v>
      </c>
      <c r="F4154" s="2">
        <v>10004882</v>
      </c>
      <c r="G4154" s="4" t="s">
        <v>4299</v>
      </c>
      <c r="H4154" s="1">
        <v>0</v>
      </c>
      <c r="I4154" s="1">
        <v>0</v>
      </c>
      <c r="J4154" s="1">
        <v>0</v>
      </c>
      <c r="K4154" s="2">
        <v>3.75</v>
      </c>
    </row>
    <row r="4155" spans="1:12">
      <c r="A4155" s="3" t="s">
        <v>2194</v>
      </c>
      <c r="B4155" s="3" t="s">
        <v>3663</v>
      </c>
      <c r="C4155" s="3" t="s">
        <v>3749</v>
      </c>
      <c r="D4155" s="3"/>
      <c r="E4155" s="2" t="str">
        <f>HYPERLINK("https://old.ukr-mobil.com/index.php?route=product&amp;product_id=10004904", "Перейти")</f>
        <v>Перейти</v>
      </c>
      <c r="F4155" s="2">
        <v>10004904</v>
      </c>
      <c r="G4155" s="4" t="s">
        <v>4300</v>
      </c>
      <c r="H4155" s="1">
        <v>0</v>
      </c>
      <c r="I4155" s="1">
        <v>0</v>
      </c>
      <c r="J4155" s="1">
        <v>0</v>
      </c>
      <c r="K4155" s="2">
        <v>6.0</v>
      </c>
    </row>
    <row r="4156" spans="1:12">
      <c r="A4156" s="3" t="s">
        <v>2194</v>
      </c>
      <c r="B4156" s="3" t="s">
        <v>3663</v>
      </c>
      <c r="C4156" s="3" t="s">
        <v>3749</v>
      </c>
      <c r="D4156" s="3"/>
      <c r="E4156" s="2" t="str">
        <f>HYPERLINK("https://old.ukr-mobil.com/index.php?route=product&amp;product_id=10004903", "Перейти")</f>
        <v>Перейти</v>
      </c>
      <c r="F4156" s="2">
        <v>10004903</v>
      </c>
      <c r="G4156" s="4" t="s">
        <v>4301</v>
      </c>
      <c r="H4156" s="1">
        <v>0</v>
      </c>
      <c r="I4156" s="1">
        <v>0</v>
      </c>
      <c r="J4156" s="1">
        <v>0</v>
      </c>
      <c r="K4156" s="2">
        <v>6.0</v>
      </c>
    </row>
    <row r="4157" spans="1:12">
      <c r="A4157" s="3" t="s">
        <v>2194</v>
      </c>
      <c r="B4157" s="3" t="s">
        <v>3663</v>
      </c>
      <c r="C4157" s="3" t="s">
        <v>3749</v>
      </c>
      <c r="D4157" s="3"/>
      <c r="E4157" s="2" t="str">
        <f>HYPERLINK("https://old.ukr-mobil.com/zadnyaya_kryshka_tecno_spark_6_ke7_comet_black_10002500", "Перейти")</f>
        <v>Перейти</v>
      </c>
      <c r="F4157" s="2">
        <v>10002500</v>
      </c>
      <c r="G4157" s="4" t="s">
        <v>4302</v>
      </c>
      <c r="H4157" s="1">
        <v>9</v>
      </c>
      <c r="I4157" s="1">
        <v>3</v>
      </c>
      <c r="J4157" s="1">
        <v>1</v>
      </c>
      <c r="K4157" s="2">
        <v>6.0</v>
      </c>
    </row>
    <row r="4158" spans="1:12">
      <c r="A4158" s="3" t="s">
        <v>2194</v>
      </c>
      <c r="B4158" s="3" t="s">
        <v>3663</v>
      </c>
      <c r="C4158" s="3" t="s">
        <v>3749</v>
      </c>
      <c r="D4158" s="3"/>
      <c r="E4158" s="2" t="str">
        <f>HYPERLINK("https://old.ukr-mobil.com/zadnyaya_kryshka_tecno_spark_6_ke7_ocean_blue_10002501", "Перейти")</f>
        <v>Перейти</v>
      </c>
      <c r="F4158" s="2">
        <v>10002501</v>
      </c>
      <c r="G4158" s="4" t="s">
        <v>4303</v>
      </c>
      <c r="H4158" s="1">
        <v>9</v>
      </c>
      <c r="I4158" s="1">
        <v>3</v>
      </c>
      <c r="J4158" s="1">
        <v>2</v>
      </c>
      <c r="K4158" s="2">
        <v>6.0</v>
      </c>
    </row>
    <row r="4159" spans="1:12">
      <c r="A4159" s="3" t="s">
        <v>2194</v>
      </c>
      <c r="B4159" s="3" t="s">
        <v>3663</v>
      </c>
      <c r="C4159" s="3" t="s">
        <v>3749</v>
      </c>
      <c r="D4159" s="3"/>
      <c r="E4159" s="2" t="str">
        <f>HYPERLINK("https://old.ukr-mobil.com/zadnyaya_kryshka_tecno_spark_6_ke7_purple_10002502", "Перейти")</f>
        <v>Перейти</v>
      </c>
      <c r="F4159" s="2">
        <v>10002502</v>
      </c>
      <c r="G4159" s="4" t="s">
        <v>4304</v>
      </c>
      <c r="H4159" s="1">
        <v>9</v>
      </c>
      <c r="I4159" s="1">
        <v>4</v>
      </c>
      <c r="J4159" s="1">
        <v>3</v>
      </c>
      <c r="K4159" s="2">
        <v>6.0</v>
      </c>
    </row>
    <row r="4160" spans="1:12">
      <c r="A4160" s="3" t="s">
        <v>2194</v>
      </c>
      <c r="B4160" s="3" t="s">
        <v>3663</v>
      </c>
      <c r="C4160" s="3" t="s">
        <v>3749</v>
      </c>
      <c r="D4160" s="3"/>
      <c r="E4160" s="2" t="str">
        <f>HYPERLINK("https://old.ukr-mobil.com/zadnyaya_kryshka_tecno_spark_7_kf6n_magnet_black_10002490", "Перейти")</f>
        <v>Перейти</v>
      </c>
      <c r="F4160" s="2">
        <v>10002490</v>
      </c>
      <c r="G4160" s="4" t="s">
        <v>4305</v>
      </c>
      <c r="H4160" s="1">
        <v>1</v>
      </c>
      <c r="I4160" s="1">
        <v>0</v>
      </c>
      <c r="J4160" s="1">
        <v>2</v>
      </c>
      <c r="K4160" s="2">
        <v>5.75</v>
      </c>
    </row>
    <row r="4161" spans="1:12">
      <c r="A4161" s="3" t="s">
        <v>2194</v>
      </c>
      <c r="B4161" s="3" t="s">
        <v>3663</v>
      </c>
      <c r="C4161" s="3" t="s">
        <v>3749</v>
      </c>
      <c r="D4161" s="3"/>
      <c r="E4161" s="2" t="str">
        <f>HYPERLINK("https://old.ukr-mobil.com/zadnyaya_kryshka_tecno_spark_7_kf6n_morpheus_blue_10002491", "Перейти")</f>
        <v>Перейти</v>
      </c>
      <c r="F4161" s="2">
        <v>10002491</v>
      </c>
      <c r="G4161" s="4" t="s">
        <v>4306</v>
      </c>
      <c r="H4161" s="1">
        <v>4</v>
      </c>
      <c r="I4161" s="1">
        <v>1</v>
      </c>
      <c r="J4161" s="1">
        <v>2</v>
      </c>
      <c r="K4161" s="2">
        <v>5.75</v>
      </c>
    </row>
    <row r="4162" spans="1:12">
      <c r="A4162" s="3" t="s">
        <v>2194</v>
      </c>
      <c r="B4162" s="3" t="s">
        <v>3663</v>
      </c>
      <c r="C4162" s="3" t="s">
        <v>3749</v>
      </c>
      <c r="D4162" s="3"/>
      <c r="E4162" s="2" t="str">
        <f>HYPERLINK("https://old.ukr-mobil.com/zadnyaya_kryshka_tecno_spark_7_kf6n_spruce_green_10002492", "Перейти")</f>
        <v>Перейти</v>
      </c>
      <c r="F4162" s="2">
        <v>10002492</v>
      </c>
      <c r="G4162" s="4" t="s">
        <v>4307</v>
      </c>
      <c r="H4162" s="1">
        <v>2</v>
      </c>
      <c r="I4162" s="1">
        <v>2</v>
      </c>
      <c r="J4162" s="1">
        <v>1</v>
      </c>
      <c r="K4162" s="2">
        <v>5.75</v>
      </c>
    </row>
    <row r="4163" spans="1:12">
      <c r="A4163" s="3" t="s">
        <v>2194</v>
      </c>
      <c r="B4163" s="3" t="s">
        <v>3663</v>
      </c>
      <c r="C4163" s="3" t="s">
        <v>3749</v>
      </c>
      <c r="D4163" s="3"/>
      <c r="E4163" s="2" t="str">
        <f>HYPERLINK("https://old.ukr-mobil.com/index.php?route=product&amp;product_id=10004891", "Перейти")</f>
        <v>Перейти</v>
      </c>
      <c r="F4163" s="2">
        <v>10004891</v>
      </c>
      <c r="G4163" s="4" t="s">
        <v>4308</v>
      </c>
      <c r="H4163" s="1">
        <v>0</v>
      </c>
      <c r="I4163" s="1">
        <v>0</v>
      </c>
      <c r="J4163" s="1">
        <v>0</v>
      </c>
      <c r="K4163" s="2">
        <v>3.75</v>
      </c>
    </row>
    <row r="4164" spans="1:12">
      <c r="A4164" s="3" t="s">
        <v>2194</v>
      </c>
      <c r="B4164" s="3" t="s">
        <v>3663</v>
      </c>
      <c r="C4164" s="3" t="s">
        <v>3749</v>
      </c>
      <c r="D4164" s="3"/>
      <c r="E4164" s="2" t="str">
        <f>HYPERLINK("https://old.ukr-mobil.com/index.php?route=product&amp;product_id=10005413", "Перейти")</f>
        <v>Перейти</v>
      </c>
      <c r="F4164" s="2">
        <v>10005413</v>
      </c>
      <c r="G4164" s="4" t="s">
        <v>4309</v>
      </c>
      <c r="H4164" s="1">
        <v>16</v>
      </c>
      <c r="I4164" s="1">
        <v>6</v>
      </c>
      <c r="J4164" s="1">
        <v>7</v>
      </c>
      <c r="K4164" s="2">
        <v>5.2</v>
      </c>
    </row>
    <row r="4165" spans="1:12">
      <c r="A4165" s="3" t="s">
        <v>2194</v>
      </c>
      <c r="B4165" s="3" t="s">
        <v>3663</v>
      </c>
      <c r="C4165" s="3" t="s">
        <v>3749</v>
      </c>
      <c r="D4165" s="3"/>
      <c r="E4165" s="2" t="str">
        <f>HYPERLINK("https://old.ukr-mobil.com/index.php?route=product&amp;product_id=10004906", "Перейти")</f>
        <v>Перейти</v>
      </c>
      <c r="F4165" s="2">
        <v>10004906</v>
      </c>
      <c r="G4165" s="4" t="s">
        <v>4310</v>
      </c>
      <c r="H4165" s="1">
        <v>2</v>
      </c>
      <c r="I4165" s="1">
        <v>3</v>
      </c>
      <c r="J4165" s="1">
        <v>0</v>
      </c>
      <c r="K4165" s="2">
        <v>3.75</v>
      </c>
    </row>
    <row r="4166" spans="1:12">
      <c r="A4166" s="3" t="s">
        <v>2194</v>
      </c>
      <c r="B4166" s="3" t="s">
        <v>3663</v>
      </c>
      <c r="C4166" s="3" t="s">
        <v>3749</v>
      </c>
      <c r="D4166" s="3"/>
      <c r="E4166" s="2" t="str">
        <f>HYPERLINK("https://old.ukr-mobil.com/index.php?route=product&amp;product_id=10004905", "Перейти")</f>
        <v>Перейти</v>
      </c>
      <c r="F4166" s="2">
        <v>10004905</v>
      </c>
      <c r="G4166" s="4" t="s">
        <v>4311</v>
      </c>
      <c r="H4166" s="1">
        <v>3</v>
      </c>
      <c r="I4166" s="1">
        <v>2</v>
      </c>
      <c r="J4166" s="1">
        <v>2</v>
      </c>
      <c r="K4166" s="2">
        <v>3.75</v>
      </c>
    </row>
    <row r="4167" spans="1:12">
      <c r="A4167" s="3" t="s">
        <v>2194</v>
      </c>
      <c r="B4167" s="3" t="s">
        <v>3663</v>
      </c>
      <c r="C4167" s="3" t="s">
        <v>3749</v>
      </c>
      <c r="D4167" s="3"/>
      <c r="E4167" s="2" t="str">
        <f>HYPERLINK("https://old.ukr-mobil.com/index.php?route=product&amp;product_id=10004884", "Перейти")</f>
        <v>Перейти</v>
      </c>
      <c r="F4167" s="2">
        <v>10004884</v>
      </c>
      <c r="G4167" s="4" t="s">
        <v>4312</v>
      </c>
      <c r="H4167" s="1">
        <v>4</v>
      </c>
      <c r="I4167" s="1">
        <v>3</v>
      </c>
      <c r="J4167" s="1">
        <v>0</v>
      </c>
      <c r="K4167" s="2">
        <v>4.0</v>
      </c>
    </row>
    <row r="4168" spans="1:12">
      <c r="A4168" s="3" t="s">
        <v>2194</v>
      </c>
      <c r="B4168" s="3" t="s">
        <v>3663</v>
      </c>
      <c r="C4168" s="3" t="s">
        <v>3749</v>
      </c>
      <c r="D4168" s="3"/>
      <c r="E4168" s="2" t="str">
        <f>HYPERLINK("https://old.ukr-mobil.com/index.php?route=product&amp;product_id=10004890", "Перейти")</f>
        <v>Перейти</v>
      </c>
      <c r="F4168" s="2">
        <v>10004890</v>
      </c>
      <c r="G4168" s="4" t="s">
        <v>4313</v>
      </c>
      <c r="H4168" s="1">
        <v>2</v>
      </c>
      <c r="I4168" s="1">
        <v>2</v>
      </c>
      <c r="J4168" s="1">
        <v>2</v>
      </c>
      <c r="K4168" s="2">
        <v>3.75</v>
      </c>
    </row>
    <row r="4169" spans="1:12">
      <c r="A4169" s="3" t="s">
        <v>2194</v>
      </c>
      <c r="B4169" s="3" t="s">
        <v>3663</v>
      </c>
      <c r="C4169" s="3" t="s">
        <v>3749</v>
      </c>
      <c r="D4169" s="3"/>
      <c r="E4169" s="2" t="str">
        <f>HYPERLINK("https://old.ukr-mobil.com/index.php?route=product&amp;product_id=10004889", "Перейти")</f>
        <v>Перейти</v>
      </c>
      <c r="F4169" s="2">
        <v>10004889</v>
      </c>
      <c r="G4169" s="4" t="s">
        <v>4314</v>
      </c>
      <c r="H4169" s="1">
        <v>1</v>
      </c>
      <c r="I4169" s="1">
        <v>0</v>
      </c>
      <c r="J4169" s="1">
        <v>2</v>
      </c>
      <c r="K4169" s="2">
        <v>3.75</v>
      </c>
    </row>
    <row r="4170" spans="1:12">
      <c r="A4170" s="3" t="s">
        <v>2194</v>
      </c>
      <c r="B4170" s="3" t="s">
        <v>3663</v>
      </c>
      <c r="C4170" s="3" t="s">
        <v>3749</v>
      </c>
      <c r="D4170" s="3"/>
      <c r="E4170" s="2" t="str">
        <f>HYPERLINK("https://old.ukr-mobil.com/zadnyaya_kryshka_xiaomi_11t_11t_pro_original_prc_celestial_blue_10003210", "Перейти")</f>
        <v>Перейти</v>
      </c>
      <c r="F4170" s="2">
        <v>10003210</v>
      </c>
      <c r="G4170" s="4" t="s">
        <v>4315</v>
      </c>
      <c r="H4170" s="1">
        <v>1</v>
      </c>
      <c r="I4170" s="1">
        <v>0</v>
      </c>
      <c r="J4170" s="1">
        <v>0</v>
      </c>
      <c r="K4170" s="2">
        <v>6.75</v>
      </c>
    </row>
    <row r="4171" spans="1:12">
      <c r="A4171" s="3" t="s">
        <v>2194</v>
      </c>
      <c r="B4171" s="3" t="s">
        <v>3663</v>
      </c>
      <c r="C4171" s="3" t="s">
        <v>3749</v>
      </c>
      <c r="D4171" s="3"/>
      <c r="E4171" s="2" t="str">
        <f>HYPERLINK("https://old.ukr-mobil.com/zadnyaya_kryshka_xiaomi_11t_11t_pro_original_prc_meteorite_gray_10003211", "Перейти")</f>
        <v>Перейти</v>
      </c>
      <c r="F4171" s="2">
        <v>10003211</v>
      </c>
      <c r="G4171" s="4" t="s">
        <v>4316</v>
      </c>
      <c r="H4171" s="1">
        <v>0</v>
      </c>
      <c r="I4171" s="1">
        <v>0</v>
      </c>
      <c r="J4171" s="1">
        <v>0</v>
      </c>
      <c r="K4171" s="2">
        <v>5.5</v>
      </c>
    </row>
    <row r="4172" spans="1:12">
      <c r="A4172" s="3" t="s">
        <v>2194</v>
      </c>
      <c r="B4172" s="3" t="s">
        <v>3663</v>
      </c>
      <c r="C4172" s="3" t="s">
        <v>3749</v>
      </c>
      <c r="D4172" s="3"/>
      <c r="E4172" s="2" t="str">
        <f>HYPERLINK("https://old.ukr-mobil.com/zadnyaya_kryshka_xiaomi_11t_11t_pro_original_prc_moonlight_white_10003213", "Перейти")</f>
        <v>Перейти</v>
      </c>
      <c r="F4172" s="2">
        <v>10003213</v>
      </c>
      <c r="G4172" s="4" t="s">
        <v>4317</v>
      </c>
      <c r="H4172" s="1">
        <v>2</v>
      </c>
      <c r="I4172" s="1">
        <v>6</v>
      </c>
      <c r="J4172" s="1">
        <v>0</v>
      </c>
      <c r="K4172" s="2">
        <v>5.5</v>
      </c>
    </row>
    <row r="4173" spans="1:12">
      <c r="A4173" s="3" t="s">
        <v>2194</v>
      </c>
      <c r="B4173" s="3" t="s">
        <v>3663</v>
      </c>
      <c r="C4173" s="3" t="s">
        <v>3749</v>
      </c>
      <c r="D4173" s="3"/>
      <c r="E4173" s="2" t="str">
        <f>HYPERLINK("https://old.ukr-mobil.com/index.php?route=product&amp;product_id=10005230", "Перейти")</f>
        <v>Перейти</v>
      </c>
      <c r="F4173" s="2">
        <v>10005230</v>
      </c>
      <c r="G4173" s="4" t="s">
        <v>4318</v>
      </c>
      <c r="H4173" s="1">
        <v>0</v>
      </c>
      <c r="I4173" s="1">
        <v>0</v>
      </c>
      <c r="J4173" s="1">
        <v>0</v>
      </c>
      <c r="K4173" s="2">
        <v>5.38</v>
      </c>
    </row>
    <row r="4174" spans="1:12">
      <c r="A4174" s="3" t="s">
        <v>2194</v>
      </c>
      <c r="B4174" s="3" t="s">
        <v>3663</v>
      </c>
      <c r="C4174" s="3" t="s">
        <v>3749</v>
      </c>
      <c r="D4174" s="3"/>
      <c r="E4174" s="2" t="str">
        <f>HYPERLINK("https://old.ukr-mobil.com/index.php?route=product&amp;product_id=10005231", "Перейти")</f>
        <v>Перейти</v>
      </c>
      <c r="F4174" s="2">
        <v>10005231</v>
      </c>
      <c r="G4174" s="4" t="s">
        <v>4319</v>
      </c>
      <c r="H4174" s="1">
        <v>9</v>
      </c>
      <c r="I4174" s="1">
        <v>7</v>
      </c>
      <c r="J4174" s="1">
        <v>3</v>
      </c>
      <c r="K4174" s="2">
        <v>5.38</v>
      </c>
    </row>
    <row r="4175" spans="1:12">
      <c r="A4175" s="3" t="s">
        <v>2194</v>
      </c>
      <c r="B4175" s="3" t="s">
        <v>3663</v>
      </c>
      <c r="C4175" s="3" t="s">
        <v>3749</v>
      </c>
      <c r="D4175" s="3"/>
      <c r="E4175" s="2" t="str">
        <f>HYPERLINK("https://old.ukr-mobil.com/index.php?route=product&amp;product_id=10005358", "Перейти")</f>
        <v>Перейти</v>
      </c>
      <c r="F4175" s="2">
        <v>10005358</v>
      </c>
      <c r="G4175" s="4" t="s">
        <v>4320</v>
      </c>
      <c r="H4175" s="1">
        <v>0</v>
      </c>
      <c r="I4175" s="1">
        <v>0</v>
      </c>
      <c r="J4175" s="1">
        <v>0</v>
      </c>
      <c r="K4175" s="2">
        <v>9.5</v>
      </c>
    </row>
    <row r="4176" spans="1:12">
      <c r="A4176" s="3" t="s">
        <v>2194</v>
      </c>
      <c r="B4176" s="3" t="s">
        <v>3663</v>
      </c>
      <c r="C4176" s="3" t="s">
        <v>3749</v>
      </c>
      <c r="D4176" s="3"/>
      <c r="E4176" s="2" t="str">
        <f>HYPERLINK("https://old.ukr-mobil.com/index.php?route=product&amp;product_id=10005359", "Перейти")</f>
        <v>Перейти</v>
      </c>
      <c r="F4176" s="2">
        <v>10005359</v>
      </c>
      <c r="G4176" s="4" t="s">
        <v>4321</v>
      </c>
      <c r="H4176" s="1">
        <v>2</v>
      </c>
      <c r="I4176" s="1">
        <v>0</v>
      </c>
      <c r="J4176" s="1">
        <v>3</v>
      </c>
      <c r="K4176" s="2">
        <v>8.7</v>
      </c>
    </row>
    <row r="4177" spans="1:12">
      <c r="A4177" s="3" t="s">
        <v>2194</v>
      </c>
      <c r="B4177" s="3" t="s">
        <v>3663</v>
      </c>
      <c r="C4177" s="3" t="s">
        <v>3749</v>
      </c>
      <c r="D4177" s="3"/>
      <c r="E4177" s="2" t="str">
        <f>HYPERLINK("https://old.ukr-mobil.com/index.php?route=product&amp;product_id=10004847", "Перейти")</f>
        <v>Перейти</v>
      </c>
      <c r="F4177" s="2">
        <v>10004847</v>
      </c>
      <c r="G4177" s="4" t="s">
        <v>4322</v>
      </c>
      <c r="H4177" s="1">
        <v>2</v>
      </c>
      <c r="I4177" s="1">
        <v>2</v>
      </c>
      <c r="J4177" s="1">
        <v>2</v>
      </c>
      <c r="K4177" s="2">
        <v>8.0</v>
      </c>
    </row>
    <row r="4178" spans="1:12">
      <c r="A4178" s="3" t="s">
        <v>2194</v>
      </c>
      <c r="B4178" s="3" t="s">
        <v>3663</v>
      </c>
      <c r="C4178" s="3" t="s">
        <v>3749</v>
      </c>
      <c r="D4178" s="3"/>
      <c r="E4178" s="2" t="str">
        <f>HYPERLINK("https://old.ukr-mobil.com/index.php?route=product&amp;product_id=10004833", "Перейти")</f>
        <v>Перейти</v>
      </c>
      <c r="F4178" s="2">
        <v>10004833</v>
      </c>
      <c r="G4178" s="4" t="s">
        <v>4323</v>
      </c>
      <c r="H4178" s="1">
        <v>3</v>
      </c>
      <c r="I4178" s="1">
        <v>2</v>
      </c>
      <c r="J4178" s="1">
        <v>2</v>
      </c>
      <c r="K4178" s="2">
        <v>18.0</v>
      </c>
    </row>
    <row r="4179" spans="1:12">
      <c r="A4179" s="3" t="s">
        <v>2194</v>
      </c>
      <c r="B4179" s="3" t="s">
        <v>3663</v>
      </c>
      <c r="C4179" s="3" t="s">
        <v>3749</v>
      </c>
      <c r="D4179" s="3"/>
      <c r="E4179" s="2" t="str">
        <f>HYPERLINK("https://old.ukr-mobil.com/zadnyaya_kryshka_xiaomi_mi_11_lite_original_prc_black_10003196", "Перейти")</f>
        <v>Перейти</v>
      </c>
      <c r="F4179" s="2">
        <v>10003196</v>
      </c>
      <c r="G4179" s="4" t="s">
        <v>4324</v>
      </c>
      <c r="H4179" s="1">
        <v>0</v>
      </c>
      <c r="I4179" s="1">
        <v>0</v>
      </c>
      <c r="J4179" s="1">
        <v>0</v>
      </c>
      <c r="K4179" s="2">
        <v>4.75</v>
      </c>
    </row>
    <row r="4180" spans="1:12">
      <c r="A4180" s="3" t="s">
        <v>2194</v>
      </c>
      <c r="B4180" s="3" t="s">
        <v>3663</v>
      </c>
      <c r="C4180" s="3" t="s">
        <v>3749</v>
      </c>
      <c r="D4180" s="3"/>
      <c r="E4180" s="2" t="str">
        <f>HYPERLINK("https://old.ukr-mobil.com/zadnyaya_kryshka_xiaomi_mi_11_lite_original_prc_blue_10003197", "Перейти")</f>
        <v>Перейти</v>
      </c>
      <c r="F4180" s="2">
        <v>10003197</v>
      </c>
      <c r="G4180" s="4" t="s">
        <v>4325</v>
      </c>
      <c r="H4180" s="1">
        <v>0</v>
      </c>
      <c r="I4180" s="1">
        <v>0</v>
      </c>
      <c r="J4180" s="1">
        <v>0</v>
      </c>
      <c r="K4180" s="2">
        <v>4.75</v>
      </c>
    </row>
    <row r="4181" spans="1:12">
      <c r="A4181" s="3" t="s">
        <v>2194</v>
      </c>
      <c r="B4181" s="3" t="s">
        <v>3663</v>
      </c>
      <c r="C4181" s="3" t="s">
        <v>3749</v>
      </c>
      <c r="D4181" s="3"/>
      <c r="E4181" s="2" t="str">
        <f>HYPERLINK("https://old.ukr-mobil.com/zadnyaya_kryshka_xiaomi_mi_11_lite_so_steklom_kamery_original_prc_black_10003199", "Перейти")</f>
        <v>Перейти</v>
      </c>
      <c r="F4181" s="2">
        <v>10003199</v>
      </c>
      <c r="G4181" s="4" t="s">
        <v>4326</v>
      </c>
      <c r="H4181" s="1">
        <v>0</v>
      </c>
      <c r="I4181" s="1">
        <v>0</v>
      </c>
      <c r="J4181" s="1">
        <v>0</v>
      </c>
      <c r="K4181" s="2">
        <v>6.5</v>
      </c>
    </row>
    <row r="4182" spans="1:12">
      <c r="A4182" s="3" t="s">
        <v>2194</v>
      </c>
      <c r="B4182" s="3" t="s">
        <v>3663</v>
      </c>
      <c r="C4182" s="3" t="s">
        <v>3749</v>
      </c>
      <c r="D4182" s="3"/>
      <c r="E4182" s="2" t="str">
        <f>HYPERLINK("https://old.ukr-mobil.com/zadnyaya_kryshka_xiaomi_mi_11_lite_so_steklom_kamery_original_prc_blue_10003200", "Перейти")</f>
        <v>Перейти</v>
      </c>
      <c r="F4182" s="2">
        <v>10003200</v>
      </c>
      <c r="G4182" s="4" t="s">
        <v>4327</v>
      </c>
      <c r="H4182" s="1">
        <v>0</v>
      </c>
      <c r="I4182" s="1">
        <v>0</v>
      </c>
      <c r="J4182" s="1">
        <v>0</v>
      </c>
      <c r="K4182" s="2">
        <v>6.5</v>
      </c>
    </row>
    <row r="4183" spans="1:12">
      <c r="A4183" s="3" t="s">
        <v>2194</v>
      </c>
      <c r="B4183" s="3" t="s">
        <v>3663</v>
      </c>
      <c r="C4183" s="3" t="s">
        <v>3749</v>
      </c>
      <c r="D4183" s="3"/>
      <c r="E4183" s="2" t="str">
        <f>HYPERLINK("https://old.ukr-mobil.com/zadnyaya_kryshka_xiaomi_mi_11_lite_so_steklom_kamery_original_prc_pink_10003201", "Перейти")</f>
        <v>Перейти</v>
      </c>
      <c r="F4183" s="2">
        <v>10003201</v>
      </c>
      <c r="G4183" s="4" t="s">
        <v>4328</v>
      </c>
      <c r="H4183" s="1">
        <v>0</v>
      </c>
      <c r="I4183" s="1">
        <v>0</v>
      </c>
      <c r="J4183" s="1">
        <v>0</v>
      </c>
      <c r="K4183" s="2">
        <v>6.5</v>
      </c>
    </row>
    <row r="4184" spans="1:12">
      <c r="A4184" s="3" t="s">
        <v>2194</v>
      </c>
      <c r="B4184" s="3" t="s">
        <v>3663</v>
      </c>
      <c r="C4184" s="3" t="s">
        <v>3749</v>
      </c>
      <c r="D4184" s="3"/>
      <c r="E4184" s="2" t="str">
        <f>HYPERLINK("https://old.ukr-mobil.com/index.php?route=product&amp;product_id=10005357", "Перейти")</f>
        <v>Перейти</v>
      </c>
      <c r="F4184" s="2">
        <v>10005357</v>
      </c>
      <c r="G4184" s="4" t="s">
        <v>4329</v>
      </c>
      <c r="H4184" s="1">
        <v>9</v>
      </c>
      <c r="I4184" s="1">
        <v>10</v>
      </c>
      <c r="J4184" s="1">
        <v>5</v>
      </c>
      <c r="K4184" s="2">
        <v>4.9</v>
      </c>
    </row>
    <row r="4185" spans="1:12">
      <c r="A4185" s="3" t="s">
        <v>2194</v>
      </c>
      <c r="B4185" s="3" t="s">
        <v>3663</v>
      </c>
      <c r="C4185" s="3" t="s">
        <v>3749</v>
      </c>
      <c r="D4185" s="3"/>
      <c r="E4185" s="2" t="str">
        <f>HYPERLINK("https://old.ukr-mobil.com/index.php?route=product&amp;product_id=10005356", "Перейти")</f>
        <v>Перейти</v>
      </c>
      <c r="F4185" s="2">
        <v>10005356</v>
      </c>
      <c r="G4185" s="4" t="s">
        <v>4330</v>
      </c>
      <c r="H4185" s="1">
        <v>13</v>
      </c>
      <c r="I4185" s="1">
        <v>8</v>
      </c>
      <c r="J4185" s="1">
        <v>5</v>
      </c>
      <c r="K4185" s="2">
        <v>4.0</v>
      </c>
    </row>
    <row r="4186" spans="1:12">
      <c r="A4186" s="3" t="s">
        <v>2194</v>
      </c>
      <c r="B4186" s="3" t="s">
        <v>3663</v>
      </c>
      <c r="C4186" s="3" t="s">
        <v>3749</v>
      </c>
      <c r="D4186" s="3"/>
      <c r="E4186" s="2" t="str">
        <f>HYPERLINK("https://old.ukr-mobil.com/index.php?route=product&amp;product_id=10005355", "Перейти")</f>
        <v>Перейти</v>
      </c>
      <c r="F4186" s="2">
        <v>10005355</v>
      </c>
      <c r="G4186" s="4" t="s">
        <v>4331</v>
      </c>
      <c r="H4186" s="1">
        <v>17</v>
      </c>
      <c r="I4186" s="1">
        <v>8</v>
      </c>
      <c r="J4186" s="1">
        <v>7</v>
      </c>
      <c r="K4186" s="2">
        <v>4.87</v>
      </c>
    </row>
    <row r="4187" spans="1:12">
      <c r="A4187" s="3" t="s">
        <v>2194</v>
      </c>
      <c r="B4187" s="3" t="s">
        <v>3663</v>
      </c>
      <c r="C4187" s="3" t="s">
        <v>3749</v>
      </c>
      <c r="D4187" s="3"/>
      <c r="E4187" s="2" t="str">
        <f>HYPERLINK("https://old.ukr-mobil.com/index.php?route=product&amp;product_id=10005354", "Перейти")</f>
        <v>Перейти</v>
      </c>
      <c r="F4187" s="2">
        <v>10005354</v>
      </c>
      <c r="G4187" s="4" t="s">
        <v>4332</v>
      </c>
      <c r="H4187" s="1">
        <v>10</v>
      </c>
      <c r="I4187" s="1">
        <v>11</v>
      </c>
      <c r="J4187" s="1">
        <v>3</v>
      </c>
      <c r="K4187" s="2">
        <v>7.7</v>
      </c>
    </row>
    <row r="4188" spans="1:12">
      <c r="A4188" s="3" t="s">
        <v>2194</v>
      </c>
      <c r="B4188" s="3" t="s">
        <v>3663</v>
      </c>
      <c r="C4188" s="3" t="s">
        <v>3749</v>
      </c>
      <c r="D4188" s="3"/>
      <c r="E4188" s="2" t="str">
        <f>HYPERLINK("https://old.ukr-mobil.com/zadnyaya_kryshka_xiaomi_mi_11i_original_prc_cosmic_black_10003219", "Перейти")</f>
        <v>Перейти</v>
      </c>
      <c r="F4188" s="2">
        <v>10003219</v>
      </c>
      <c r="G4188" s="4" t="s">
        <v>4333</v>
      </c>
      <c r="H4188" s="1">
        <v>0</v>
      </c>
      <c r="I4188" s="1">
        <v>0</v>
      </c>
      <c r="J4188" s="1">
        <v>1</v>
      </c>
      <c r="K4188" s="2">
        <v>6.5</v>
      </c>
    </row>
    <row r="4189" spans="1:12">
      <c r="A4189" s="3" t="s">
        <v>2194</v>
      </c>
      <c r="B4189" s="3" t="s">
        <v>3663</v>
      </c>
      <c r="C4189" s="3" t="s">
        <v>3749</v>
      </c>
      <c r="D4189" s="3"/>
      <c r="E4189" s="2" t="str">
        <f>HYPERLINK("https://old.ukr-mobil.com/zadnyaya_kryshka_xiaomi_mi_8_lite_aurora_blue_10001194", "Перейти")</f>
        <v>Перейти</v>
      </c>
      <c r="F4189" s="2">
        <v>10001194</v>
      </c>
      <c r="G4189" s="4" t="s">
        <v>4334</v>
      </c>
      <c r="H4189" s="1">
        <v>0</v>
      </c>
      <c r="I4189" s="1">
        <v>0</v>
      </c>
      <c r="J4189" s="1">
        <v>0</v>
      </c>
      <c r="K4189" s="2">
        <v>4.25</v>
      </c>
    </row>
    <row r="4190" spans="1:12">
      <c r="A4190" s="3" t="s">
        <v>2194</v>
      </c>
      <c r="B4190" s="3" t="s">
        <v>3663</v>
      </c>
      <c r="C4190" s="3" t="s">
        <v>3749</v>
      </c>
      <c r="D4190" s="3"/>
      <c r="E4190" s="2" t="str">
        <f>HYPERLINK("https://old.ukr-mobil.com/zadnyaya_kryshka_xiaomi_mi_8_lite_black_12124", "Перейти")</f>
        <v>Перейти</v>
      </c>
      <c r="F4190" s="2">
        <v>12124</v>
      </c>
      <c r="G4190" s="4" t="s">
        <v>4335</v>
      </c>
      <c r="H4190" s="1">
        <v>0</v>
      </c>
      <c r="I4190" s="1">
        <v>0</v>
      </c>
      <c r="J4190" s="1">
        <v>0</v>
      </c>
      <c r="K4190" s="2">
        <v>3.15</v>
      </c>
    </row>
    <row r="4191" spans="1:12">
      <c r="A4191" s="3" t="s">
        <v>2194</v>
      </c>
      <c r="B4191" s="3" t="s">
        <v>3663</v>
      </c>
      <c r="C4191" s="3" t="s">
        <v>3749</v>
      </c>
      <c r="D4191" s="3"/>
      <c r="E4191" s="2" t="str">
        <f>HYPERLINK("https://old.ukr-mobil.com/zadnyaya_kryshka_xiaomi_mi_8_lite_so_steklom_kamery_black_10002456", "Перейти")</f>
        <v>Перейти</v>
      </c>
      <c r="F4191" s="2">
        <v>10002456</v>
      </c>
      <c r="G4191" s="4" t="s">
        <v>4336</v>
      </c>
      <c r="H4191" s="1">
        <v>0</v>
      </c>
      <c r="I4191" s="1">
        <v>0</v>
      </c>
      <c r="J4191" s="1">
        <v>0</v>
      </c>
      <c r="K4191" s="2">
        <v>3.35</v>
      </c>
    </row>
    <row r="4192" spans="1:12">
      <c r="A4192" s="3" t="s">
        <v>2194</v>
      </c>
      <c r="B4192" s="3" t="s">
        <v>3663</v>
      </c>
      <c r="C4192" s="3" t="s">
        <v>3749</v>
      </c>
      <c r="D4192" s="3"/>
      <c r="E4192" s="2" t="str">
        <f>HYPERLINK("https://old.ukr-mobil.com/zadnyaya_kryshka_xiaomi_mi_8_black_12123", "Перейти")</f>
        <v>Перейти</v>
      </c>
      <c r="F4192" s="2">
        <v>12123</v>
      </c>
      <c r="G4192" s="4" t="s">
        <v>4337</v>
      </c>
      <c r="H4192" s="1">
        <v>18</v>
      </c>
      <c r="I4192" s="1">
        <v>1</v>
      </c>
      <c r="J4192" s="1">
        <v>9</v>
      </c>
      <c r="K4192" s="2">
        <v>3.5</v>
      </c>
    </row>
    <row r="4193" spans="1:12">
      <c r="A4193" s="3" t="s">
        <v>2194</v>
      </c>
      <c r="B4193" s="3" t="s">
        <v>3663</v>
      </c>
      <c r="C4193" s="3" t="s">
        <v>3749</v>
      </c>
      <c r="D4193" s="3"/>
      <c r="E4193" s="2" t="str">
        <f>HYPERLINK("https://old.ukr-mobil.com/zadnyaya_kryshka_xiaomi_mi_9_se_black_12135", "Перейти")</f>
        <v>Перейти</v>
      </c>
      <c r="F4193" s="2">
        <v>12135</v>
      </c>
      <c r="G4193" s="4" t="s">
        <v>4338</v>
      </c>
      <c r="H4193" s="1">
        <v>0</v>
      </c>
      <c r="I4193" s="1">
        <v>0</v>
      </c>
      <c r="J4193" s="1">
        <v>0</v>
      </c>
      <c r="K4193" s="2">
        <v>11.09</v>
      </c>
    </row>
    <row r="4194" spans="1:12">
      <c r="A4194" s="3" t="s">
        <v>2194</v>
      </c>
      <c r="B4194" s="3" t="s">
        <v>3663</v>
      </c>
      <c r="C4194" s="3" t="s">
        <v>3749</v>
      </c>
      <c r="D4194" s="3"/>
      <c r="E4194" s="2" t="str">
        <f>HYPERLINK("https://old.ukr-mobil.com/zadnyaya_kryshka_xiaomi_mi_9_black_12134", "Перейти")</f>
        <v>Перейти</v>
      </c>
      <c r="F4194" s="2">
        <v>12134</v>
      </c>
      <c r="G4194" s="4" t="s">
        <v>4339</v>
      </c>
      <c r="H4194" s="1">
        <v>4</v>
      </c>
      <c r="I4194" s="1">
        <v>1</v>
      </c>
      <c r="J4194" s="1">
        <v>6</v>
      </c>
      <c r="K4194" s="2">
        <v>3.5</v>
      </c>
    </row>
    <row r="4195" spans="1:12">
      <c r="A4195" s="3" t="s">
        <v>2194</v>
      </c>
      <c r="B4195" s="3" t="s">
        <v>3663</v>
      </c>
      <c r="C4195" s="3" t="s">
        <v>3749</v>
      </c>
      <c r="D4195" s="3"/>
      <c r="E4195" s="2" t="str">
        <f>HYPERLINK("https://old.ukr-mobil.com/zadnyaya_kryshka_xiaomi_mi_9_so_steklom_kamery_black_10002458", "Перейти")</f>
        <v>Перейти</v>
      </c>
      <c r="F4195" s="2">
        <v>10002458</v>
      </c>
      <c r="G4195" s="4" t="s">
        <v>4340</v>
      </c>
      <c r="H4195" s="1">
        <v>4</v>
      </c>
      <c r="I4195" s="1">
        <v>4</v>
      </c>
      <c r="J4195" s="1">
        <v>0</v>
      </c>
      <c r="K4195" s="2">
        <v>4.75</v>
      </c>
    </row>
    <row r="4196" spans="1:12">
      <c r="A4196" s="3" t="s">
        <v>2194</v>
      </c>
      <c r="B4196" s="3" t="s">
        <v>3663</v>
      </c>
      <c r="C4196" s="3" t="s">
        <v>3749</v>
      </c>
      <c r="D4196" s="3"/>
      <c r="E4196" s="2" t="str">
        <f>HYPERLINK("https://old.ukr-mobil.com/zadnyaya_kryshka_xiaomi_mi_a1_mi_5x_original_prc_black_10788", "Перейти")</f>
        <v>Перейти</v>
      </c>
      <c r="F4196" s="2">
        <v>10788</v>
      </c>
      <c r="G4196" s="4" t="s">
        <v>4341</v>
      </c>
      <c r="H4196" s="1">
        <v>0</v>
      </c>
      <c r="I4196" s="1">
        <v>0</v>
      </c>
      <c r="J4196" s="1">
        <v>0</v>
      </c>
      <c r="K4196" s="2">
        <v>11.0</v>
      </c>
    </row>
    <row r="4197" spans="1:12">
      <c r="A4197" s="3" t="s">
        <v>2194</v>
      </c>
      <c r="B4197" s="3" t="s">
        <v>3663</v>
      </c>
      <c r="C4197" s="3" t="s">
        <v>3749</v>
      </c>
      <c r="D4197" s="3"/>
      <c r="E4197" s="2" t="str">
        <f>HYPERLINK("https://old.ukr-mobil.com/zadnyaya_kryshka_xiaomi_mi_a1_mi_5x_original_prc_gold_10861", "Перейти")</f>
        <v>Перейти</v>
      </c>
      <c r="F4197" s="2">
        <v>10861</v>
      </c>
      <c r="G4197" s="4" t="s">
        <v>4342</v>
      </c>
      <c r="H4197" s="1">
        <v>0</v>
      </c>
      <c r="I4197" s="1">
        <v>2</v>
      </c>
      <c r="J4197" s="1">
        <v>0</v>
      </c>
      <c r="K4197" s="2">
        <v>11.0</v>
      </c>
    </row>
    <row r="4198" spans="1:12">
      <c r="A4198" s="3" t="s">
        <v>2194</v>
      </c>
      <c r="B4198" s="3" t="s">
        <v>3663</v>
      </c>
      <c r="C4198" s="3" t="s">
        <v>3749</v>
      </c>
      <c r="D4198" s="3"/>
      <c r="E4198" s="2" t="str">
        <f>HYPERLINK("https://old.ukr-mobil.com/zadnyaya_kryshka_xiaomi_mi_a2_lite_redmi_6_pro_black_12125", "Перейти")</f>
        <v>Перейти</v>
      </c>
      <c r="F4198" s="2">
        <v>12125</v>
      </c>
      <c r="G4198" s="4" t="s">
        <v>4343</v>
      </c>
      <c r="H4198" s="1">
        <v>0</v>
      </c>
      <c r="I4198" s="1">
        <v>0</v>
      </c>
      <c r="J4198" s="1">
        <v>0</v>
      </c>
      <c r="K4198" s="2">
        <v>5.75</v>
      </c>
    </row>
    <row r="4199" spans="1:12">
      <c r="A4199" s="3" t="s">
        <v>2194</v>
      </c>
      <c r="B4199" s="3" t="s">
        <v>3663</v>
      </c>
      <c r="C4199" s="3" t="s">
        <v>3749</v>
      </c>
      <c r="D4199" s="3"/>
      <c r="E4199" s="2" t="str">
        <f>HYPERLINK("https://old.ukr-mobil.com/zadnyaya_kryshka_xiaomi_mi_a2_redmi_6x_black_12126", "Перейти")</f>
        <v>Перейти</v>
      </c>
      <c r="F4199" s="2">
        <v>12126</v>
      </c>
      <c r="G4199" s="4" t="s">
        <v>4344</v>
      </c>
      <c r="H4199" s="1">
        <v>0</v>
      </c>
      <c r="I4199" s="1">
        <v>0</v>
      </c>
      <c r="J4199" s="1">
        <v>1</v>
      </c>
      <c r="K4199" s="2">
        <v>13.1</v>
      </c>
    </row>
    <row r="4200" spans="1:12">
      <c r="A4200" s="3" t="s">
        <v>2194</v>
      </c>
      <c r="B4200" s="3" t="s">
        <v>3663</v>
      </c>
      <c r="C4200" s="3" t="s">
        <v>3749</v>
      </c>
      <c r="D4200" s="3"/>
      <c r="E4200" s="2" t="str">
        <f>HYPERLINK("https://old.ukr-mobil.com/zadnyaya_kryshka_xiaomi_mi_play_black_12127", "Перейти")</f>
        <v>Перейти</v>
      </c>
      <c r="F4200" s="2">
        <v>12127</v>
      </c>
      <c r="G4200" s="4" t="s">
        <v>4345</v>
      </c>
      <c r="H4200" s="1">
        <v>2</v>
      </c>
      <c r="I4200" s="1">
        <v>0</v>
      </c>
      <c r="J4200" s="1">
        <v>1</v>
      </c>
      <c r="K4200" s="2">
        <v>6.5</v>
      </c>
    </row>
    <row r="4201" spans="1:12">
      <c r="A4201" s="3" t="s">
        <v>2194</v>
      </c>
      <c r="B4201" s="3" t="s">
        <v>3663</v>
      </c>
      <c r="C4201" s="3" t="s">
        <v>3749</v>
      </c>
      <c r="D4201" s="3"/>
      <c r="E4201" s="2" t="str">
        <f>HYPERLINK("https://old.ukr-mobil.com/zadnyaya_kryshka_xiaomi_mi4c_black_10000381", "Перейти")</f>
        <v>Перейти</v>
      </c>
      <c r="F4201" s="2">
        <v>10000381</v>
      </c>
      <c r="G4201" s="4" t="s">
        <v>4346</v>
      </c>
      <c r="H4201" s="1">
        <v>0</v>
      </c>
      <c r="I4201" s="1">
        <v>0</v>
      </c>
      <c r="J4201" s="1">
        <v>0</v>
      </c>
      <c r="K4201" s="2">
        <v>4.54</v>
      </c>
    </row>
    <row r="4202" spans="1:12">
      <c r="A4202" s="3" t="s">
        <v>2194</v>
      </c>
      <c r="B4202" s="3" t="s">
        <v>3663</v>
      </c>
      <c r="C4202" s="3" t="s">
        <v>3749</v>
      </c>
      <c r="D4202" s="3"/>
      <c r="E4202" s="2" t="str">
        <f>HYPERLINK("https://old.ukr-mobil.com/zadnyaya_kryshka_xiaomi_pocophone_f1_black_12122", "Перейти")</f>
        <v>Перейти</v>
      </c>
      <c r="F4202" s="2">
        <v>12122</v>
      </c>
      <c r="G4202" s="4" t="s">
        <v>4347</v>
      </c>
      <c r="H4202" s="1">
        <v>0</v>
      </c>
      <c r="I4202" s="1">
        <v>0</v>
      </c>
      <c r="J4202" s="1">
        <v>0</v>
      </c>
      <c r="K4202" s="2">
        <v>8.06</v>
      </c>
    </row>
    <row r="4203" spans="1:12">
      <c r="A4203" s="3" t="s">
        <v>2194</v>
      </c>
      <c r="B4203" s="3" t="s">
        <v>3663</v>
      </c>
      <c r="C4203" s="3" t="s">
        <v>3749</v>
      </c>
      <c r="D4203" s="3"/>
      <c r="E4203" s="2" t="str">
        <f>HYPERLINK("https://old.ukr-mobil.com/zadnyaya_kryshka_xiaomi_redmi_10_original_prc_blue_10003203", "Перейти")</f>
        <v>Перейти</v>
      </c>
      <c r="F4203" s="2">
        <v>10003203</v>
      </c>
      <c r="G4203" s="4" t="s">
        <v>4348</v>
      </c>
      <c r="H4203" s="1">
        <v>30</v>
      </c>
      <c r="I4203" s="1">
        <v>7</v>
      </c>
      <c r="J4203" s="1">
        <v>5</v>
      </c>
      <c r="K4203" s="2">
        <v>4.0</v>
      </c>
    </row>
    <row r="4204" spans="1:12">
      <c r="A4204" s="3" t="s">
        <v>2194</v>
      </c>
      <c r="B4204" s="3" t="s">
        <v>3663</v>
      </c>
      <c r="C4204" s="3" t="s">
        <v>3749</v>
      </c>
      <c r="D4204" s="3"/>
      <c r="E4204" s="2" t="str">
        <f>HYPERLINK("https://old.ukr-mobil.com/zadnyaya_kryshka_xiaomi_redmi_10_original_prc_grey_10003202", "Перейти")</f>
        <v>Перейти</v>
      </c>
      <c r="F4204" s="2">
        <v>10003202</v>
      </c>
      <c r="G4204" s="4" t="s">
        <v>4349</v>
      </c>
      <c r="H4204" s="1">
        <v>0</v>
      </c>
      <c r="I4204" s="1">
        <v>0</v>
      </c>
      <c r="J4204" s="1">
        <v>0</v>
      </c>
      <c r="K4204" s="2">
        <v>4.0</v>
      </c>
    </row>
    <row r="4205" spans="1:12">
      <c r="A4205" s="3" t="s">
        <v>2194</v>
      </c>
      <c r="B4205" s="3" t="s">
        <v>3663</v>
      </c>
      <c r="C4205" s="3" t="s">
        <v>3749</v>
      </c>
      <c r="D4205" s="3"/>
      <c r="E4205" s="2" t="str">
        <f>HYPERLINK("https://old.ukr-mobil.com/zadnyaya_kryshka_xiaomi_redmi_10_original_prc_white_10003204", "Перейти")</f>
        <v>Перейти</v>
      </c>
      <c r="F4205" s="2">
        <v>10003204</v>
      </c>
      <c r="G4205" s="4" t="s">
        <v>4350</v>
      </c>
      <c r="H4205" s="1">
        <v>0</v>
      </c>
      <c r="I4205" s="1">
        <v>0</v>
      </c>
      <c r="J4205" s="1">
        <v>0</v>
      </c>
      <c r="K4205" s="2">
        <v>4.0</v>
      </c>
    </row>
    <row r="4206" spans="1:12">
      <c r="A4206" s="3" t="s">
        <v>2194</v>
      </c>
      <c r="B4206" s="3" t="s">
        <v>3663</v>
      </c>
      <c r="C4206" s="3" t="s">
        <v>3749</v>
      </c>
      <c r="D4206" s="3"/>
      <c r="E4206" s="2" t="str">
        <f>HYPERLINK("https://old.ukr-mobil.com/zadnyaya_kryshka_xiaomi_redmi_10c_high_copy_gray_10003205", "Перейти")</f>
        <v>Перейти</v>
      </c>
      <c r="F4206" s="2">
        <v>10003205</v>
      </c>
      <c r="G4206" s="4" t="s">
        <v>4351</v>
      </c>
      <c r="H4206" s="1">
        <v>21</v>
      </c>
      <c r="I4206" s="1">
        <v>15</v>
      </c>
      <c r="J4206" s="1">
        <v>8</v>
      </c>
      <c r="K4206" s="2">
        <v>4.85</v>
      </c>
    </row>
    <row r="4207" spans="1:12">
      <c r="A4207" s="3" t="s">
        <v>2194</v>
      </c>
      <c r="B4207" s="3" t="s">
        <v>3663</v>
      </c>
      <c r="C4207" s="3" t="s">
        <v>3749</v>
      </c>
      <c r="D4207" s="3"/>
      <c r="E4207" s="2" t="str">
        <f>HYPERLINK("https://old.ukr-mobil.com/zadnyaya_kryshka_xiaomi_redmi_10c_high_copy_mint_green_10003207", "Перейти")</f>
        <v>Перейти</v>
      </c>
      <c r="F4207" s="2">
        <v>10003207</v>
      </c>
      <c r="G4207" s="4" t="s">
        <v>4352</v>
      </c>
      <c r="H4207" s="1">
        <v>1</v>
      </c>
      <c r="I4207" s="1">
        <v>2</v>
      </c>
      <c r="J4207" s="1">
        <v>3</v>
      </c>
      <c r="K4207" s="2">
        <v>4.85</v>
      </c>
    </row>
    <row r="4208" spans="1:12">
      <c r="A4208" s="3" t="s">
        <v>2194</v>
      </c>
      <c r="B4208" s="3" t="s">
        <v>3663</v>
      </c>
      <c r="C4208" s="3" t="s">
        <v>3749</v>
      </c>
      <c r="D4208" s="3"/>
      <c r="E4208" s="2" t="str">
        <f>HYPERLINK("https://old.ukr-mobil.com/zadnyaya_kryshka_xiaomi_redmi_10c_high_copy_ocean_blue_10003206", "Перейти")</f>
        <v>Перейти</v>
      </c>
      <c r="F4208" s="2">
        <v>10003206</v>
      </c>
      <c r="G4208" s="4" t="s">
        <v>4353</v>
      </c>
      <c r="H4208" s="1">
        <v>23</v>
      </c>
      <c r="I4208" s="1">
        <v>10</v>
      </c>
      <c r="J4208" s="1">
        <v>5</v>
      </c>
      <c r="K4208" s="2">
        <v>4.85</v>
      </c>
    </row>
    <row r="4209" spans="1:12">
      <c r="A4209" s="3" t="s">
        <v>2194</v>
      </c>
      <c r="B4209" s="3" t="s">
        <v>3663</v>
      </c>
      <c r="C4209" s="3" t="s">
        <v>3749</v>
      </c>
      <c r="D4209" s="3"/>
      <c r="E4209" s="2" t="str">
        <f>HYPERLINK("https://old.ukr-mobil.com/index.php?route=product&amp;product_id=10004844", "Перейти")</f>
        <v>Перейти</v>
      </c>
      <c r="F4209" s="2">
        <v>10004844</v>
      </c>
      <c r="G4209" s="4" t="s">
        <v>4354</v>
      </c>
      <c r="H4209" s="1">
        <v>0</v>
      </c>
      <c r="I4209" s="1">
        <v>0</v>
      </c>
      <c r="J4209" s="1">
        <v>0</v>
      </c>
      <c r="K4209" s="2">
        <v>4.5</v>
      </c>
    </row>
    <row r="4210" spans="1:12">
      <c r="A4210" s="3" t="s">
        <v>2194</v>
      </c>
      <c r="B4210" s="3" t="s">
        <v>3663</v>
      </c>
      <c r="C4210" s="3" t="s">
        <v>3749</v>
      </c>
      <c r="D4210" s="3"/>
      <c r="E4210" s="2" t="str">
        <f>HYPERLINK("https://old.ukr-mobil.com/index.php?route=product&amp;product_id=10004845", "Перейти")</f>
        <v>Перейти</v>
      </c>
      <c r="F4210" s="2">
        <v>10004845</v>
      </c>
      <c r="G4210" s="4" t="s">
        <v>4355</v>
      </c>
      <c r="H4210" s="1">
        <v>0</v>
      </c>
      <c r="I4210" s="1">
        <v>0</v>
      </c>
      <c r="J4210" s="1">
        <v>0</v>
      </c>
      <c r="K4210" s="2">
        <v>4.75</v>
      </c>
    </row>
    <row r="4211" spans="1:12">
      <c r="A4211" s="3" t="s">
        <v>2194</v>
      </c>
      <c r="B4211" s="3" t="s">
        <v>3663</v>
      </c>
      <c r="C4211" s="3" t="s">
        <v>3749</v>
      </c>
      <c r="D4211" s="3"/>
      <c r="E4211" s="2" t="str">
        <f>HYPERLINK("https://old.ukr-mobil.com/index.php?route=product&amp;product_id=10004644", "Перейти")</f>
        <v>Перейти</v>
      </c>
      <c r="F4211" s="2">
        <v>10004644</v>
      </c>
      <c r="G4211" s="4" t="s">
        <v>4356</v>
      </c>
      <c r="H4211" s="1">
        <v>24</v>
      </c>
      <c r="I4211" s="1">
        <v>11</v>
      </c>
      <c r="J4211" s="1">
        <v>8</v>
      </c>
      <c r="K4211" s="2">
        <v>5.25</v>
      </c>
    </row>
    <row r="4212" spans="1:12">
      <c r="A4212" s="3" t="s">
        <v>2194</v>
      </c>
      <c r="B4212" s="3" t="s">
        <v>3663</v>
      </c>
      <c r="C4212" s="3" t="s">
        <v>3749</v>
      </c>
      <c r="D4212" s="3"/>
      <c r="E4212" s="2" t="str">
        <f>HYPERLINK("https://old.ukr-mobil.com/index.php?route=product&amp;product_id=10004643", "Перейти")</f>
        <v>Перейти</v>
      </c>
      <c r="F4212" s="2">
        <v>10004643</v>
      </c>
      <c r="G4212" s="4" t="s">
        <v>4357</v>
      </c>
      <c r="H4212" s="1">
        <v>2</v>
      </c>
      <c r="I4212" s="1">
        <v>4</v>
      </c>
      <c r="J4212" s="1">
        <v>2</v>
      </c>
      <c r="K4212" s="2">
        <v>5.25</v>
      </c>
    </row>
    <row r="4213" spans="1:12">
      <c r="A4213" s="3" t="s">
        <v>2194</v>
      </c>
      <c r="B4213" s="3" t="s">
        <v>3663</v>
      </c>
      <c r="C4213" s="3" t="s">
        <v>3749</v>
      </c>
      <c r="D4213" s="3"/>
      <c r="E4213" s="2" t="str">
        <f>HYPERLINK("https://old.ukr-mobil.com/index.php?route=product&amp;product_id=10004642", "Перейти")</f>
        <v>Перейти</v>
      </c>
      <c r="F4213" s="2">
        <v>10004642</v>
      </c>
      <c r="G4213" s="4" t="s">
        <v>4358</v>
      </c>
      <c r="H4213" s="1">
        <v>2</v>
      </c>
      <c r="I4213" s="1">
        <v>4</v>
      </c>
      <c r="J4213" s="1">
        <v>3</v>
      </c>
      <c r="K4213" s="2">
        <v>5.25</v>
      </c>
    </row>
    <row r="4214" spans="1:12">
      <c r="A4214" s="3" t="s">
        <v>2194</v>
      </c>
      <c r="B4214" s="3" t="s">
        <v>3663</v>
      </c>
      <c r="C4214" s="3" t="s">
        <v>3749</v>
      </c>
      <c r="D4214" s="3"/>
      <c r="E4214" s="2" t="str">
        <f>HYPERLINK("https://old.ukr-mobil.com/index.php?route=product&amp;product_id=10004645", "Перейти")</f>
        <v>Перейти</v>
      </c>
      <c r="F4214" s="2">
        <v>10004645</v>
      </c>
      <c r="G4214" s="4" t="s">
        <v>4359</v>
      </c>
      <c r="H4214" s="1">
        <v>2</v>
      </c>
      <c r="I4214" s="1">
        <v>4</v>
      </c>
      <c r="J4214" s="1">
        <v>2</v>
      </c>
      <c r="K4214" s="2">
        <v>5.25</v>
      </c>
    </row>
    <row r="4215" spans="1:12">
      <c r="A4215" s="3" t="s">
        <v>2194</v>
      </c>
      <c r="B4215" s="3" t="s">
        <v>3663</v>
      </c>
      <c r="C4215" s="3" t="s">
        <v>3749</v>
      </c>
      <c r="D4215" s="3"/>
      <c r="E4215" s="2" t="str">
        <f>HYPERLINK("https://old.ukr-mobil.com/zadnyaya_kryshka_xiaomi_redmi_4_black_10794", "Перейти")</f>
        <v>Перейти</v>
      </c>
      <c r="F4215" s="2">
        <v>10794</v>
      </c>
      <c r="G4215" s="4" t="s">
        <v>4360</v>
      </c>
      <c r="H4215" s="1">
        <v>2</v>
      </c>
      <c r="I4215" s="1">
        <v>0</v>
      </c>
      <c r="J4215" s="1">
        <v>1</v>
      </c>
      <c r="K4215" s="2">
        <v>8.06</v>
      </c>
    </row>
    <row r="4216" spans="1:12">
      <c r="A4216" s="3" t="s">
        <v>2194</v>
      </c>
      <c r="B4216" s="3" t="s">
        <v>3663</v>
      </c>
      <c r="C4216" s="3" t="s">
        <v>3749</v>
      </c>
      <c r="D4216" s="3"/>
      <c r="E4216" s="2" t="str">
        <f>HYPERLINK("https://old.ukr-mobil.com/zadnyaya_kryshka_xiaomi_redmi_4_white_10795", "Перейти")</f>
        <v>Перейти</v>
      </c>
      <c r="F4216" s="2">
        <v>10795</v>
      </c>
      <c r="G4216" s="4" t="s">
        <v>4361</v>
      </c>
      <c r="H4216" s="1">
        <v>4</v>
      </c>
      <c r="I4216" s="1">
        <v>0</v>
      </c>
      <c r="J4216" s="1">
        <v>2</v>
      </c>
      <c r="K4216" s="2">
        <v>8.06</v>
      </c>
    </row>
    <row r="4217" spans="1:12">
      <c r="A4217" s="3" t="s">
        <v>2194</v>
      </c>
      <c r="B4217" s="3" t="s">
        <v>3663</v>
      </c>
      <c r="C4217" s="3" t="s">
        <v>3749</v>
      </c>
      <c r="D4217" s="3"/>
      <c r="E4217" s="2" t="str">
        <f>HYPERLINK("https://old.ukr-mobil.com/zadnyaya_kryshka_xiaomi_redmi_4a_black_10790", "Перейти")</f>
        <v>Перейти</v>
      </c>
      <c r="F4217" s="2">
        <v>10790</v>
      </c>
      <c r="G4217" s="4" t="s">
        <v>4362</v>
      </c>
      <c r="H4217" s="1">
        <v>0</v>
      </c>
      <c r="I4217" s="1">
        <v>0</v>
      </c>
      <c r="J4217" s="1">
        <v>0</v>
      </c>
      <c r="K4217" s="2">
        <v>4.54</v>
      </c>
    </row>
    <row r="4218" spans="1:12">
      <c r="A4218" s="3" t="s">
        <v>2194</v>
      </c>
      <c r="B4218" s="3" t="s">
        <v>3663</v>
      </c>
      <c r="C4218" s="3" t="s">
        <v>3749</v>
      </c>
      <c r="D4218" s="3"/>
      <c r="E4218" s="2" t="str">
        <f>HYPERLINK("https://old.ukr-mobil.com/zadnyaya_kryshka_xiaomi_redmi_4a_gold_10792", "Перейти")</f>
        <v>Перейти</v>
      </c>
      <c r="F4218" s="2">
        <v>10792</v>
      </c>
      <c r="G4218" s="4" t="s">
        <v>4363</v>
      </c>
      <c r="H4218" s="1">
        <v>0</v>
      </c>
      <c r="I4218" s="1">
        <v>0</v>
      </c>
      <c r="J4218" s="1">
        <v>0</v>
      </c>
      <c r="K4218" s="2">
        <v>4.54</v>
      </c>
    </row>
    <row r="4219" spans="1:12">
      <c r="A4219" s="3" t="s">
        <v>2194</v>
      </c>
      <c r="B4219" s="3" t="s">
        <v>3663</v>
      </c>
      <c r="C4219" s="3" t="s">
        <v>3749</v>
      </c>
      <c r="D4219" s="3"/>
      <c r="E4219" s="2" t="str">
        <f>HYPERLINK("https://old.ukr-mobil.com/zadnyaya_kryshka_xiaomi_redmi_4a_white_10791", "Перейти")</f>
        <v>Перейти</v>
      </c>
      <c r="F4219" s="2">
        <v>10791</v>
      </c>
      <c r="G4219" s="4" t="s">
        <v>4364</v>
      </c>
      <c r="H4219" s="1">
        <v>0</v>
      </c>
      <c r="I4219" s="1">
        <v>0</v>
      </c>
      <c r="J4219" s="1">
        <v>0</v>
      </c>
      <c r="K4219" s="2">
        <v>4.54</v>
      </c>
    </row>
    <row r="4220" spans="1:12">
      <c r="A4220" s="3" t="s">
        <v>2194</v>
      </c>
      <c r="B4220" s="3" t="s">
        <v>3663</v>
      </c>
      <c r="C4220" s="3" t="s">
        <v>3749</v>
      </c>
      <c r="D4220" s="3"/>
      <c r="E4220" s="2" t="str">
        <f>HYPERLINK("https://old.ukr-mobil.com/zadnyaya_kryshka_xiaomi_redmi_4x_black_10240", "Перейти")</f>
        <v>Перейти</v>
      </c>
      <c r="F4220" s="2">
        <v>10240</v>
      </c>
      <c r="G4220" s="4" t="s">
        <v>4365</v>
      </c>
      <c r="H4220" s="1">
        <v>0</v>
      </c>
      <c r="I4220" s="1">
        <v>0</v>
      </c>
      <c r="J4220" s="1">
        <v>0</v>
      </c>
      <c r="K4220" s="2">
        <v>6.05</v>
      </c>
    </row>
    <row r="4221" spans="1:12">
      <c r="A4221" s="3" t="s">
        <v>2194</v>
      </c>
      <c r="B4221" s="3" t="s">
        <v>3663</v>
      </c>
      <c r="C4221" s="3" t="s">
        <v>3749</v>
      </c>
      <c r="D4221" s="3"/>
      <c r="E4221" s="2" t="str">
        <f>HYPERLINK("https://old.ukr-mobil.com/zadnyaya_kryshka_xiaomi_redmi_4x_gold_10793", "Перейти")</f>
        <v>Перейти</v>
      </c>
      <c r="F4221" s="2">
        <v>10793</v>
      </c>
      <c r="G4221" s="4" t="s">
        <v>4366</v>
      </c>
      <c r="H4221" s="1">
        <v>0</v>
      </c>
      <c r="I4221" s="1">
        <v>0</v>
      </c>
      <c r="J4221" s="1">
        <v>0</v>
      </c>
      <c r="K4221" s="2">
        <v>6.05</v>
      </c>
    </row>
    <row r="4222" spans="1:12">
      <c r="A4222" s="3" t="s">
        <v>2194</v>
      </c>
      <c r="B4222" s="3" t="s">
        <v>3663</v>
      </c>
      <c r="C4222" s="3" t="s">
        <v>3749</v>
      </c>
      <c r="D4222" s="3"/>
      <c r="E4222" s="2" t="str">
        <f>HYPERLINK("https://old.ukr-mobil.com/zadnyaya_kryshka_xiaomi_redmi_5_pink_10801", "Перейти")</f>
        <v>Перейти</v>
      </c>
      <c r="F4222" s="2">
        <v>10801</v>
      </c>
      <c r="G4222" s="4" t="s">
        <v>4367</v>
      </c>
      <c r="H4222" s="1">
        <v>1</v>
      </c>
      <c r="I4222" s="1">
        <v>0</v>
      </c>
      <c r="J4222" s="1">
        <v>0</v>
      </c>
      <c r="K4222" s="2">
        <v>7.56</v>
      </c>
    </row>
    <row r="4223" spans="1:12">
      <c r="A4223" s="3" t="s">
        <v>2194</v>
      </c>
      <c r="B4223" s="3" t="s">
        <v>3663</v>
      </c>
      <c r="C4223" s="3" t="s">
        <v>3749</v>
      </c>
      <c r="D4223" s="3"/>
      <c r="E4223" s="2" t="str">
        <f>HYPERLINK("https://old.ukr-mobil.com/zadnyaya_kryshka_xiaomi_redmi_6_black_12128", "Перейти")</f>
        <v>Перейти</v>
      </c>
      <c r="F4223" s="2">
        <v>12128</v>
      </c>
      <c r="G4223" s="4" t="s">
        <v>4368</v>
      </c>
      <c r="H4223" s="1">
        <v>0</v>
      </c>
      <c r="I4223" s="1">
        <v>0</v>
      </c>
      <c r="J4223" s="1">
        <v>0</v>
      </c>
      <c r="K4223" s="2">
        <v>3.35</v>
      </c>
    </row>
    <row r="4224" spans="1:12">
      <c r="A4224" s="3" t="s">
        <v>2194</v>
      </c>
      <c r="B4224" s="3" t="s">
        <v>3663</v>
      </c>
      <c r="C4224" s="3" t="s">
        <v>3749</v>
      </c>
      <c r="D4224" s="3"/>
      <c r="E4224" s="2" t="str">
        <f>HYPERLINK("https://old.ukr-mobil.com/zadnyaya_kryshka_xiaomi_redmi_7_black_12129", "Перейти")</f>
        <v>Перейти</v>
      </c>
      <c r="F4224" s="2">
        <v>12129</v>
      </c>
      <c r="G4224" s="4" t="s">
        <v>4369</v>
      </c>
      <c r="H4224" s="1">
        <v>0</v>
      </c>
      <c r="I4224" s="1">
        <v>0</v>
      </c>
      <c r="J4224" s="1">
        <v>0</v>
      </c>
      <c r="K4224" s="2">
        <v>3.25</v>
      </c>
    </row>
    <row r="4225" spans="1:12">
      <c r="A4225" s="3" t="s">
        <v>2194</v>
      </c>
      <c r="B4225" s="3" t="s">
        <v>3663</v>
      </c>
      <c r="C4225" s="3" t="s">
        <v>3749</v>
      </c>
      <c r="D4225" s="3"/>
      <c r="E4225" s="2" t="str">
        <f>HYPERLINK("https://old.ukr-mobil.com/zadnyaya_kryshka_xiaomi_redmi_7a_so_steklom_kamery_original_prc_black_10000668", "Перейти")</f>
        <v>Перейти</v>
      </c>
      <c r="F4225" s="2">
        <v>10000668</v>
      </c>
      <c r="G4225" s="4" t="s">
        <v>4370</v>
      </c>
      <c r="H4225" s="1">
        <v>14</v>
      </c>
      <c r="I4225" s="1">
        <v>3</v>
      </c>
      <c r="J4225" s="1">
        <v>0</v>
      </c>
      <c r="K4225" s="2">
        <v>4.75</v>
      </c>
    </row>
    <row r="4226" spans="1:12">
      <c r="A4226" s="3" t="s">
        <v>2194</v>
      </c>
      <c r="B4226" s="3" t="s">
        <v>3663</v>
      </c>
      <c r="C4226" s="3" t="s">
        <v>3749</v>
      </c>
      <c r="D4226" s="3"/>
      <c r="E4226" s="2" t="str">
        <f>HYPERLINK("https://old.ukr-mobil.com/zadnyaya_kryshka_xiaomi_redmi_8_original_prc_black_10001166", "Перейти")</f>
        <v>Перейти</v>
      </c>
      <c r="F4226" s="2">
        <v>10001166</v>
      </c>
      <c r="G4226" s="4" t="s">
        <v>4371</v>
      </c>
      <c r="H4226" s="1">
        <v>0</v>
      </c>
      <c r="I4226" s="1">
        <v>0</v>
      </c>
      <c r="J4226" s="1">
        <v>0</v>
      </c>
      <c r="K4226" s="2">
        <v>5.75</v>
      </c>
    </row>
    <row r="4227" spans="1:12">
      <c r="A4227" s="3" t="s">
        <v>2194</v>
      </c>
      <c r="B4227" s="3" t="s">
        <v>3663</v>
      </c>
      <c r="C4227" s="3" t="s">
        <v>3749</v>
      </c>
      <c r="D4227" s="3"/>
      <c r="E4227" s="2" t="str">
        <f>HYPERLINK("https://old.ukr-mobil.com/zadnyaya_kryshka_xiaomi_redmi_8a_original_prc_black_10002518", "Перейти")</f>
        <v>Перейти</v>
      </c>
      <c r="F4227" s="2">
        <v>10002518</v>
      </c>
      <c r="G4227" s="4" t="s">
        <v>4372</v>
      </c>
      <c r="H4227" s="1">
        <v>0</v>
      </c>
      <c r="I4227" s="1">
        <v>3</v>
      </c>
      <c r="J4227" s="1">
        <v>1</v>
      </c>
      <c r="K4227" s="2">
        <v>5.85</v>
      </c>
    </row>
    <row r="4228" spans="1:12">
      <c r="A4228" s="3" t="s">
        <v>2194</v>
      </c>
      <c r="B4228" s="3" t="s">
        <v>3663</v>
      </c>
      <c r="C4228" s="3" t="s">
        <v>3749</v>
      </c>
      <c r="D4228" s="3"/>
      <c r="E4228" s="2" t="str">
        <f>HYPERLINK("https://old.ukr-mobil.com/zadnyaya_kryshka_xiaomi_redmi_9_original_prc_carbon_grey_10001167", "Перейти")</f>
        <v>Перейти</v>
      </c>
      <c r="F4228" s="2">
        <v>10001167</v>
      </c>
      <c r="G4228" s="4" t="s">
        <v>4373</v>
      </c>
      <c r="H4228" s="1">
        <v>12</v>
      </c>
      <c r="I4228" s="1">
        <v>2</v>
      </c>
      <c r="J4228" s="1">
        <v>3</v>
      </c>
      <c r="K4228" s="2">
        <v>4.5</v>
      </c>
    </row>
    <row r="4229" spans="1:12">
      <c r="A4229" s="3" t="s">
        <v>2194</v>
      </c>
      <c r="B4229" s="3" t="s">
        <v>3663</v>
      </c>
      <c r="C4229" s="3" t="s">
        <v>3749</v>
      </c>
      <c r="D4229" s="3"/>
      <c r="E4229" s="2" t="str">
        <f>HYPERLINK("https://old.ukr-mobil.com/zadnyaya_kryshka_xiaomi_redmi_9_original_prc_ocean_green_10001168", "Перейти")</f>
        <v>Перейти</v>
      </c>
      <c r="F4229" s="2">
        <v>10001168</v>
      </c>
      <c r="G4229" s="4" t="s">
        <v>4374</v>
      </c>
      <c r="H4229" s="1">
        <v>0</v>
      </c>
      <c r="I4229" s="1">
        <v>2</v>
      </c>
      <c r="J4229" s="1">
        <v>0</v>
      </c>
      <c r="K4229" s="2">
        <v>4.25</v>
      </c>
    </row>
    <row r="4230" spans="1:12">
      <c r="A4230" s="3" t="s">
        <v>2194</v>
      </c>
      <c r="B4230" s="3" t="s">
        <v>3663</v>
      </c>
      <c r="C4230" s="3" t="s">
        <v>3749</v>
      </c>
      <c r="D4230" s="3"/>
      <c r="E4230" s="2" t="str">
        <f>HYPERLINK("https://old.ukr-mobil.com/zadnyaya_kryshka_xiaomi_redmi_9_original_prc_sunset_purple_10001169", "Перейти")</f>
        <v>Перейти</v>
      </c>
      <c r="F4230" s="2">
        <v>10001169</v>
      </c>
      <c r="G4230" s="4" t="s">
        <v>4375</v>
      </c>
      <c r="H4230" s="1">
        <v>8</v>
      </c>
      <c r="I4230" s="1">
        <v>5</v>
      </c>
      <c r="J4230" s="1">
        <v>0</v>
      </c>
      <c r="K4230" s="2">
        <v>4.25</v>
      </c>
    </row>
    <row r="4231" spans="1:12">
      <c r="A4231" s="3" t="s">
        <v>2194</v>
      </c>
      <c r="B4231" s="3" t="s">
        <v>3663</v>
      </c>
      <c r="C4231" s="3" t="s">
        <v>3749</v>
      </c>
      <c r="D4231" s="3"/>
      <c r="E4231" s="2" t="str">
        <f>HYPERLINK("https://old.ukr-mobil.com/zadnyaya_kryshka_xiaomi_redmi_9a_original_prc_blue_10002088", "Перейти")</f>
        <v>Перейти</v>
      </c>
      <c r="F4231" s="2">
        <v>10002088</v>
      </c>
      <c r="G4231" s="4" t="s">
        <v>4376</v>
      </c>
      <c r="H4231" s="1">
        <v>14</v>
      </c>
      <c r="I4231" s="1">
        <v>0</v>
      </c>
      <c r="J4231" s="1">
        <v>2</v>
      </c>
      <c r="K4231" s="2">
        <v>3.35</v>
      </c>
    </row>
    <row r="4232" spans="1:12">
      <c r="A4232" s="3" t="s">
        <v>2194</v>
      </c>
      <c r="B4232" s="3" t="s">
        <v>3663</v>
      </c>
      <c r="C4232" s="3" t="s">
        <v>3749</v>
      </c>
      <c r="D4232" s="3"/>
      <c r="E4232" s="2" t="str">
        <f>HYPERLINK("https://old.ukr-mobil.com/zadnyaya_kryshka_xiaomi_redmi_9a_original_prc_granite_gray_10001868", "Перейти")</f>
        <v>Перейти</v>
      </c>
      <c r="F4232" s="2">
        <v>10001868</v>
      </c>
      <c r="G4232" s="4" t="s">
        <v>4377</v>
      </c>
      <c r="H4232" s="1">
        <v>3</v>
      </c>
      <c r="I4232" s="1">
        <v>3</v>
      </c>
      <c r="J4232" s="1">
        <v>2</v>
      </c>
      <c r="K4232" s="2">
        <v>3.35</v>
      </c>
    </row>
    <row r="4233" spans="1:12">
      <c r="A4233" s="3" t="s">
        <v>2194</v>
      </c>
      <c r="B4233" s="3" t="s">
        <v>3663</v>
      </c>
      <c r="C4233" s="3" t="s">
        <v>3749</v>
      </c>
      <c r="D4233" s="3"/>
      <c r="E4233" s="2" t="str">
        <f>HYPERLINK("https://old.ukr-mobil.com/zadnyaya_kryshka_xiaomi_redmi_9a_original_prc_green_10002087", "Перейти")</f>
        <v>Перейти</v>
      </c>
      <c r="F4233" s="2">
        <v>10002087</v>
      </c>
      <c r="G4233" s="4" t="s">
        <v>4378</v>
      </c>
      <c r="H4233" s="1">
        <v>13</v>
      </c>
      <c r="I4233" s="1">
        <v>7</v>
      </c>
      <c r="J4233" s="1">
        <v>8</v>
      </c>
      <c r="K4233" s="2">
        <v>4.0</v>
      </c>
    </row>
    <row r="4234" spans="1:12">
      <c r="A4234" s="3" t="s">
        <v>2194</v>
      </c>
      <c r="B4234" s="3" t="s">
        <v>3663</v>
      </c>
      <c r="C4234" s="3" t="s">
        <v>3749</v>
      </c>
      <c r="D4234" s="3"/>
      <c r="E4234" s="2" t="str">
        <f>HYPERLINK("https://old.ukr-mobil.com/zadnyaya_kryshka_xiaomi_redmi_9c_original_prc_blue_10002093", "Перейти")</f>
        <v>Перейти</v>
      </c>
      <c r="F4234" s="2">
        <v>10002093</v>
      </c>
      <c r="G4234" s="4" t="s">
        <v>4379</v>
      </c>
      <c r="H4234" s="1">
        <v>15</v>
      </c>
      <c r="I4234" s="1">
        <v>4</v>
      </c>
      <c r="J4234" s="1">
        <v>4</v>
      </c>
      <c r="K4234" s="2">
        <v>4.5</v>
      </c>
    </row>
    <row r="4235" spans="1:12">
      <c r="A4235" s="3" t="s">
        <v>2194</v>
      </c>
      <c r="B4235" s="3" t="s">
        <v>3663</v>
      </c>
      <c r="C4235" s="3" t="s">
        <v>3749</v>
      </c>
      <c r="D4235" s="3"/>
      <c r="E4235" s="2" t="str">
        <f>HYPERLINK("https://old.ukr-mobil.com/zadnyaya_kryshka_xiaomi_redmi_9c_original_prc_midnight_gray_10002092", "Перейти")</f>
        <v>Перейти</v>
      </c>
      <c r="F4235" s="2">
        <v>10002092</v>
      </c>
      <c r="G4235" s="4" t="s">
        <v>4380</v>
      </c>
      <c r="H4235" s="1">
        <v>0</v>
      </c>
      <c r="I4235" s="1">
        <v>0</v>
      </c>
      <c r="J4235" s="1">
        <v>0</v>
      </c>
      <c r="K4235" s="2">
        <v>4.5</v>
      </c>
    </row>
    <row r="4236" spans="1:12">
      <c r="A4236" s="3" t="s">
        <v>2194</v>
      </c>
      <c r="B4236" s="3" t="s">
        <v>3663</v>
      </c>
      <c r="C4236" s="3" t="s">
        <v>3749</v>
      </c>
      <c r="D4236" s="3"/>
      <c r="E4236" s="2" t="str">
        <f>HYPERLINK("https://old.ukr-mobil.com/zadnyaya_kryshka_xiaomi_redmi_9t_original_prc_carbon_gray_10002089", "Перейти")</f>
        <v>Перейти</v>
      </c>
      <c r="F4236" s="2">
        <v>10002089</v>
      </c>
      <c r="G4236" s="4" t="s">
        <v>4381</v>
      </c>
      <c r="H4236" s="1">
        <v>3</v>
      </c>
      <c r="I4236" s="1">
        <v>8</v>
      </c>
      <c r="J4236" s="1">
        <v>8</v>
      </c>
      <c r="K4236" s="2">
        <v>5.0</v>
      </c>
    </row>
    <row r="4237" spans="1:12">
      <c r="A4237" s="3" t="s">
        <v>2194</v>
      </c>
      <c r="B4237" s="3" t="s">
        <v>3663</v>
      </c>
      <c r="C4237" s="3" t="s">
        <v>3749</v>
      </c>
      <c r="D4237" s="3"/>
      <c r="E4237" s="2" t="str">
        <f>HYPERLINK("https://old.ukr-mobil.com/zadnyaya_kryshka_xiaomi_redmi_9t_original_prc_green_10002091", "Перейти")</f>
        <v>Перейти</v>
      </c>
      <c r="F4237" s="2">
        <v>10002091</v>
      </c>
      <c r="G4237" s="4" t="s">
        <v>4382</v>
      </c>
      <c r="H4237" s="1">
        <v>25</v>
      </c>
      <c r="I4237" s="1">
        <v>13</v>
      </c>
      <c r="J4237" s="1">
        <v>9</v>
      </c>
      <c r="K4237" s="2">
        <v>5.75</v>
      </c>
    </row>
    <row r="4238" spans="1:12">
      <c r="A4238" s="3" t="s">
        <v>2194</v>
      </c>
      <c r="B4238" s="3" t="s">
        <v>3663</v>
      </c>
      <c r="C4238" s="3" t="s">
        <v>3749</v>
      </c>
      <c r="D4238" s="3"/>
      <c r="E4238" s="2" t="str">
        <f>HYPERLINK("https://old.ukr-mobil.com/zadnyaya_kryshka_xiaomi_redmi_note_11_redmi_note_11s_original_prc_graphite_grey_10003215", "Перейти")</f>
        <v>Перейти</v>
      </c>
      <c r="F4238" s="2">
        <v>10003215</v>
      </c>
      <c r="G4238" s="4" t="s">
        <v>4383</v>
      </c>
      <c r="H4238" s="1">
        <v>34</v>
      </c>
      <c r="I4238" s="1">
        <v>20</v>
      </c>
      <c r="J4238" s="1">
        <v>18</v>
      </c>
      <c r="K4238" s="2">
        <v>3.8</v>
      </c>
    </row>
    <row r="4239" spans="1:12">
      <c r="A4239" s="3" t="s">
        <v>2194</v>
      </c>
      <c r="B4239" s="3" t="s">
        <v>3663</v>
      </c>
      <c r="C4239" s="3" t="s">
        <v>3749</v>
      </c>
      <c r="D4239" s="3"/>
      <c r="E4239" s="2" t="str">
        <f>HYPERLINK("https://old.ukr-mobil.com/zadnyaya_kryshka_xiaomi_redmi_note_11_redmi_note_11s_original_prc_star_blue_10003217", "Перейти")</f>
        <v>Перейти</v>
      </c>
      <c r="F4239" s="2">
        <v>10003217</v>
      </c>
      <c r="G4239" s="4" t="s">
        <v>4384</v>
      </c>
      <c r="H4239" s="1">
        <v>0</v>
      </c>
      <c r="I4239" s="1">
        <v>0</v>
      </c>
      <c r="J4239" s="1">
        <v>0</v>
      </c>
      <c r="K4239" s="2">
        <v>4.75</v>
      </c>
    </row>
    <row r="4240" spans="1:12">
      <c r="A4240" s="3" t="s">
        <v>2194</v>
      </c>
      <c r="B4240" s="3" t="s">
        <v>3663</v>
      </c>
      <c r="C4240" s="3" t="s">
        <v>3749</v>
      </c>
      <c r="D4240" s="3"/>
      <c r="E4240" s="2" t="str">
        <f>HYPERLINK("https://old.ukr-mobil.com/zadnyaya_kryshka_xiaomi_redmi_note_11_redmi_note_11s_original_prc_twilight_blue_10003216", "Перейти")</f>
        <v>Перейти</v>
      </c>
      <c r="F4240" s="2">
        <v>10003216</v>
      </c>
      <c r="G4240" s="4" t="s">
        <v>4385</v>
      </c>
      <c r="H4240" s="1">
        <v>6</v>
      </c>
      <c r="I4240" s="1">
        <v>2</v>
      </c>
      <c r="J4240" s="1">
        <v>0</v>
      </c>
      <c r="K4240" s="2">
        <v>3.85</v>
      </c>
    </row>
    <row r="4241" spans="1:12">
      <c r="A4241" s="3" t="s">
        <v>2194</v>
      </c>
      <c r="B4241" s="3" t="s">
        <v>3663</v>
      </c>
      <c r="C4241" s="3" t="s">
        <v>3749</v>
      </c>
      <c r="D4241" s="3"/>
      <c r="E4241" s="2" t="str">
        <f>HYPERLINK("https://old.ukr-mobil.com/index.php?route=product&amp;product_id=10005353", "Перейти")</f>
        <v>Перейти</v>
      </c>
      <c r="F4241" s="2">
        <v>10005353</v>
      </c>
      <c r="G4241" s="4" t="s">
        <v>4386</v>
      </c>
      <c r="H4241" s="1">
        <v>13</v>
      </c>
      <c r="I4241" s="1">
        <v>10</v>
      </c>
      <c r="J4241" s="1">
        <v>5</v>
      </c>
      <c r="K4241" s="2">
        <v>7.7</v>
      </c>
    </row>
    <row r="4242" spans="1:12">
      <c r="A4242" s="3" t="s">
        <v>2194</v>
      </c>
      <c r="B4242" s="3" t="s">
        <v>3663</v>
      </c>
      <c r="C4242" s="3" t="s">
        <v>3749</v>
      </c>
      <c r="D4242" s="3"/>
      <c r="E4242" s="2" t="str">
        <f>HYPERLINK("https://old.ukr-mobil.com/index.php?route=product&amp;product_id=10005351", "Перейти")</f>
        <v>Перейти</v>
      </c>
      <c r="F4242" s="2">
        <v>10005351</v>
      </c>
      <c r="G4242" s="4" t="s">
        <v>4387</v>
      </c>
      <c r="H4242" s="1">
        <v>12</v>
      </c>
      <c r="I4242" s="1">
        <v>10</v>
      </c>
      <c r="J4242" s="1">
        <v>4</v>
      </c>
      <c r="K4242" s="2">
        <v>7.7</v>
      </c>
    </row>
    <row r="4243" spans="1:12">
      <c r="A4243" s="3" t="s">
        <v>2194</v>
      </c>
      <c r="B4243" s="3" t="s">
        <v>3663</v>
      </c>
      <c r="C4243" s="3" t="s">
        <v>3749</v>
      </c>
      <c r="D4243" s="3"/>
      <c r="E4243" s="2" t="str">
        <f>HYPERLINK("https://old.ukr-mobil.com/index.php?route=product&amp;product_id=10005408", "Перейти")</f>
        <v>Перейти</v>
      </c>
      <c r="F4243" s="2">
        <v>10005408</v>
      </c>
      <c r="G4243" s="4" t="s">
        <v>4388</v>
      </c>
      <c r="H4243" s="1">
        <v>3</v>
      </c>
      <c r="I4243" s="1">
        <v>3</v>
      </c>
      <c r="J4243" s="1">
        <v>2</v>
      </c>
      <c r="K4243" s="2">
        <v>6.7</v>
      </c>
    </row>
    <row r="4244" spans="1:12">
      <c r="A4244" s="3" t="s">
        <v>2194</v>
      </c>
      <c r="B4244" s="3" t="s">
        <v>3663</v>
      </c>
      <c r="C4244" s="3" t="s">
        <v>3749</v>
      </c>
      <c r="D4244" s="3"/>
      <c r="E4244" s="2" t="str">
        <f>HYPERLINK("https://old.ukr-mobil.com/index.php?route=product&amp;product_id=10005352", "Перейти")</f>
        <v>Перейти</v>
      </c>
      <c r="F4244" s="2">
        <v>10005352</v>
      </c>
      <c r="G4244" s="4" t="s">
        <v>4389</v>
      </c>
      <c r="H4244" s="1">
        <v>5</v>
      </c>
      <c r="I4244" s="1">
        <v>9</v>
      </c>
      <c r="J4244" s="1">
        <v>5</v>
      </c>
      <c r="K4244" s="2">
        <v>7.7</v>
      </c>
    </row>
    <row r="4245" spans="1:12">
      <c r="A4245" s="3" t="s">
        <v>2194</v>
      </c>
      <c r="B4245" s="3" t="s">
        <v>3663</v>
      </c>
      <c r="C4245" s="3" t="s">
        <v>3749</v>
      </c>
      <c r="D4245" s="3"/>
      <c r="E4245" s="2" t="str">
        <f>HYPERLINK("https://old.ukr-mobil.com/index.php?route=product&amp;product_id=10005360", "Перейти")</f>
        <v>Перейти</v>
      </c>
      <c r="F4245" s="2">
        <v>10005360</v>
      </c>
      <c r="G4245" s="4" t="s">
        <v>4390</v>
      </c>
      <c r="H4245" s="1">
        <v>0</v>
      </c>
      <c r="I4245" s="1">
        <v>0</v>
      </c>
      <c r="J4245" s="1">
        <v>0</v>
      </c>
      <c r="K4245" s="2">
        <v>6.8</v>
      </c>
    </row>
    <row r="4246" spans="1:12">
      <c r="A4246" s="3" t="s">
        <v>2194</v>
      </c>
      <c r="B4246" s="3" t="s">
        <v>3663</v>
      </c>
      <c r="C4246" s="3" t="s">
        <v>3749</v>
      </c>
      <c r="D4246" s="3"/>
      <c r="E4246" s="2" t="str">
        <f>HYPERLINK("https://old.ukr-mobil.com/index.php?route=product&amp;product_id=10005361", "Перейти")</f>
        <v>Перейти</v>
      </c>
      <c r="F4246" s="2">
        <v>10005361</v>
      </c>
      <c r="G4246" s="4" t="s">
        <v>4391</v>
      </c>
      <c r="H4246" s="1">
        <v>0</v>
      </c>
      <c r="I4246" s="1">
        <v>3</v>
      </c>
      <c r="J4246" s="1">
        <v>2</v>
      </c>
      <c r="K4246" s="2">
        <v>6.9</v>
      </c>
    </row>
    <row r="4247" spans="1:12">
      <c r="A4247" s="3" t="s">
        <v>2194</v>
      </c>
      <c r="B4247" s="3" t="s">
        <v>3663</v>
      </c>
      <c r="C4247" s="3" t="s">
        <v>3749</v>
      </c>
      <c r="D4247" s="3"/>
      <c r="E4247" s="2" t="str">
        <f>HYPERLINK("https://old.ukr-mobil.com/index.php?route=product&amp;product_id=10005363", "Перейти")</f>
        <v>Перейти</v>
      </c>
      <c r="F4247" s="2">
        <v>10005363</v>
      </c>
      <c r="G4247" s="4" t="s">
        <v>4392</v>
      </c>
      <c r="H4247" s="1">
        <v>0</v>
      </c>
      <c r="I4247" s="1">
        <v>0</v>
      </c>
      <c r="J4247" s="1">
        <v>0</v>
      </c>
      <c r="K4247" s="2">
        <v>8.95</v>
      </c>
    </row>
    <row r="4248" spans="1:12">
      <c r="A4248" s="3" t="s">
        <v>2194</v>
      </c>
      <c r="B4248" s="3" t="s">
        <v>3663</v>
      </c>
      <c r="C4248" s="3" t="s">
        <v>3749</v>
      </c>
      <c r="D4248" s="3"/>
      <c r="E4248" s="2" t="str">
        <f>HYPERLINK("https://old.ukr-mobil.com/index.php?route=product&amp;product_id=10005362", "Перейти")</f>
        <v>Перейти</v>
      </c>
      <c r="F4248" s="2">
        <v>10005362</v>
      </c>
      <c r="G4248" s="4" t="s">
        <v>4393</v>
      </c>
      <c r="H4248" s="1">
        <v>0</v>
      </c>
      <c r="I4248" s="1">
        <v>0</v>
      </c>
      <c r="J4248" s="1">
        <v>0</v>
      </c>
      <c r="K4248" s="2">
        <v>9.45</v>
      </c>
    </row>
    <row r="4249" spans="1:12">
      <c r="A4249" s="3" t="s">
        <v>2194</v>
      </c>
      <c r="B4249" s="3" t="s">
        <v>3663</v>
      </c>
      <c r="C4249" s="3" t="s">
        <v>3749</v>
      </c>
      <c r="D4249" s="3"/>
      <c r="E4249" s="2" t="str">
        <f>HYPERLINK("https://old.ukr-mobil.com/index.php?route=product&amp;product_id=10004877", "Перейти")</f>
        <v>Перейти</v>
      </c>
      <c r="F4249" s="2">
        <v>10004877</v>
      </c>
      <c r="G4249" s="4" t="s">
        <v>4394</v>
      </c>
      <c r="H4249" s="1">
        <v>8</v>
      </c>
      <c r="I4249" s="1">
        <v>4</v>
      </c>
      <c r="J4249" s="1">
        <v>5</v>
      </c>
      <c r="K4249" s="2">
        <v>5.0</v>
      </c>
    </row>
    <row r="4250" spans="1:12">
      <c r="A4250" s="3" t="s">
        <v>2194</v>
      </c>
      <c r="B4250" s="3" t="s">
        <v>3663</v>
      </c>
      <c r="C4250" s="3" t="s">
        <v>3749</v>
      </c>
      <c r="D4250" s="3"/>
      <c r="E4250" s="2" t="str">
        <f>HYPERLINK("https://old.ukr-mobil.com/index.php?route=product&amp;product_id=10004876", "Перейти")</f>
        <v>Перейти</v>
      </c>
      <c r="F4250" s="2">
        <v>10004876</v>
      </c>
      <c r="G4250" s="4" t="s">
        <v>4395</v>
      </c>
      <c r="H4250" s="1">
        <v>5</v>
      </c>
      <c r="I4250" s="1">
        <v>2</v>
      </c>
      <c r="J4250" s="1">
        <v>3</v>
      </c>
      <c r="K4250" s="2">
        <v>5.0</v>
      </c>
    </row>
    <row r="4251" spans="1:12">
      <c r="A4251" s="3" t="s">
        <v>2194</v>
      </c>
      <c r="B4251" s="3" t="s">
        <v>3663</v>
      </c>
      <c r="C4251" s="3" t="s">
        <v>3749</v>
      </c>
      <c r="D4251" s="3"/>
      <c r="E4251" s="2" t="str">
        <f>HYPERLINK("https://old.ukr-mobil.com/index.php?route=product&amp;product_id=10004878", "Перейти")</f>
        <v>Перейти</v>
      </c>
      <c r="F4251" s="2">
        <v>10004878</v>
      </c>
      <c r="G4251" s="4" t="s">
        <v>4396</v>
      </c>
      <c r="H4251" s="1">
        <v>9</v>
      </c>
      <c r="I4251" s="1">
        <v>5</v>
      </c>
      <c r="J4251" s="1">
        <v>4</v>
      </c>
      <c r="K4251" s="2">
        <v>5.0</v>
      </c>
    </row>
    <row r="4252" spans="1:12">
      <c r="A4252" s="3" t="s">
        <v>2194</v>
      </c>
      <c r="B4252" s="3" t="s">
        <v>3663</v>
      </c>
      <c r="C4252" s="3" t="s">
        <v>3749</v>
      </c>
      <c r="D4252" s="3"/>
      <c r="E4252" s="2" t="str">
        <f>HYPERLINK("https://old.ukr-mobil.com/zadnyaya_kryshka_xiaomi_redmi_note_4_global_redmi_note_4x_mtk_high_copy_rose_gold_11079", "Перейти")</f>
        <v>Перейти</v>
      </c>
      <c r="F4252" s="2">
        <v>11079</v>
      </c>
      <c r="G4252" s="4" t="s">
        <v>4397</v>
      </c>
      <c r="H4252" s="1">
        <v>0</v>
      </c>
      <c r="I4252" s="1">
        <v>0</v>
      </c>
      <c r="J4252" s="1">
        <v>0</v>
      </c>
      <c r="K4252" s="2">
        <v>10.08</v>
      </c>
    </row>
    <row r="4253" spans="1:12">
      <c r="A4253" s="3" t="s">
        <v>2194</v>
      </c>
      <c r="B4253" s="3" t="s">
        <v>3663</v>
      </c>
      <c r="C4253" s="3" t="s">
        <v>3749</v>
      </c>
      <c r="D4253" s="3"/>
      <c r="E4253" s="2" t="str">
        <f>HYPERLINK("https://old.ukr-mobil.com/zadnyaya_kryshka_xiaomi_redmi_note_4_global_redmi_note_4x_snapdragon_high_copy_black_10239", "Перейти")</f>
        <v>Перейти</v>
      </c>
      <c r="F4253" s="2">
        <v>10239</v>
      </c>
      <c r="G4253" s="4" t="s">
        <v>4398</v>
      </c>
      <c r="H4253" s="1">
        <v>0</v>
      </c>
      <c r="I4253" s="1">
        <v>0</v>
      </c>
      <c r="J4253" s="1">
        <v>0</v>
      </c>
      <c r="K4253" s="2">
        <v>6.55</v>
      </c>
    </row>
    <row r="4254" spans="1:12">
      <c r="A4254" s="3" t="s">
        <v>2194</v>
      </c>
      <c r="B4254" s="3" t="s">
        <v>3663</v>
      </c>
      <c r="C4254" s="3" t="s">
        <v>3749</v>
      </c>
      <c r="D4254" s="3"/>
      <c r="E4254" s="2" t="str">
        <f>HYPERLINK("https://old.ukr-mobil.com/zadnyaya_kryshka_xiaomi_redmi_note_4_global_redmi_note_4x_snapdragon_high_copy_gold_10319", "Перейти")</f>
        <v>Перейти</v>
      </c>
      <c r="F4254" s="2">
        <v>10319</v>
      </c>
      <c r="G4254" s="4" t="s">
        <v>4399</v>
      </c>
      <c r="H4254" s="1">
        <v>0</v>
      </c>
      <c r="I4254" s="1">
        <v>0</v>
      </c>
      <c r="J4254" s="1">
        <v>0</v>
      </c>
      <c r="K4254" s="2">
        <v>6.55</v>
      </c>
    </row>
    <row r="4255" spans="1:12">
      <c r="A4255" s="3" t="s">
        <v>2194</v>
      </c>
      <c r="B4255" s="3" t="s">
        <v>3663</v>
      </c>
      <c r="C4255" s="3" t="s">
        <v>3749</v>
      </c>
      <c r="D4255" s="3"/>
      <c r="E4255" s="2" t="str">
        <f>HYPERLINK("https://old.ukr-mobil.com/zadnyaya_kryshka_xiaomi_redmi_note_5_grey_12133", "Перейти")</f>
        <v>Перейти</v>
      </c>
      <c r="F4255" s="2">
        <v>12133</v>
      </c>
      <c r="G4255" s="4" t="s">
        <v>4400</v>
      </c>
      <c r="H4255" s="1">
        <v>0</v>
      </c>
      <c r="I4255" s="1">
        <v>1</v>
      </c>
      <c r="J4255" s="1">
        <v>0</v>
      </c>
      <c r="K4255" s="2">
        <v>6.0</v>
      </c>
    </row>
    <row r="4256" spans="1:12">
      <c r="A4256" s="3" t="s">
        <v>2194</v>
      </c>
      <c r="B4256" s="3" t="s">
        <v>3663</v>
      </c>
      <c r="C4256" s="3" t="s">
        <v>3749</v>
      </c>
      <c r="D4256" s="3"/>
      <c r="E4256" s="2" t="str">
        <f>HYPERLINK("https://old.ukr-mobil.com/zadnyaya_kryshka_xiaomi_redmi_note_5a_prime_gold_11584", "Перейти")</f>
        <v>Перейти</v>
      </c>
      <c r="F4256" s="2">
        <v>11584</v>
      </c>
      <c r="G4256" s="4" t="s">
        <v>4401</v>
      </c>
      <c r="H4256" s="1">
        <v>0</v>
      </c>
      <c r="I4256" s="1">
        <v>0</v>
      </c>
      <c r="J4256" s="1">
        <v>0</v>
      </c>
      <c r="K4256" s="2">
        <v>5.54</v>
      </c>
    </row>
    <row r="4257" spans="1:12">
      <c r="A4257" s="3" t="s">
        <v>2194</v>
      </c>
      <c r="B4257" s="3" t="s">
        <v>3663</v>
      </c>
      <c r="C4257" s="3" t="s">
        <v>3749</v>
      </c>
      <c r="D4257" s="3"/>
      <c r="E4257" s="2" t="str">
        <f>HYPERLINK("https://old.ukr-mobil.com/zadnyaya_kryshka_xiaomi_redmi_note_5a_prime_grey_11583", "Перейти")</f>
        <v>Перейти</v>
      </c>
      <c r="F4257" s="2">
        <v>11583</v>
      </c>
      <c r="G4257" s="4" t="s">
        <v>4402</v>
      </c>
      <c r="H4257" s="1">
        <v>0</v>
      </c>
      <c r="I4257" s="1">
        <v>0</v>
      </c>
      <c r="J4257" s="1">
        <v>0</v>
      </c>
      <c r="K4257" s="2">
        <v>5.54</v>
      </c>
    </row>
    <row r="4258" spans="1:12">
      <c r="A4258" s="3" t="s">
        <v>2194</v>
      </c>
      <c r="B4258" s="3" t="s">
        <v>3663</v>
      </c>
      <c r="C4258" s="3" t="s">
        <v>3749</v>
      </c>
      <c r="D4258" s="3"/>
      <c r="E4258" s="2" t="str">
        <f>HYPERLINK("https://old.ukr-mobil.com/zadnyaya_kryshka_xiaomi_redmi_note_5a_gold_10806", "Перейти")</f>
        <v>Перейти</v>
      </c>
      <c r="F4258" s="2">
        <v>10806</v>
      </c>
      <c r="G4258" s="4" t="s">
        <v>4403</v>
      </c>
      <c r="H4258" s="1">
        <v>0</v>
      </c>
      <c r="I4258" s="1">
        <v>0</v>
      </c>
      <c r="J4258" s="1">
        <v>0</v>
      </c>
      <c r="K4258" s="2">
        <v>5.39</v>
      </c>
    </row>
    <row r="4259" spans="1:12">
      <c r="A4259" s="3" t="s">
        <v>2194</v>
      </c>
      <c r="B4259" s="3" t="s">
        <v>3663</v>
      </c>
      <c r="C4259" s="3" t="s">
        <v>3749</v>
      </c>
      <c r="D4259" s="3"/>
      <c r="E4259" s="2" t="str">
        <f>HYPERLINK("https://old.ukr-mobil.com/zadnyaya_kryshka_xiaomi_redmi_note_5a_grey_10805", "Перейти")</f>
        <v>Перейти</v>
      </c>
      <c r="F4259" s="2">
        <v>10805</v>
      </c>
      <c r="G4259" s="4" t="s">
        <v>4404</v>
      </c>
      <c r="H4259" s="1">
        <v>0</v>
      </c>
      <c r="I4259" s="1">
        <v>0</v>
      </c>
      <c r="J4259" s="1">
        <v>0</v>
      </c>
      <c r="K4259" s="2">
        <v>5.54</v>
      </c>
    </row>
    <row r="4260" spans="1:12">
      <c r="A4260" s="3" t="s">
        <v>2194</v>
      </c>
      <c r="B4260" s="3" t="s">
        <v>3663</v>
      </c>
      <c r="C4260" s="3" t="s">
        <v>3749</v>
      </c>
      <c r="D4260" s="3"/>
      <c r="E4260" s="2" t="str">
        <f>HYPERLINK("https://old.ukr-mobil.com/zadnyaya_kryshka_xiaomi_redmi_note_5a_pink_10807", "Перейти")</f>
        <v>Перейти</v>
      </c>
      <c r="F4260" s="2">
        <v>10807</v>
      </c>
      <c r="G4260" s="4" t="s">
        <v>4405</v>
      </c>
      <c r="H4260" s="1">
        <v>0</v>
      </c>
      <c r="I4260" s="1">
        <v>0</v>
      </c>
      <c r="J4260" s="1">
        <v>0</v>
      </c>
      <c r="K4260" s="2">
        <v>7.06</v>
      </c>
    </row>
    <row r="4261" spans="1:12">
      <c r="A4261" s="3" t="s">
        <v>2194</v>
      </c>
      <c r="B4261" s="3" t="s">
        <v>3663</v>
      </c>
      <c r="C4261" s="3" t="s">
        <v>3749</v>
      </c>
      <c r="D4261" s="3"/>
      <c r="E4261" s="2" t="str">
        <f>HYPERLINK("https://old.ukr-mobil.com/zadnyaya_kryshka_xiaomi_redmi_note_6_pro_black_12131", "Перейти")</f>
        <v>Перейти</v>
      </c>
      <c r="F4261" s="2">
        <v>12131</v>
      </c>
      <c r="G4261" s="4" t="s">
        <v>4406</v>
      </c>
      <c r="H4261" s="1">
        <v>0</v>
      </c>
      <c r="I4261" s="1">
        <v>0</v>
      </c>
      <c r="J4261" s="1">
        <v>0</v>
      </c>
      <c r="K4261" s="2">
        <v>5.5</v>
      </c>
    </row>
    <row r="4262" spans="1:12">
      <c r="A4262" s="3" t="s">
        <v>2194</v>
      </c>
      <c r="B4262" s="3" t="s">
        <v>3663</v>
      </c>
      <c r="C4262" s="3" t="s">
        <v>3749</v>
      </c>
      <c r="D4262" s="3"/>
      <c r="E4262" s="2" t="str">
        <f>HYPERLINK("https://old.ukr-mobil.com/zadnyaya_kryshka_xiaomi_redmi_note_6_pro_so_steklom_kamery_original_black_10002517", "Перейти")</f>
        <v>Перейти</v>
      </c>
      <c r="F4262" s="2">
        <v>10002517</v>
      </c>
      <c r="G4262" s="4" t="s">
        <v>4407</v>
      </c>
      <c r="H4262" s="1">
        <v>2</v>
      </c>
      <c r="I4262" s="1">
        <v>4</v>
      </c>
      <c r="J4262" s="1">
        <v>2</v>
      </c>
      <c r="K4262" s="2">
        <v>6.5</v>
      </c>
    </row>
    <row r="4263" spans="1:12">
      <c r="A4263" s="3" t="s">
        <v>2194</v>
      </c>
      <c r="B4263" s="3" t="s">
        <v>3663</v>
      </c>
      <c r="C4263" s="3" t="s">
        <v>3749</v>
      </c>
      <c r="D4263" s="3"/>
      <c r="E4263" s="2" t="str">
        <f>HYPERLINK("https://old.ukr-mobil.com/zadnyaya_kryshka_xiaomi_redmi_note_7_black_12130", "Перейти")</f>
        <v>Перейти</v>
      </c>
      <c r="F4263" s="2">
        <v>12130</v>
      </c>
      <c r="G4263" s="4" t="s">
        <v>4408</v>
      </c>
      <c r="H4263" s="1">
        <v>0</v>
      </c>
      <c r="I4263" s="1">
        <v>0</v>
      </c>
      <c r="J4263" s="1">
        <v>0</v>
      </c>
      <c r="K4263" s="2">
        <v>2.7</v>
      </c>
    </row>
    <row r="4264" spans="1:12">
      <c r="A4264" s="3" t="s">
        <v>2194</v>
      </c>
      <c r="B4264" s="3" t="s">
        <v>3663</v>
      </c>
      <c r="C4264" s="3" t="s">
        <v>3749</v>
      </c>
      <c r="D4264" s="3"/>
      <c r="E4264" s="2" t="str">
        <f>HYPERLINK("https://old.ukr-mobil.com/zadnyaya_kryshka_xiaomi_redmi_note_7_moonlight_white_10002606", "Перейти")</f>
        <v>Перейти</v>
      </c>
      <c r="F4264" s="2">
        <v>10002606</v>
      </c>
      <c r="G4264" s="4" t="s">
        <v>4409</v>
      </c>
      <c r="H4264" s="1">
        <v>0</v>
      </c>
      <c r="I4264" s="1">
        <v>0</v>
      </c>
      <c r="J4264" s="1">
        <v>0</v>
      </c>
      <c r="K4264" s="2">
        <v>3.5</v>
      </c>
    </row>
    <row r="4265" spans="1:12">
      <c r="A4265" s="3" t="s">
        <v>2194</v>
      </c>
      <c r="B4265" s="3" t="s">
        <v>3663</v>
      </c>
      <c r="C4265" s="3" t="s">
        <v>3749</v>
      </c>
      <c r="D4265" s="3"/>
      <c r="E4265" s="2" t="str">
        <f>HYPERLINK("https://old.ukr-mobil.com/zadnyaya_kryshka_xiaomi_redmi_note_7_neptune_blue_10002605", "Перейти")</f>
        <v>Перейти</v>
      </c>
      <c r="F4265" s="2">
        <v>10002605</v>
      </c>
      <c r="G4265" s="4" t="s">
        <v>4410</v>
      </c>
      <c r="H4265" s="1">
        <v>0</v>
      </c>
      <c r="I4265" s="1">
        <v>0</v>
      </c>
      <c r="J4265" s="1">
        <v>0</v>
      </c>
      <c r="K4265" s="2">
        <v>3.5</v>
      </c>
    </row>
    <row r="4266" spans="1:12">
      <c r="A4266" s="3" t="s">
        <v>2194</v>
      </c>
      <c r="B4266" s="3" t="s">
        <v>3663</v>
      </c>
      <c r="C4266" s="3" t="s">
        <v>3749</v>
      </c>
      <c r="D4266" s="3"/>
      <c r="E4266" s="2" t="str">
        <f>HYPERLINK("https://old.ukr-mobil.com/zadnyaya_kryshka_xiaomi_redmi_note_7_so_steklom_kamery_black_10002467", "Перейти")</f>
        <v>Перейти</v>
      </c>
      <c r="F4266" s="2">
        <v>10002467</v>
      </c>
      <c r="G4266" s="4" t="s">
        <v>4411</v>
      </c>
      <c r="H4266" s="1">
        <v>0</v>
      </c>
      <c r="I4266" s="1">
        <v>0</v>
      </c>
      <c r="J4266" s="1">
        <v>0</v>
      </c>
      <c r="K4266" s="2">
        <v>4.0</v>
      </c>
    </row>
    <row r="4267" spans="1:12">
      <c r="A4267" s="3" t="s">
        <v>2194</v>
      </c>
      <c r="B4267" s="3" t="s">
        <v>3663</v>
      </c>
      <c r="C4267" s="3" t="s">
        <v>3749</v>
      </c>
      <c r="D4267" s="3"/>
      <c r="E4267" s="2" t="str">
        <f>HYPERLINK("https://old.ukr-mobil.com/zadnyaya_kryshka_xiaomi_redmi_note_8_pro_original_prc_blue_10001172", "Перейти")</f>
        <v>Перейти</v>
      </c>
      <c r="F4267" s="2">
        <v>10001172</v>
      </c>
      <c r="G4267" s="4" t="s">
        <v>4412</v>
      </c>
      <c r="H4267" s="1">
        <v>0</v>
      </c>
      <c r="I4267" s="1">
        <v>0</v>
      </c>
      <c r="J4267" s="1">
        <v>0</v>
      </c>
      <c r="K4267" s="2">
        <v>3.75</v>
      </c>
    </row>
    <row r="4268" spans="1:12">
      <c r="A4268" s="3" t="s">
        <v>2194</v>
      </c>
      <c r="B4268" s="3" t="s">
        <v>3663</v>
      </c>
      <c r="C4268" s="3" t="s">
        <v>3749</v>
      </c>
      <c r="D4268" s="3"/>
      <c r="E4268" s="2" t="str">
        <f>HYPERLINK("https://old.ukr-mobil.com/zadnyaya_kryshka_xiaomi_redmi_note_8_pro_original_prc_green_10001173", "Перейти")</f>
        <v>Перейти</v>
      </c>
      <c r="F4268" s="2">
        <v>10001173</v>
      </c>
      <c r="G4268" s="4" t="s">
        <v>4413</v>
      </c>
      <c r="H4268" s="1">
        <v>0</v>
      </c>
      <c r="I4268" s="1">
        <v>0</v>
      </c>
      <c r="J4268" s="1">
        <v>0</v>
      </c>
      <c r="K4268" s="2">
        <v>3.85</v>
      </c>
    </row>
    <row r="4269" spans="1:12">
      <c r="A4269" s="3" t="s">
        <v>2194</v>
      </c>
      <c r="B4269" s="3" t="s">
        <v>3663</v>
      </c>
      <c r="C4269" s="3" t="s">
        <v>3749</v>
      </c>
      <c r="D4269" s="3"/>
      <c r="E4269" s="2" t="str">
        <f>HYPERLINK("https://old.ukr-mobil.com/zadnyaya_kryshka_xiaomi_redmi_note_8_pro_original_prc_grey_10001171", "Перейти")</f>
        <v>Перейти</v>
      </c>
      <c r="F4269" s="2">
        <v>10001171</v>
      </c>
      <c r="G4269" s="4" t="s">
        <v>4414</v>
      </c>
      <c r="H4269" s="1">
        <v>0</v>
      </c>
      <c r="I4269" s="1">
        <v>0</v>
      </c>
      <c r="J4269" s="1">
        <v>0</v>
      </c>
      <c r="K4269" s="2">
        <v>3.85</v>
      </c>
    </row>
    <row r="4270" spans="1:12">
      <c r="A4270" s="3" t="s">
        <v>2194</v>
      </c>
      <c r="B4270" s="3" t="s">
        <v>3663</v>
      </c>
      <c r="C4270" s="3" t="s">
        <v>3749</v>
      </c>
      <c r="D4270" s="3"/>
      <c r="E4270" s="2" t="str">
        <f>HYPERLINK("https://old.ukr-mobil.com/zadnyaya_kryshka_xiaomi_redmi_note_8_pro_white_10001075", "Перейти")</f>
        <v>Перейти</v>
      </c>
      <c r="F4270" s="2">
        <v>10001075</v>
      </c>
      <c r="G4270" s="4" t="s">
        <v>4415</v>
      </c>
      <c r="H4270" s="1">
        <v>0</v>
      </c>
      <c r="I4270" s="1">
        <v>0</v>
      </c>
      <c r="J4270" s="1">
        <v>0</v>
      </c>
      <c r="K4270" s="2">
        <v>3.85</v>
      </c>
    </row>
    <row r="4271" spans="1:12">
      <c r="A4271" s="3" t="s">
        <v>2194</v>
      </c>
      <c r="B4271" s="3" t="s">
        <v>3663</v>
      </c>
      <c r="C4271" s="3" t="s">
        <v>3749</v>
      </c>
      <c r="D4271" s="3"/>
      <c r="E4271" s="2" t="str">
        <f>HYPERLINK("https://old.ukr-mobil.com/zadnyaya_kryshka_xiaomi_redmi_note_8_pro_so_steklom_kamery_blue_10002468", "Перейти")</f>
        <v>Перейти</v>
      </c>
      <c r="F4271" s="2">
        <v>10002468</v>
      </c>
      <c r="G4271" s="4" t="s">
        <v>4416</v>
      </c>
      <c r="H4271" s="1">
        <v>0</v>
      </c>
      <c r="I4271" s="1">
        <v>0</v>
      </c>
      <c r="J4271" s="1">
        <v>1</v>
      </c>
      <c r="K4271" s="2">
        <v>7.0</v>
      </c>
    </row>
    <row r="4272" spans="1:12">
      <c r="A4272" s="3" t="s">
        <v>2194</v>
      </c>
      <c r="B4272" s="3" t="s">
        <v>3663</v>
      </c>
      <c r="C4272" s="3" t="s">
        <v>3749</v>
      </c>
      <c r="D4272" s="3"/>
      <c r="E4272" s="2" t="str">
        <f>HYPERLINK("https://old.ukr-mobil.com/zadnyaya_kryshka_xiaomi_redmi_note_8_pro_so_steklom_kamery_grey_10002470", "Перейти")</f>
        <v>Перейти</v>
      </c>
      <c r="F4272" s="2">
        <v>10002470</v>
      </c>
      <c r="G4272" s="4" t="s">
        <v>4417</v>
      </c>
      <c r="H4272" s="1">
        <v>0</v>
      </c>
      <c r="I4272" s="1">
        <v>0</v>
      </c>
      <c r="J4272" s="1">
        <v>0</v>
      </c>
      <c r="K4272" s="2">
        <v>7.0</v>
      </c>
    </row>
    <row r="4273" spans="1:12">
      <c r="A4273" s="3" t="s">
        <v>2194</v>
      </c>
      <c r="B4273" s="3" t="s">
        <v>3663</v>
      </c>
      <c r="C4273" s="3" t="s">
        <v>3749</v>
      </c>
      <c r="D4273" s="3"/>
      <c r="E4273" s="2" t="str">
        <f>HYPERLINK("https://old.ukr-mobil.com/zadnyaya_kryshka_xiaomi_redmi_note_8_original_prc_black_10001174", "Перейти")</f>
        <v>Перейти</v>
      </c>
      <c r="F4273" s="2">
        <v>10001174</v>
      </c>
      <c r="G4273" s="4" t="s">
        <v>4418</v>
      </c>
      <c r="H4273" s="1">
        <v>0</v>
      </c>
      <c r="I4273" s="1">
        <v>0</v>
      </c>
      <c r="J4273" s="1">
        <v>0</v>
      </c>
      <c r="K4273" s="2">
        <v>3.35</v>
      </c>
    </row>
    <row r="4274" spans="1:12">
      <c r="A4274" s="3" t="s">
        <v>2194</v>
      </c>
      <c r="B4274" s="3" t="s">
        <v>3663</v>
      </c>
      <c r="C4274" s="3" t="s">
        <v>3749</v>
      </c>
      <c r="D4274" s="3"/>
      <c r="E4274" s="2" t="str">
        <f>HYPERLINK("https://old.ukr-mobil.com/zadnyaya_kryshka_xiaomi_redmi_note_8_original_prc_blue_10001175", "Перейти")</f>
        <v>Перейти</v>
      </c>
      <c r="F4274" s="2">
        <v>10001175</v>
      </c>
      <c r="G4274" s="4" t="s">
        <v>4419</v>
      </c>
      <c r="H4274" s="1">
        <v>0</v>
      </c>
      <c r="I4274" s="1">
        <v>0</v>
      </c>
      <c r="J4274" s="1">
        <v>0</v>
      </c>
      <c r="K4274" s="2">
        <v>3.5</v>
      </c>
    </row>
    <row r="4275" spans="1:12">
      <c r="A4275" s="3" t="s">
        <v>2194</v>
      </c>
      <c r="B4275" s="3" t="s">
        <v>3663</v>
      </c>
      <c r="C4275" s="3" t="s">
        <v>3749</v>
      </c>
      <c r="D4275" s="3"/>
      <c r="E4275" s="2" t="str">
        <f>HYPERLINK("https://old.ukr-mobil.com/zadnyaya_kryshka_xiaomi_redmi_note_8_redmi_note_8t_original_prc_white_10001377", "Перейти")</f>
        <v>Перейти</v>
      </c>
      <c r="F4275" s="2">
        <v>10001377</v>
      </c>
      <c r="G4275" s="4" t="s">
        <v>4420</v>
      </c>
      <c r="H4275" s="1">
        <v>0</v>
      </c>
      <c r="I4275" s="1">
        <v>0</v>
      </c>
      <c r="J4275" s="1">
        <v>0</v>
      </c>
      <c r="K4275" s="2">
        <v>3.5</v>
      </c>
    </row>
    <row r="4276" spans="1:12">
      <c r="A4276" s="3" t="s">
        <v>2194</v>
      </c>
      <c r="B4276" s="3" t="s">
        <v>3663</v>
      </c>
      <c r="C4276" s="3" t="s">
        <v>3749</v>
      </c>
      <c r="D4276" s="3"/>
      <c r="E4276" s="2" t="str">
        <f>HYPERLINK("https://old.ukr-mobil.com/zadnyaya_kryshka_xiaomi_redmi_note_8_so_steklom_kamery_black_10002471", "Перейти")</f>
        <v>Перейти</v>
      </c>
      <c r="F4276" s="2">
        <v>10002471</v>
      </c>
      <c r="G4276" s="4" t="s">
        <v>4421</v>
      </c>
      <c r="H4276" s="1">
        <v>0</v>
      </c>
      <c r="I4276" s="1">
        <v>0</v>
      </c>
      <c r="J4276" s="1">
        <v>0</v>
      </c>
      <c r="K4276" s="2">
        <v>3.75</v>
      </c>
    </row>
    <row r="4277" spans="1:12">
      <c r="A4277" s="3" t="s">
        <v>2194</v>
      </c>
      <c r="B4277" s="3" t="s">
        <v>3663</v>
      </c>
      <c r="C4277" s="3" t="s">
        <v>3749</v>
      </c>
      <c r="D4277" s="3"/>
      <c r="E4277" s="2" t="str">
        <f>HYPERLINK("https://old.ukr-mobil.com/zadnyaya_kryshka_xiaomi_redmi_note_9_pro_redmi_note_9s_original_prc_green_10001177", "Перейти")</f>
        <v>Перейти</v>
      </c>
      <c r="F4277" s="2">
        <v>10001177</v>
      </c>
      <c r="G4277" s="4" t="s">
        <v>4422</v>
      </c>
      <c r="H4277" s="1">
        <v>0</v>
      </c>
      <c r="I4277" s="1">
        <v>1</v>
      </c>
      <c r="J4277" s="1">
        <v>5</v>
      </c>
      <c r="K4277" s="2">
        <v>5.4</v>
      </c>
    </row>
    <row r="4278" spans="1:12">
      <c r="A4278" s="3" t="s">
        <v>2194</v>
      </c>
      <c r="B4278" s="3" t="s">
        <v>3663</v>
      </c>
      <c r="C4278" s="3" t="s">
        <v>3749</v>
      </c>
      <c r="D4278" s="3"/>
      <c r="E4278" s="2" t="str">
        <f>HYPERLINK("https://old.ukr-mobil.com/zadnyaya_kryshka_xiaomi_redmi_note_9_pro_redmi_note_9s_original_prc_interstellar_grey_10002107", "Перейти")</f>
        <v>Перейти</v>
      </c>
      <c r="F4278" s="2">
        <v>10002107</v>
      </c>
      <c r="G4278" s="4" t="s">
        <v>4423</v>
      </c>
      <c r="H4278" s="1">
        <v>0</v>
      </c>
      <c r="I4278" s="1">
        <v>0</v>
      </c>
      <c r="J4278" s="1">
        <v>0</v>
      </c>
      <c r="K4278" s="2">
        <v>4.0</v>
      </c>
    </row>
    <row r="4279" spans="1:12">
      <c r="A4279" s="3" t="s">
        <v>2194</v>
      </c>
      <c r="B4279" s="3" t="s">
        <v>3663</v>
      </c>
      <c r="C4279" s="3" t="s">
        <v>3749</v>
      </c>
      <c r="D4279" s="3"/>
      <c r="E4279" s="2" t="str">
        <f>HYPERLINK("https://old.ukr-mobil.com/zadnyaya_kryshka_xiaomi_redmi_note_9_pro_redmi_note_9s_original_prc_white_10001176", "Перейти")</f>
        <v>Перейти</v>
      </c>
      <c r="F4279" s="2">
        <v>10001176</v>
      </c>
      <c r="G4279" s="4" t="s">
        <v>4424</v>
      </c>
      <c r="H4279" s="1">
        <v>0</v>
      </c>
      <c r="I4279" s="1">
        <v>0</v>
      </c>
      <c r="J4279" s="1">
        <v>0</v>
      </c>
      <c r="K4279" s="2">
        <v>4.0</v>
      </c>
    </row>
    <row r="4280" spans="1:12">
      <c r="A4280" s="3" t="s">
        <v>2194</v>
      </c>
      <c r="B4280" s="3" t="s">
        <v>3663</v>
      </c>
      <c r="C4280" s="3" t="s">
        <v>3749</v>
      </c>
      <c r="D4280" s="3"/>
      <c r="E4280" s="2" t="str">
        <f>HYPERLINK("https://old.ukr-mobil.com/zadnyaya_kryshka_xiaomi_redmi_note_9_pro_redmi_note_9s_so_steklom_kamery_blue_10002473", "Перейти")</f>
        <v>Перейти</v>
      </c>
      <c r="F4280" s="2">
        <v>10002473</v>
      </c>
      <c r="G4280" s="4" t="s">
        <v>4425</v>
      </c>
      <c r="H4280" s="1">
        <v>0</v>
      </c>
      <c r="I4280" s="1">
        <v>0</v>
      </c>
      <c r="J4280" s="1">
        <v>0</v>
      </c>
      <c r="K4280" s="2">
        <v>7.0</v>
      </c>
    </row>
    <row r="4281" spans="1:12">
      <c r="A4281" s="3" t="s">
        <v>2194</v>
      </c>
      <c r="B4281" s="3" t="s">
        <v>3663</v>
      </c>
      <c r="C4281" s="3" t="s">
        <v>3749</v>
      </c>
      <c r="D4281" s="3"/>
      <c r="E4281" s="2" t="str">
        <f>HYPERLINK("https://old.ukr-mobil.com/zadnyaya_kryshka_xiaomi_redmi_note_9_pro_redmi_note_9s_so_steklom_kamery_interstellar_grey_10002474", "Перейти")</f>
        <v>Перейти</v>
      </c>
      <c r="F4281" s="2">
        <v>10002474</v>
      </c>
      <c r="G4281" s="4" t="s">
        <v>4426</v>
      </c>
      <c r="H4281" s="1">
        <v>0</v>
      </c>
      <c r="I4281" s="1">
        <v>3</v>
      </c>
      <c r="J4281" s="1">
        <v>0</v>
      </c>
      <c r="K4281" s="2">
        <v>6.0</v>
      </c>
    </row>
    <row r="4282" spans="1:12">
      <c r="A4282" s="3" t="s">
        <v>2194</v>
      </c>
      <c r="B4282" s="3" t="s">
        <v>3663</v>
      </c>
      <c r="C4282" s="3" t="s">
        <v>3749</v>
      </c>
      <c r="D4282" s="3"/>
      <c r="E4282" s="2" t="str">
        <f>HYPERLINK("https://old.ukr-mobil.com/zadnyaya_kryshka_xiaomi_redmi_note_9_pro_redmi_note_9s_so_steklom_kamery_white_10002475", "Перейти")</f>
        <v>Перейти</v>
      </c>
      <c r="F4282" s="2">
        <v>10002475</v>
      </c>
      <c r="G4282" s="4" t="s">
        <v>4427</v>
      </c>
      <c r="H4282" s="1">
        <v>7</v>
      </c>
      <c r="I4282" s="1">
        <v>4</v>
      </c>
      <c r="J4282" s="1">
        <v>6</v>
      </c>
      <c r="K4282" s="2">
        <v>7.0</v>
      </c>
    </row>
    <row r="4283" spans="1:12">
      <c r="A4283" s="3" t="s">
        <v>2194</v>
      </c>
      <c r="B4283" s="3" t="s">
        <v>3663</v>
      </c>
      <c r="C4283" s="3" t="s">
        <v>3749</v>
      </c>
      <c r="D4283" s="3"/>
      <c r="E4283" s="2" t="str">
        <f>HYPERLINK("https://old.ukr-mobil.com/zadnyaya_kryshka_xiaomi_redmi_note_9_high_quality_midnight_grey_10004540", "Перейти")</f>
        <v>Перейти</v>
      </c>
      <c r="F4283" s="2">
        <v>10004540</v>
      </c>
      <c r="G4283" s="4" t="s">
        <v>4428</v>
      </c>
      <c r="H4283" s="1">
        <v>0</v>
      </c>
      <c r="I4283" s="1">
        <v>0</v>
      </c>
      <c r="J4283" s="1">
        <v>0</v>
      </c>
      <c r="K4283" s="2">
        <v>4.75</v>
      </c>
    </row>
    <row r="4284" spans="1:12">
      <c r="A4284" s="3" t="s">
        <v>2194</v>
      </c>
      <c r="B4284" s="3" t="s">
        <v>3663</v>
      </c>
      <c r="C4284" s="3" t="s">
        <v>3749</v>
      </c>
      <c r="D4284" s="3"/>
      <c r="E4284" s="2" t="str">
        <f>HYPERLINK("https://old.ukr-mobil.com/zadnyaya_kryshka_xiaomi_redmi_note_9_high_copy_onyx_black_10002519", "Перейти")</f>
        <v>Перейти</v>
      </c>
      <c r="F4284" s="2">
        <v>10002519</v>
      </c>
      <c r="G4284" s="4" t="s">
        <v>4429</v>
      </c>
      <c r="H4284" s="1">
        <v>16</v>
      </c>
      <c r="I4284" s="1">
        <v>5</v>
      </c>
      <c r="J4284" s="1">
        <v>6</v>
      </c>
      <c r="K4284" s="2">
        <v>4.75</v>
      </c>
    </row>
    <row r="4285" spans="1:12">
      <c r="A4285" s="3" t="s">
        <v>2194</v>
      </c>
      <c r="B4285" s="3" t="s">
        <v>3663</v>
      </c>
      <c r="C4285" s="3" t="s">
        <v>3749</v>
      </c>
      <c r="D4285" s="3"/>
      <c r="E4285" s="2" t="str">
        <f>HYPERLINK("https://old.ukr-mobil.com/zadnyaya_kryshka_xiaomi_redmi_note_9_original_prc_midnight_grey_10002520", "Перейти")</f>
        <v>Перейти</v>
      </c>
      <c r="F4285" s="2">
        <v>10002520</v>
      </c>
      <c r="G4285" s="4" t="s">
        <v>4430</v>
      </c>
      <c r="H4285" s="1">
        <v>0</v>
      </c>
      <c r="I4285" s="1">
        <v>0</v>
      </c>
      <c r="J4285" s="1">
        <v>0</v>
      </c>
      <c r="K4285" s="2">
        <v>5.0</v>
      </c>
    </row>
    <row r="4286" spans="1:12">
      <c r="A4286" s="3" t="s">
        <v>2194</v>
      </c>
      <c r="B4286" s="3" t="s">
        <v>3663</v>
      </c>
      <c r="C4286" s="3" t="s">
        <v>3749</v>
      </c>
      <c r="D4286" s="3"/>
      <c r="E4286" s="2" t="str">
        <f>HYPERLINK("https://old.ukr-mobil.com/zadnyaya_kryshka_xiaomi_redmi_s2_black_12132", "Перейти")</f>
        <v>Перейти</v>
      </c>
      <c r="F4286" s="2">
        <v>12132</v>
      </c>
      <c r="G4286" s="4" t="s">
        <v>4431</v>
      </c>
      <c r="H4286" s="1">
        <v>21</v>
      </c>
      <c r="I4286" s="1">
        <v>1</v>
      </c>
      <c r="J4286" s="1">
        <v>2</v>
      </c>
      <c r="K4286" s="2">
        <v>5.0</v>
      </c>
    </row>
    <row r="4287" spans="1:12">
      <c r="A4287" s="3" t="s">
        <v>2194</v>
      </c>
      <c r="B4287" s="3" t="s">
        <v>3663</v>
      </c>
      <c r="C4287" s="3" t="s">
        <v>3749</v>
      </c>
      <c r="D4287" s="3"/>
      <c r="E4287" s="2" t="str">
        <f>HYPERLINK("https://old.ukr-mobil.com/index.php?route=product&amp;product_id=10005424", "Перейти")</f>
        <v>Перейти</v>
      </c>
      <c r="F4287" s="2">
        <v>10005424</v>
      </c>
      <c r="G4287" s="4" t="s">
        <v>4432</v>
      </c>
      <c r="H4287" s="1">
        <v>5</v>
      </c>
      <c r="I4287" s="1">
        <v>3</v>
      </c>
      <c r="J4287" s="1">
        <v>2</v>
      </c>
      <c r="K4287" s="2">
        <v>5.07</v>
      </c>
    </row>
    <row r="4288" spans="1:12">
      <c r="A4288" s="3" t="s">
        <v>2194</v>
      </c>
      <c r="B4288" s="3" t="s">
        <v>3663</v>
      </c>
      <c r="C4288" s="3" t="s">
        <v>3749</v>
      </c>
      <c r="D4288" s="3"/>
      <c r="E4288" s="2" t="str">
        <f>HYPERLINK("https://old.ukr-mobil.com/index.php?route=product&amp;product_id=10005368", "Перейти")</f>
        <v>Перейти</v>
      </c>
      <c r="F4288" s="2">
        <v>10005368</v>
      </c>
      <c r="G4288" s="4" t="s">
        <v>4433</v>
      </c>
      <c r="H4288" s="1">
        <v>7</v>
      </c>
      <c r="I4288" s="1">
        <v>3</v>
      </c>
      <c r="J4288" s="1">
        <v>2</v>
      </c>
      <c r="K4288" s="2">
        <v>6.35</v>
      </c>
    </row>
    <row r="4289" spans="1:12">
      <c r="A4289" s="3" t="s">
        <v>2194</v>
      </c>
      <c r="B4289" s="3" t="s">
        <v>3663</v>
      </c>
      <c r="C4289" s="3" t="s">
        <v>3749</v>
      </c>
      <c r="D4289" s="3"/>
      <c r="E4289" s="2" t="str">
        <f>HYPERLINK("https://old.ukr-mobil.com/index.php?route=product&amp;product_id=10005367", "Перейти")</f>
        <v>Перейти</v>
      </c>
      <c r="F4289" s="2">
        <v>10005367</v>
      </c>
      <c r="G4289" s="4" t="s">
        <v>4434</v>
      </c>
      <c r="H4289" s="1">
        <v>10</v>
      </c>
      <c r="I4289" s="1">
        <v>5</v>
      </c>
      <c r="J4289" s="1">
        <v>5</v>
      </c>
      <c r="K4289" s="2">
        <v>6.1</v>
      </c>
    </row>
    <row r="4290" spans="1:12">
      <c r="A4290" s="3" t="s">
        <v>2194</v>
      </c>
      <c r="B4290" s="3" t="s">
        <v>3663</v>
      </c>
      <c r="C4290" s="3" t="s">
        <v>3749</v>
      </c>
      <c r="D4290" s="3"/>
      <c r="E4290" s="2" t="str">
        <f>HYPERLINK("https://old.ukr-mobil.com/index.php?route=product&amp;product_id=10005369", "Перейти")</f>
        <v>Перейти</v>
      </c>
      <c r="F4290" s="2">
        <v>10005369</v>
      </c>
      <c r="G4290" s="4" t="s">
        <v>4435</v>
      </c>
      <c r="H4290" s="1">
        <v>8</v>
      </c>
      <c r="I4290" s="1">
        <v>3</v>
      </c>
      <c r="J4290" s="1">
        <v>3</v>
      </c>
      <c r="K4290" s="2">
        <v>5.2</v>
      </c>
    </row>
    <row r="4291" spans="1:12">
      <c r="A4291" s="3" t="s">
        <v>2194</v>
      </c>
      <c r="B4291" s="3" t="s">
        <v>3663</v>
      </c>
      <c r="C4291" s="3" t="s">
        <v>3749</v>
      </c>
      <c r="D4291" s="3"/>
      <c r="E4291" s="2" t="str">
        <f>HYPERLINK("https://old.ukr-mobil.com/index.php?route=product&amp;product_id=10005364", "Перейти")</f>
        <v>Перейти</v>
      </c>
      <c r="F4291" s="2">
        <v>10005364</v>
      </c>
      <c r="G4291" s="4" t="s">
        <v>4436</v>
      </c>
      <c r="H4291" s="1">
        <v>7</v>
      </c>
      <c r="I4291" s="1">
        <v>5</v>
      </c>
      <c r="J4291" s="1">
        <v>5</v>
      </c>
      <c r="K4291" s="2">
        <v>9.45</v>
      </c>
    </row>
    <row r="4292" spans="1:12">
      <c r="A4292" s="3" t="s">
        <v>2194</v>
      </c>
      <c r="B4292" s="3" t="s">
        <v>3663</v>
      </c>
      <c r="C4292" s="3" t="s">
        <v>3749</v>
      </c>
      <c r="D4292" s="3"/>
      <c r="E4292" s="2" t="str">
        <f>HYPERLINK("https://old.ukr-mobil.com/index.php?route=product&amp;product_id=10005366", "Перейти")</f>
        <v>Перейти</v>
      </c>
      <c r="F4292" s="2">
        <v>10005366</v>
      </c>
      <c r="G4292" s="4" t="s">
        <v>4437</v>
      </c>
      <c r="H4292" s="1">
        <v>8</v>
      </c>
      <c r="I4292" s="1">
        <v>5</v>
      </c>
      <c r="J4292" s="1">
        <v>2</v>
      </c>
      <c r="K4292" s="2">
        <v>9.45</v>
      </c>
    </row>
    <row r="4293" spans="1:12">
      <c r="A4293" s="3" t="s">
        <v>2194</v>
      </c>
      <c r="B4293" s="3" t="s">
        <v>3663</v>
      </c>
      <c r="C4293" s="3" t="s">
        <v>3749</v>
      </c>
      <c r="D4293" s="3"/>
      <c r="E4293" s="2" t="str">
        <f>HYPERLINK("https://old.ukr-mobil.com/index.php?route=product&amp;product_id=10005365", "Перейти")</f>
        <v>Перейти</v>
      </c>
      <c r="F4293" s="2">
        <v>10005365</v>
      </c>
      <c r="G4293" s="4" t="s">
        <v>4438</v>
      </c>
      <c r="H4293" s="1">
        <v>7</v>
      </c>
      <c r="I4293" s="1">
        <v>3</v>
      </c>
      <c r="J4293" s="1">
        <v>2</v>
      </c>
      <c r="K4293" s="2">
        <v>9.45</v>
      </c>
    </row>
    <row r="4294" spans="1:12">
      <c r="A4294" s="3" t="s">
        <v>2194</v>
      </c>
      <c r="B4294" s="3" t="s">
        <v>3663</v>
      </c>
      <c r="C4294" s="3" t="s">
        <v>3749</v>
      </c>
      <c r="D4294" s="3"/>
      <c r="E4294" s="2" t="str">
        <f>HYPERLINK("https://old.ukr-mobil.com/korpus_apple_iphone_11_pro_v_sbore_original_prc_silver_10001289", "Перейти")</f>
        <v>Перейти</v>
      </c>
      <c r="F4294" s="2">
        <v>10001289</v>
      </c>
      <c r="G4294" s="4" t="s">
        <v>4439</v>
      </c>
      <c r="H4294" s="1">
        <v>0</v>
      </c>
      <c r="I4294" s="1">
        <v>0</v>
      </c>
      <c r="J4294" s="1">
        <v>0</v>
      </c>
      <c r="K4294" s="2">
        <v>35.0</v>
      </c>
    </row>
    <row r="4295" spans="1:12">
      <c r="A4295" s="3" t="s">
        <v>2194</v>
      </c>
      <c r="B4295" s="3" t="s">
        <v>3663</v>
      </c>
      <c r="C4295" s="3" t="s">
        <v>3749</v>
      </c>
      <c r="D4295" s="3"/>
      <c r="E4295" s="2" t="str">
        <f>HYPERLINK("https://old.ukr-mobil.com/korpus_apple_iphone_11_v_sbore_original_prc_green_10003780", "Перейти")</f>
        <v>Перейти</v>
      </c>
      <c r="F4295" s="2">
        <v>10003780</v>
      </c>
      <c r="G4295" s="4" t="s">
        <v>4440</v>
      </c>
      <c r="H4295" s="1">
        <v>0</v>
      </c>
      <c r="I4295" s="1">
        <v>0</v>
      </c>
      <c r="J4295" s="1">
        <v>0</v>
      </c>
      <c r="K4295" s="2">
        <v>21.0</v>
      </c>
    </row>
    <row r="4296" spans="1:12">
      <c r="A4296" s="3" t="s">
        <v>2194</v>
      </c>
      <c r="B4296" s="3" t="s">
        <v>3663</v>
      </c>
      <c r="C4296" s="3" t="s">
        <v>3749</v>
      </c>
      <c r="D4296" s="3"/>
      <c r="E4296" s="2" t="str">
        <f>HYPERLINK("https://old.ukr-mobil.com/korpus_apple_iphone_11_v_sbore_original_prc_red_10003781", "Перейти")</f>
        <v>Перейти</v>
      </c>
      <c r="F4296" s="2">
        <v>10003781</v>
      </c>
      <c r="G4296" s="4" t="s">
        <v>4441</v>
      </c>
      <c r="H4296" s="1">
        <v>2</v>
      </c>
      <c r="I4296" s="1">
        <v>0</v>
      </c>
      <c r="J4296" s="1">
        <v>2</v>
      </c>
      <c r="K4296" s="2">
        <v>21.0</v>
      </c>
    </row>
    <row r="4297" spans="1:12">
      <c r="A4297" s="3" t="s">
        <v>2194</v>
      </c>
      <c r="B4297" s="3" t="s">
        <v>3663</v>
      </c>
      <c r="C4297" s="3" t="s">
        <v>3749</v>
      </c>
      <c r="D4297" s="3"/>
      <c r="E4297" s="2" t="str">
        <f>HYPERLINK("https://old.ukr-mobil.com/korpus_apple_iphone_12_pro_max_v_sbore_high_quality_gold_10003803", "Перейти")</f>
        <v>Перейти</v>
      </c>
      <c r="F4297" s="2">
        <v>10003803</v>
      </c>
      <c r="G4297" s="4" t="s">
        <v>4442</v>
      </c>
      <c r="H4297" s="1">
        <v>6</v>
      </c>
      <c r="I4297" s="1">
        <v>1</v>
      </c>
      <c r="J4297" s="1">
        <v>1</v>
      </c>
      <c r="K4297" s="2">
        <v>35.0</v>
      </c>
    </row>
    <row r="4298" spans="1:12">
      <c r="A4298" s="3" t="s">
        <v>2194</v>
      </c>
      <c r="B4298" s="3" t="s">
        <v>3663</v>
      </c>
      <c r="C4298" s="3" t="s">
        <v>3749</v>
      </c>
      <c r="D4298" s="3"/>
      <c r="E4298" s="2" t="str">
        <f>HYPERLINK("https://old.ukr-mobil.com/korpus_apple_iphone_12_pro_max_v_sbore_high_quality_graphite_10003800", "Перейти")</f>
        <v>Перейти</v>
      </c>
      <c r="F4298" s="2">
        <v>10003800</v>
      </c>
      <c r="G4298" s="4" t="s">
        <v>4443</v>
      </c>
      <c r="H4298" s="1">
        <v>2</v>
      </c>
      <c r="I4298" s="1">
        <v>2</v>
      </c>
      <c r="J4298" s="1">
        <v>0</v>
      </c>
      <c r="K4298" s="2">
        <v>35.0</v>
      </c>
    </row>
    <row r="4299" spans="1:12">
      <c r="A4299" s="3" t="s">
        <v>2194</v>
      </c>
      <c r="B4299" s="3" t="s">
        <v>3663</v>
      </c>
      <c r="C4299" s="3" t="s">
        <v>3749</v>
      </c>
      <c r="D4299" s="3"/>
      <c r="E4299" s="2" t="str">
        <f>HYPERLINK("https://old.ukr-mobil.com/korpus_apple_iphone_12_pro_max_v_sbore_high_quality_pacific_blue_10003801", "Перейти")</f>
        <v>Перейти</v>
      </c>
      <c r="F4299" s="2">
        <v>10003801</v>
      </c>
      <c r="G4299" s="4" t="s">
        <v>4444</v>
      </c>
      <c r="H4299" s="1">
        <v>4</v>
      </c>
      <c r="I4299" s="1">
        <v>0</v>
      </c>
      <c r="J4299" s="1">
        <v>0</v>
      </c>
      <c r="K4299" s="2">
        <v>35.0</v>
      </c>
    </row>
    <row r="4300" spans="1:12">
      <c r="A4300" s="3" t="s">
        <v>2194</v>
      </c>
      <c r="B4300" s="3" t="s">
        <v>3663</v>
      </c>
      <c r="C4300" s="3" t="s">
        <v>3749</v>
      </c>
      <c r="D4300" s="3"/>
      <c r="E4300" s="2" t="str">
        <f>HYPERLINK("https://old.ukr-mobil.com/korpus_apple_iphone_12_pro_max_v_sbore_high_quality_silver_10003802", "Перейти")</f>
        <v>Перейти</v>
      </c>
      <c r="F4300" s="2">
        <v>10003802</v>
      </c>
      <c r="G4300" s="4" t="s">
        <v>4445</v>
      </c>
      <c r="H4300" s="1">
        <v>3</v>
      </c>
      <c r="I4300" s="1">
        <v>1</v>
      </c>
      <c r="J4300" s="1">
        <v>2</v>
      </c>
      <c r="K4300" s="2">
        <v>35.0</v>
      </c>
    </row>
    <row r="4301" spans="1:12">
      <c r="A4301" s="3" t="s">
        <v>2194</v>
      </c>
      <c r="B4301" s="3" t="s">
        <v>3663</v>
      </c>
      <c r="C4301" s="3" t="s">
        <v>3749</v>
      </c>
      <c r="D4301" s="3"/>
      <c r="E4301" s="2" t="str">
        <f>HYPERLINK("https://old.ukr-mobil.com/korpus_apple_iphone_12_pro_v_sbore_original_prc_gold_10003805", "Перейти")</f>
        <v>Перейти</v>
      </c>
      <c r="F4301" s="2">
        <v>10003805</v>
      </c>
      <c r="G4301" s="4" t="s">
        <v>4446</v>
      </c>
      <c r="H4301" s="1">
        <v>6</v>
      </c>
      <c r="I4301" s="1">
        <v>2</v>
      </c>
      <c r="J4301" s="1">
        <v>2</v>
      </c>
      <c r="K4301" s="2">
        <v>35.0</v>
      </c>
    </row>
    <row r="4302" spans="1:12">
      <c r="A4302" s="3" t="s">
        <v>2194</v>
      </c>
      <c r="B4302" s="3" t="s">
        <v>3663</v>
      </c>
      <c r="C4302" s="3" t="s">
        <v>3749</v>
      </c>
      <c r="D4302" s="3"/>
      <c r="E4302" s="2" t="str">
        <f>HYPERLINK("https://old.ukr-mobil.com/korpus_apple_iphone_12_pro_v_sbore_original_prc_graphite_10003807", "Перейти")</f>
        <v>Перейти</v>
      </c>
      <c r="F4302" s="2">
        <v>10003807</v>
      </c>
      <c r="G4302" s="4" t="s">
        <v>4447</v>
      </c>
      <c r="H4302" s="1">
        <v>2</v>
      </c>
      <c r="I4302" s="1">
        <v>2</v>
      </c>
      <c r="J4302" s="1">
        <v>1</v>
      </c>
      <c r="K4302" s="2">
        <v>35.0</v>
      </c>
    </row>
    <row r="4303" spans="1:12">
      <c r="A4303" s="3" t="s">
        <v>2194</v>
      </c>
      <c r="B4303" s="3" t="s">
        <v>3663</v>
      </c>
      <c r="C4303" s="3" t="s">
        <v>3749</v>
      </c>
      <c r="D4303" s="3"/>
      <c r="E4303" s="2" t="str">
        <f>HYPERLINK("https://old.ukr-mobil.com/korpus_apple_iphone_12_pro_v_sbore_original_prc_pacific_blue_10003808", "Перейти")</f>
        <v>Перейти</v>
      </c>
      <c r="F4303" s="2">
        <v>10003808</v>
      </c>
      <c r="G4303" s="4" t="s">
        <v>4448</v>
      </c>
      <c r="H4303" s="1">
        <v>1</v>
      </c>
      <c r="I4303" s="1">
        <v>0</v>
      </c>
      <c r="J4303" s="1">
        <v>0</v>
      </c>
      <c r="K4303" s="2">
        <v>35.0</v>
      </c>
    </row>
    <row r="4304" spans="1:12">
      <c r="A4304" s="3" t="s">
        <v>2194</v>
      </c>
      <c r="B4304" s="3" t="s">
        <v>3663</v>
      </c>
      <c r="C4304" s="3" t="s">
        <v>3749</v>
      </c>
      <c r="D4304" s="3"/>
      <c r="E4304" s="2" t="str">
        <f>HYPERLINK("https://old.ukr-mobil.com/korpus_apple_iphone_12_pro_v_sbore_original_prc_silver_10003806", "Перейти")</f>
        <v>Перейти</v>
      </c>
      <c r="F4304" s="2">
        <v>10003806</v>
      </c>
      <c r="G4304" s="4" t="s">
        <v>4449</v>
      </c>
      <c r="H4304" s="1">
        <v>2</v>
      </c>
      <c r="I4304" s="1">
        <v>0</v>
      </c>
      <c r="J4304" s="1">
        <v>0</v>
      </c>
      <c r="K4304" s="2">
        <v>35.0</v>
      </c>
    </row>
    <row r="4305" spans="1:12">
      <c r="A4305" s="3" t="s">
        <v>2194</v>
      </c>
      <c r="B4305" s="3" t="s">
        <v>3663</v>
      </c>
      <c r="C4305" s="3" t="s">
        <v>3749</v>
      </c>
      <c r="D4305" s="3"/>
      <c r="E4305" s="2" t="str">
        <f>HYPERLINK("https://old.ukr-mobil.com/korpus_apple_iphone_12_v_sbore_original_prc_black_10003795", "Перейти")</f>
        <v>Перейти</v>
      </c>
      <c r="F4305" s="2">
        <v>10003795</v>
      </c>
      <c r="G4305" s="4" t="s">
        <v>4450</v>
      </c>
      <c r="H4305" s="1">
        <v>0</v>
      </c>
      <c r="I4305" s="1">
        <v>0</v>
      </c>
      <c r="J4305" s="1">
        <v>0</v>
      </c>
      <c r="K4305" s="2">
        <v>25.0</v>
      </c>
    </row>
    <row r="4306" spans="1:12">
      <c r="A4306" s="3" t="s">
        <v>2194</v>
      </c>
      <c r="B4306" s="3" t="s">
        <v>3663</v>
      </c>
      <c r="C4306" s="3" t="s">
        <v>3749</v>
      </c>
      <c r="D4306" s="3"/>
      <c r="E4306" s="2" t="str">
        <f>HYPERLINK("https://old.ukr-mobil.com/korpus_apple_iphone_12_v_sbore_original_prc_blue_10003797", "Перейти")</f>
        <v>Перейти</v>
      </c>
      <c r="F4306" s="2">
        <v>10003797</v>
      </c>
      <c r="G4306" s="4" t="s">
        <v>4451</v>
      </c>
      <c r="H4306" s="1">
        <v>0</v>
      </c>
      <c r="I4306" s="1">
        <v>0</v>
      </c>
      <c r="J4306" s="1">
        <v>0</v>
      </c>
      <c r="K4306" s="2">
        <v>25.0</v>
      </c>
    </row>
    <row r="4307" spans="1:12">
      <c r="A4307" s="3" t="s">
        <v>2194</v>
      </c>
      <c r="B4307" s="3" t="s">
        <v>3663</v>
      </c>
      <c r="C4307" s="3" t="s">
        <v>3749</v>
      </c>
      <c r="D4307" s="3"/>
      <c r="E4307" s="2" t="str">
        <f>HYPERLINK("https://old.ukr-mobil.com/korpus_apple_iphone_12_v_sbore_original_prc_green_10003798", "Перейти")</f>
        <v>Перейти</v>
      </c>
      <c r="F4307" s="2">
        <v>10003798</v>
      </c>
      <c r="G4307" s="4" t="s">
        <v>4452</v>
      </c>
      <c r="H4307" s="1">
        <v>4</v>
      </c>
      <c r="I4307" s="1">
        <v>2</v>
      </c>
      <c r="J4307" s="1">
        <v>1</v>
      </c>
      <c r="K4307" s="2">
        <v>25.0</v>
      </c>
    </row>
    <row r="4308" spans="1:12">
      <c r="A4308" s="3" t="s">
        <v>2194</v>
      </c>
      <c r="B4308" s="3" t="s">
        <v>3663</v>
      </c>
      <c r="C4308" s="3" t="s">
        <v>3749</v>
      </c>
      <c r="D4308" s="3"/>
      <c r="E4308" s="2" t="str">
        <f>HYPERLINK("https://old.ukr-mobil.com/korpus_apple_iphone_12_v_sbore_original_prc_red_10003799", "Перейти")</f>
        <v>Перейти</v>
      </c>
      <c r="F4308" s="2">
        <v>10003799</v>
      </c>
      <c r="G4308" s="4" t="s">
        <v>4453</v>
      </c>
      <c r="H4308" s="1">
        <v>4</v>
      </c>
      <c r="I4308" s="1">
        <v>2</v>
      </c>
      <c r="J4308" s="1">
        <v>1</v>
      </c>
      <c r="K4308" s="2">
        <v>25.0</v>
      </c>
    </row>
    <row r="4309" spans="1:12">
      <c r="A4309" s="3" t="s">
        <v>2194</v>
      </c>
      <c r="B4309" s="3" t="s">
        <v>3663</v>
      </c>
      <c r="C4309" s="3" t="s">
        <v>3749</v>
      </c>
      <c r="D4309" s="3"/>
      <c r="E4309" s="2" t="str">
        <f>HYPERLINK("https://old.ukr-mobil.com/korpus_apple_iphone_12_v_sbore_original_prc_white_10003796", "Перейти")</f>
        <v>Перейти</v>
      </c>
      <c r="F4309" s="2">
        <v>10003796</v>
      </c>
      <c r="G4309" s="4" t="s">
        <v>4454</v>
      </c>
      <c r="H4309" s="1">
        <v>4</v>
      </c>
      <c r="I4309" s="1">
        <v>0</v>
      </c>
      <c r="J4309" s="1">
        <v>0</v>
      </c>
      <c r="K4309" s="2">
        <v>25.0</v>
      </c>
    </row>
    <row r="4310" spans="1:12">
      <c r="A4310" s="3" t="s">
        <v>2194</v>
      </c>
      <c r="B4310" s="3" t="s">
        <v>3663</v>
      </c>
      <c r="C4310" s="3" t="s">
        <v>3749</v>
      </c>
      <c r="D4310" s="3"/>
      <c r="E4310" s="2" t="str">
        <f>HYPERLINK("https://old.ukr-mobil.com/korpus_iphone_4g_black_zadnyaya_krishka_2325", "Перейти")</f>
        <v>Перейти</v>
      </c>
      <c r="F4310" s="2">
        <v>2325</v>
      </c>
      <c r="G4310" s="4" t="s">
        <v>4455</v>
      </c>
      <c r="H4310" s="1">
        <v>0</v>
      </c>
      <c r="I4310" s="1">
        <v>0</v>
      </c>
      <c r="J4310" s="1">
        <v>0</v>
      </c>
      <c r="K4310" s="2">
        <v>1.0</v>
      </c>
    </row>
    <row r="4311" spans="1:12">
      <c r="A4311" s="3" t="s">
        <v>2194</v>
      </c>
      <c r="B4311" s="3" t="s">
        <v>3663</v>
      </c>
      <c r="C4311" s="3" t="s">
        <v>3749</v>
      </c>
      <c r="D4311" s="3"/>
      <c r="E4311" s="2" t="str">
        <f>HYPERLINK("https://old.ukr-mobil.com/korpus_iphone_4g_white_zadnyaya_krishka_2689", "Перейти")</f>
        <v>Перейти</v>
      </c>
      <c r="F4311" s="2">
        <v>2689</v>
      </c>
      <c r="G4311" s="4" t="s">
        <v>4456</v>
      </c>
      <c r="H4311" s="1">
        <v>0</v>
      </c>
      <c r="I4311" s="1">
        <v>0</v>
      </c>
      <c r="J4311" s="1">
        <v>0</v>
      </c>
      <c r="K4311" s="2">
        <v>1.0</v>
      </c>
    </row>
    <row r="4312" spans="1:12">
      <c r="A4312" s="3" t="s">
        <v>2194</v>
      </c>
      <c r="B4312" s="3" t="s">
        <v>3663</v>
      </c>
      <c r="C4312" s="3" t="s">
        <v>3749</v>
      </c>
      <c r="D4312" s="3"/>
      <c r="E4312" s="2" t="str">
        <f>HYPERLINK("https://old.ukr-mobil.com/korpus_iphone_4s_chornij_zadnya_krishka_3296", "Перейти")</f>
        <v>Перейти</v>
      </c>
      <c r="F4312" s="2">
        <v>3296</v>
      </c>
      <c r="G4312" s="4" t="s">
        <v>4457</v>
      </c>
      <c r="H4312" s="1">
        <v>0</v>
      </c>
      <c r="I4312" s="1">
        <v>0</v>
      </c>
      <c r="J4312" s="1">
        <v>0</v>
      </c>
      <c r="K4312" s="2">
        <v>2.27</v>
      </c>
    </row>
    <row r="4313" spans="1:12">
      <c r="A4313" s="3" t="s">
        <v>2194</v>
      </c>
      <c r="B4313" s="3" t="s">
        <v>3663</v>
      </c>
      <c r="C4313" s="3" t="s">
        <v>3749</v>
      </c>
      <c r="D4313" s="3"/>
      <c r="E4313" s="2" t="str">
        <f>HYPERLINK("https://old.ukr-mobil.com/korpus_iphone_5_black_3989", "Перейти")</f>
        <v>Перейти</v>
      </c>
      <c r="F4313" s="2">
        <v>3989</v>
      </c>
      <c r="G4313" s="4" t="s">
        <v>4458</v>
      </c>
      <c r="H4313" s="1">
        <v>9</v>
      </c>
      <c r="I4313" s="1">
        <v>3</v>
      </c>
      <c r="J4313" s="1">
        <v>0</v>
      </c>
      <c r="K4313" s="2">
        <v>2.5</v>
      </c>
    </row>
    <row r="4314" spans="1:12">
      <c r="A4314" s="3" t="s">
        <v>2194</v>
      </c>
      <c r="B4314" s="3" t="s">
        <v>3663</v>
      </c>
      <c r="C4314" s="3" t="s">
        <v>3749</v>
      </c>
      <c r="D4314" s="3"/>
      <c r="E4314" s="2" t="str">
        <f>HYPERLINK("https://old.ukr-mobil.com/korpus_iphone_5_white_3990", "Перейти")</f>
        <v>Перейти</v>
      </c>
      <c r="F4314" s="2">
        <v>3990</v>
      </c>
      <c r="G4314" s="4" t="s">
        <v>4459</v>
      </c>
      <c r="H4314" s="1">
        <v>29</v>
      </c>
      <c r="I4314" s="1">
        <v>0</v>
      </c>
      <c r="J4314" s="1">
        <v>0</v>
      </c>
      <c r="K4314" s="2">
        <v>2.5</v>
      </c>
    </row>
    <row r="4315" spans="1:12">
      <c r="A4315" s="3" t="s">
        <v>2194</v>
      </c>
      <c r="B4315" s="3" t="s">
        <v>3663</v>
      </c>
      <c r="C4315" s="3" t="s">
        <v>3749</v>
      </c>
      <c r="D4315" s="3"/>
      <c r="E4315" s="2" t="str">
        <f>HYPERLINK("https://old.ukr-mobil.com/korpus_iphone_5s_gold_5254", "Перейти")</f>
        <v>Перейти</v>
      </c>
      <c r="F4315" s="2">
        <v>5254</v>
      </c>
      <c r="G4315" s="4" t="s">
        <v>4460</v>
      </c>
      <c r="H4315" s="1">
        <v>14</v>
      </c>
      <c r="I4315" s="1">
        <v>0</v>
      </c>
      <c r="J4315" s="1">
        <v>0</v>
      </c>
      <c r="K4315" s="2">
        <v>6.0</v>
      </c>
    </row>
    <row r="4316" spans="1:12">
      <c r="A4316" s="3" t="s">
        <v>2194</v>
      </c>
      <c r="B4316" s="3" t="s">
        <v>3663</v>
      </c>
      <c r="C4316" s="3" t="s">
        <v>3749</v>
      </c>
      <c r="D4316" s="3"/>
      <c r="E4316" s="2" t="str">
        <f>HYPERLINK("https://old.ukr-mobil.com/korpus_iphone_5s_silver_4735", "Перейти")</f>
        <v>Перейти</v>
      </c>
      <c r="F4316" s="2">
        <v>4735</v>
      </c>
      <c r="G4316" s="4" t="s">
        <v>4461</v>
      </c>
      <c r="H4316" s="1">
        <v>24</v>
      </c>
      <c r="I4316" s="1">
        <v>0</v>
      </c>
      <c r="J4316" s="1">
        <v>0</v>
      </c>
      <c r="K4316" s="2">
        <v>11.59</v>
      </c>
    </row>
    <row r="4317" spans="1:12">
      <c r="A4317" s="3" t="s">
        <v>2194</v>
      </c>
      <c r="B4317" s="3" t="s">
        <v>3663</v>
      </c>
      <c r="C4317" s="3" t="s">
        <v>3749</v>
      </c>
      <c r="D4317" s="3"/>
      <c r="E4317" s="2" t="str">
        <f>HYPERLINK("https://old.ukr-mobil.com/korpus_iphone_5s_space_gray_4736", "Перейти")</f>
        <v>Перейти</v>
      </c>
      <c r="F4317" s="2">
        <v>4736</v>
      </c>
      <c r="G4317" s="4" t="s">
        <v>4462</v>
      </c>
      <c r="H4317" s="1">
        <v>5</v>
      </c>
      <c r="I4317" s="1">
        <v>2</v>
      </c>
      <c r="J4317" s="1">
        <v>0</v>
      </c>
      <c r="K4317" s="2">
        <v>11.09</v>
      </c>
    </row>
    <row r="4318" spans="1:12">
      <c r="A4318" s="3" t="s">
        <v>2194</v>
      </c>
      <c r="B4318" s="3" t="s">
        <v>3663</v>
      </c>
      <c r="C4318" s="3" t="s">
        <v>3749</v>
      </c>
      <c r="D4318" s="3"/>
      <c r="E4318" s="2" t="str">
        <f>HYPERLINK("https://old.ukr-mobil.com/korpus_iphone_5se_original_prc_gold_9976", "Перейти")</f>
        <v>Перейти</v>
      </c>
      <c r="F4318" s="2">
        <v>9976</v>
      </c>
      <c r="G4318" s="4" t="s">
        <v>4463</v>
      </c>
      <c r="H4318" s="1">
        <v>3</v>
      </c>
      <c r="I4318" s="1">
        <v>0</v>
      </c>
      <c r="J4318" s="1">
        <v>0</v>
      </c>
      <c r="K4318" s="2">
        <v>9.5</v>
      </c>
    </row>
    <row r="4319" spans="1:12">
      <c r="A4319" s="3" t="s">
        <v>2194</v>
      </c>
      <c r="B4319" s="3" t="s">
        <v>3663</v>
      </c>
      <c r="C4319" s="3" t="s">
        <v>3749</v>
      </c>
      <c r="D4319" s="3"/>
      <c r="E4319" s="2" t="str">
        <f>HYPERLINK("https://old.ukr-mobil.com/korpus_iphone_5se_original_prc_silver_9977", "Перейти")</f>
        <v>Перейти</v>
      </c>
      <c r="F4319" s="2">
        <v>9977</v>
      </c>
      <c r="G4319" s="4" t="s">
        <v>4464</v>
      </c>
      <c r="H4319" s="1">
        <v>1</v>
      </c>
      <c r="I4319" s="1">
        <v>0</v>
      </c>
      <c r="J4319" s="1">
        <v>0</v>
      </c>
      <c r="K4319" s="2">
        <v>6.0</v>
      </c>
    </row>
    <row r="4320" spans="1:12">
      <c r="A4320" s="3" t="s">
        <v>2194</v>
      </c>
      <c r="B4320" s="3" t="s">
        <v>3663</v>
      </c>
      <c r="C4320" s="3" t="s">
        <v>3749</v>
      </c>
      <c r="D4320" s="3"/>
      <c r="E4320" s="2" t="str">
        <f>HYPERLINK("https://old.ukr-mobil.com/korpus_iphone_5se_original_prc_spase_gray_9975", "Перейти")</f>
        <v>Перейти</v>
      </c>
      <c r="F4320" s="2">
        <v>9975</v>
      </c>
      <c r="G4320" s="4" t="s">
        <v>4465</v>
      </c>
      <c r="H4320" s="1">
        <v>0</v>
      </c>
      <c r="I4320" s="1">
        <v>0</v>
      </c>
      <c r="J4320" s="1">
        <v>0</v>
      </c>
      <c r="K4320" s="2">
        <v>6.0</v>
      </c>
    </row>
    <row r="4321" spans="1:12">
      <c r="A4321" s="3" t="s">
        <v>2194</v>
      </c>
      <c r="B4321" s="3" t="s">
        <v>3663</v>
      </c>
      <c r="C4321" s="3" t="s">
        <v>3749</v>
      </c>
      <c r="D4321" s="3"/>
      <c r="E4321" s="2" t="str">
        <f>HYPERLINK("https://old.ukr-mobil.com/korpus_iphone_6_plus_original_prc_spase_gray_6717", "Перейти")</f>
        <v>Перейти</v>
      </c>
      <c r="F4321" s="2">
        <v>6717</v>
      </c>
      <c r="G4321" s="4" t="s">
        <v>4466</v>
      </c>
      <c r="H4321" s="1">
        <v>3</v>
      </c>
      <c r="I4321" s="1">
        <v>2</v>
      </c>
      <c r="J4321" s="1">
        <v>1</v>
      </c>
      <c r="K4321" s="2">
        <v>12.0</v>
      </c>
    </row>
    <row r="4322" spans="1:12">
      <c r="A4322" s="3" t="s">
        <v>2194</v>
      </c>
      <c r="B4322" s="3" t="s">
        <v>3663</v>
      </c>
      <c r="C4322" s="3" t="s">
        <v>3749</v>
      </c>
      <c r="D4322" s="3"/>
      <c r="E4322" s="2" t="str">
        <f>HYPERLINK("https://old.ukr-mobil.com/korpus_iphone_6_original_prc_spase_gray_5500", "Перейти")</f>
        <v>Перейти</v>
      </c>
      <c r="F4322" s="2">
        <v>5500</v>
      </c>
      <c r="G4322" s="4" t="s">
        <v>4467</v>
      </c>
      <c r="H4322" s="1">
        <v>0</v>
      </c>
      <c r="I4322" s="1">
        <v>0</v>
      </c>
      <c r="J4322" s="1">
        <v>0</v>
      </c>
      <c r="K4322" s="2">
        <v>7.0</v>
      </c>
    </row>
    <row r="4323" spans="1:12">
      <c r="A4323" s="3" t="s">
        <v>2194</v>
      </c>
      <c r="B4323" s="3" t="s">
        <v>3663</v>
      </c>
      <c r="C4323" s="3" t="s">
        <v>3749</v>
      </c>
      <c r="D4323" s="3"/>
      <c r="E4323" s="2" t="str">
        <f>HYPERLINK("https://old.ukr-mobil.com/korpus_iphone_6_original_prc_white_5499", "Перейти")</f>
        <v>Перейти</v>
      </c>
      <c r="F4323" s="2">
        <v>5499</v>
      </c>
      <c r="G4323" s="4" t="s">
        <v>4468</v>
      </c>
      <c r="H4323" s="1">
        <v>14</v>
      </c>
      <c r="I4323" s="1">
        <v>3</v>
      </c>
      <c r="J4323" s="1">
        <v>2</v>
      </c>
      <c r="K4323" s="2">
        <v>8.0</v>
      </c>
    </row>
    <row r="4324" spans="1:12">
      <c r="A4324" s="3" t="s">
        <v>2194</v>
      </c>
      <c r="B4324" s="3" t="s">
        <v>3663</v>
      </c>
      <c r="C4324" s="3" t="s">
        <v>3749</v>
      </c>
      <c r="D4324" s="3"/>
      <c r="E4324" s="2" t="str">
        <f>HYPERLINK("https://old.ukr-mobil.com/korpus_iphone_6s_rose_gold_6714", "Перейти")</f>
        <v>Перейти</v>
      </c>
      <c r="F4324" s="2">
        <v>6714</v>
      </c>
      <c r="G4324" s="4" t="s">
        <v>4469</v>
      </c>
      <c r="H4324" s="1">
        <v>2</v>
      </c>
      <c r="I4324" s="1">
        <v>0</v>
      </c>
      <c r="J4324" s="1">
        <v>0</v>
      </c>
      <c r="K4324" s="2">
        <v>18.14</v>
      </c>
    </row>
    <row r="4325" spans="1:12">
      <c r="A4325" s="3" t="s">
        <v>2194</v>
      </c>
      <c r="B4325" s="3" t="s">
        <v>3663</v>
      </c>
      <c r="C4325" s="3" t="s">
        <v>3749</v>
      </c>
      <c r="D4325" s="3"/>
      <c r="E4325" s="2" t="str">
        <f>HYPERLINK("https://old.ukr-mobil.com/korpus_iphone_6s_plus_original_prc_gold_7906", "Перейти")</f>
        <v>Перейти</v>
      </c>
      <c r="F4325" s="2">
        <v>7906</v>
      </c>
      <c r="G4325" s="4" t="s">
        <v>4470</v>
      </c>
      <c r="H4325" s="1">
        <v>5</v>
      </c>
      <c r="I4325" s="1">
        <v>2</v>
      </c>
      <c r="J4325" s="1">
        <v>1</v>
      </c>
      <c r="K4325" s="2">
        <v>15.0</v>
      </c>
    </row>
    <row r="4326" spans="1:12">
      <c r="A4326" s="3" t="s">
        <v>2194</v>
      </c>
      <c r="B4326" s="3" t="s">
        <v>3663</v>
      </c>
      <c r="C4326" s="3" t="s">
        <v>3749</v>
      </c>
      <c r="D4326" s="3"/>
      <c r="E4326" s="2" t="str">
        <f>HYPERLINK("https://old.ukr-mobil.com/korpus_iphone_6s_plus_original_prc_rose_gold_10000654", "Перейти")</f>
        <v>Перейти</v>
      </c>
      <c r="F4326" s="2">
        <v>10000654</v>
      </c>
      <c r="G4326" s="4" t="s">
        <v>4471</v>
      </c>
      <c r="H4326" s="1">
        <v>4</v>
      </c>
      <c r="I4326" s="1">
        <v>1</v>
      </c>
      <c r="J4326" s="1">
        <v>1</v>
      </c>
      <c r="K4326" s="2">
        <v>15.0</v>
      </c>
    </row>
    <row r="4327" spans="1:12">
      <c r="A4327" s="3" t="s">
        <v>2194</v>
      </c>
      <c r="B4327" s="3" t="s">
        <v>3663</v>
      </c>
      <c r="C4327" s="3" t="s">
        <v>3749</v>
      </c>
      <c r="D4327" s="3"/>
      <c r="E4327" s="2" t="str">
        <f>HYPERLINK("https://old.ukr-mobil.com/korpus_iphone_6s_plus_original_prc_silver_7905", "Перейти")</f>
        <v>Перейти</v>
      </c>
      <c r="F4327" s="2">
        <v>7905</v>
      </c>
      <c r="G4327" s="4" t="s">
        <v>4472</v>
      </c>
      <c r="H4327" s="1">
        <v>2</v>
      </c>
      <c r="I4327" s="1">
        <v>1</v>
      </c>
      <c r="J4327" s="1">
        <v>0</v>
      </c>
      <c r="K4327" s="2">
        <v>15.0</v>
      </c>
    </row>
    <row r="4328" spans="1:12">
      <c r="A4328" s="3" t="s">
        <v>2194</v>
      </c>
      <c r="B4328" s="3" t="s">
        <v>3663</v>
      </c>
      <c r="C4328" s="3" t="s">
        <v>3749</v>
      </c>
      <c r="D4328" s="3"/>
      <c r="E4328" s="2" t="str">
        <f>HYPERLINK("https://old.ukr-mobil.com/korpus_iphone_6s_plus_original_prc_spase_gray_7904", "Перейти")</f>
        <v>Перейти</v>
      </c>
      <c r="F4328" s="2">
        <v>7904</v>
      </c>
      <c r="G4328" s="4" t="s">
        <v>4473</v>
      </c>
      <c r="H4328" s="1">
        <v>13</v>
      </c>
      <c r="I4328" s="1">
        <v>3</v>
      </c>
      <c r="J4328" s="1">
        <v>0</v>
      </c>
      <c r="K4328" s="2">
        <v>15.0</v>
      </c>
    </row>
    <row r="4329" spans="1:12">
      <c r="A4329" s="3" t="s">
        <v>2194</v>
      </c>
      <c r="B4329" s="3" t="s">
        <v>3663</v>
      </c>
      <c r="C4329" s="3" t="s">
        <v>3749</v>
      </c>
      <c r="D4329" s="3"/>
      <c r="E4329" s="2" t="str">
        <f>HYPERLINK("https://old.ukr-mobil.com/korpus_iphone_7_plus_original_prc_black_9038", "Перейти")</f>
        <v>Перейти</v>
      </c>
      <c r="F4329" s="2">
        <v>9038</v>
      </c>
      <c r="G4329" s="4" t="s">
        <v>4474</v>
      </c>
      <c r="H4329" s="1">
        <v>1</v>
      </c>
      <c r="I4329" s="1">
        <v>0</v>
      </c>
      <c r="J4329" s="1">
        <v>0</v>
      </c>
      <c r="K4329" s="2">
        <v>13.0</v>
      </c>
    </row>
    <row r="4330" spans="1:12">
      <c r="A4330" s="3" t="s">
        <v>2194</v>
      </c>
      <c r="B4330" s="3" t="s">
        <v>3663</v>
      </c>
      <c r="C4330" s="3" t="s">
        <v>3749</v>
      </c>
      <c r="D4330" s="3"/>
      <c r="E4330" s="2" t="str">
        <f>HYPERLINK("https://old.ukr-mobil.com/korpus_iphone_7_plus_original_prc_jet_black_10000653", "Перейти")</f>
        <v>Перейти</v>
      </c>
      <c r="F4330" s="2">
        <v>10000653</v>
      </c>
      <c r="G4330" s="4" t="s">
        <v>4475</v>
      </c>
      <c r="H4330" s="1">
        <v>0</v>
      </c>
      <c r="I4330" s="1">
        <v>0</v>
      </c>
      <c r="J4330" s="1">
        <v>0</v>
      </c>
      <c r="K4330" s="2">
        <v>14.0</v>
      </c>
    </row>
    <row r="4331" spans="1:12">
      <c r="A4331" s="3" t="s">
        <v>2194</v>
      </c>
      <c r="B4331" s="3" t="s">
        <v>3663</v>
      </c>
      <c r="C4331" s="3" t="s">
        <v>3749</v>
      </c>
      <c r="D4331" s="3"/>
      <c r="E4331" s="2" t="str">
        <f>HYPERLINK("https://old.ukr-mobil.com/korpus_iphone_7_plus_original_prc_red_edition_10171", "Перейти")</f>
        <v>Перейти</v>
      </c>
      <c r="F4331" s="2">
        <v>10171</v>
      </c>
      <c r="G4331" s="4" t="s">
        <v>4476</v>
      </c>
      <c r="H4331" s="1">
        <v>0</v>
      </c>
      <c r="I4331" s="1">
        <v>0</v>
      </c>
      <c r="J4331" s="1">
        <v>1</v>
      </c>
      <c r="K4331" s="2">
        <v>13.0</v>
      </c>
    </row>
    <row r="4332" spans="1:12">
      <c r="A4332" s="3" t="s">
        <v>2194</v>
      </c>
      <c r="B4332" s="3" t="s">
        <v>3663</v>
      </c>
      <c r="C4332" s="3" t="s">
        <v>3749</v>
      </c>
      <c r="D4332" s="3"/>
      <c r="E4332" s="2" t="str">
        <f>HYPERLINK("https://old.ukr-mobil.com/korpus_iphone_7_plus_original_prc_rose_gold_11348", "Перейти")</f>
        <v>Перейти</v>
      </c>
      <c r="F4332" s="2">
        <v>11348</v>
      </c>
      <c r="G4332" s="4" t="s">
        <v>4477</v>
      </c>
      <c r="H4332" s="1">
        <v>4</v>
      </c>
      <c r="I4332" s="1">
        <v>2</v>
      </c>
      <c r="J4332" s="1">
        <v>2</v>
      </c>
      <c r="K4332" s="2">
        <v>12.35</v>
      </c>
    </row>
    <row r="4333" spans="1:12">
      <c r="A4333" s="3" t="s">
        <v>2194</v>
      </c>
      <c r="B4333" s="3" t="s">
        <v>3663</v>
      </c>
      <c r="C4333" s="3" t="s">
        <v>3749</v>
      </c>
      <c r="D4333" s="3"/>
      <c r="E4333" s="2" t="str">
        <f>HYPERLINK("https://old.ukr-mobil.com/korpus_iphone_7_plus_original_prc_silver_9535", "Перейти")</f>
        <v>Перейти</v>
      </c>
      <c r="F4333" s="2">
        <v>9535</v>
      </c>
      <c r="G4333" s="4" t="s">
        <v>4478</v>
      </c>
      <c r="H4333" s="1">
        <v>3</v>
      </c>
      <c r="I4333" s="1">
        <v>0</v>
      </c>
      <c r="J4333" s="1">
        <v>2</v>
      </c>
      <c r="K4333" s="2">
        <v>15.62</v>
      </c>
    </row>
    <row r="4334" spans="1:12">
      <c r="A4334" s="3" t="s">
        <v>2194</v>
      </c>
      <c r="B4334" s="3" t="s">
        <v>3663</v>
      </c>
      <c r="C4334" s="3" t="s">
        <v>3749</v>
      </c>
      <c r="D4334" s="3"/>
      <c r="E4334" s="2" t="str">
        <f>HYPERLINK("https://old.ukr-mobil.com/korpus_iphone_7_original_prc_black_8550", "Перейти")</f>
        <v>Перейти</v>
      </c>
      <c r="F4334" s="2">
        <v>8550</v>
      </c>
      <c r="G4334" s="4" t="s">
        <v>4479</v>
      </c>
      <c r="H4334" s="1">
        <v>1</v>
      </c>
      <c r="I4334" s="1">
        <v>1</v>
      </c>
      <c r="J4334" s="1">
        <v>1</v>
      </c>
      <c r="K4334" s="2">
        <v>10.0</v>
      </c>
    </row>
    <row r="4335" spans="1:12">
      <c r="A4335" s="3" t="s">
        <v>2194</v>
      </c>
      <c r="B4335" s="3" t="s">
        <v>3663</v>
      </c>
      <c r="C4335" s="3" t="s">
        <v>3749</v>
      </c>
      <c r="D4335" s="3"/>
      <c r="E4335" s="2" t="str">
        <f>HYPERLINK("https://old.ukr-mobil.com/korpus_iphone_7_original_prc_gold_8549", "Перейти")</f>
        <v>Перейти</v>
      </c>
      <c r="F4335" s="2">
        <v>8549</v>
      </c>
      <c r="G4335" s="4" t="s">
        <v>4480</v>
      </c>
      <c r="H4335" s="1">
        <v>8</v>
      </c>
      <c r="I4335" s="1">
        <v>4</v>
      </c>
      <c r="J4335" s="1">
        <v>1</v>
      </c>
      <c r="K4335" s="2">
        <v>13.0</v>
      </c>
    </row>
    <row r="4336" spans="1:12">
      <c r="A4336" s="3" t="s">
        <v>2194</v>
      </c>
      <c r="B4336" s="3" t="s">
        <v>3663</v>
      </c>
      <c r="C4336" s="3" t="s">
        <v>3749</v>
      </c>
      <c r="D4336" s="3"/>
      <c r="E4336" s="2" t="str">
        <f>HYPERLINK("https://old.ukr-mobil.com/korpus_iphone_7_original_prc_jet_black_9037", "Перейти")</f>
        <v>Перейти</v>
      </c>
      <c r="F4336" s="2">
        <v>9037</v>
      </c>
      <c r="G4336" s="4" t="s">
        <v>4481</v>
      </c>
      <c r="H4336" s="1">
        <v>4</v>
      </c>
      <c r="I4336" s="1">
        <v>2</v>
      </c>
      <c r="J4336" s="1">
        <v>2</v>
      </c>
      <c r="K4336" s="2">
        <v>14.0</v>
      </c>
    </row>
    <row r="4337" spans="1:12">
      <c r="A4337" s="3" t="s">
        <v>2194</v>
      </c>
      <c r="B4337" s="3" t="s">
        <v>3663</v>
      </c>
      <c r="C4337" s="3" t="s">
        <v>3749</v>
      </c>
      <c r="D4337" s="3"/>
      <c r="E4337" s="2" t="str">
        <f>HYPERLINK("https://old.ukr-mobil.com/korpus_iphone_7_original_prc_red_edition_10170", "Перейти")</f>
        <v>Перейти</v>
      </c>
      <c r="F4337" s="2">
        <v>10170</v>
      </c>
      <c r="G4337" s="4" t="s">
        <v>4482</v>
      </c>
      <c r="H4337" s="1">
        <v>0</v>
      </c>
      <c r="I4337" s="1">
        <v>0</v>
      </c>
      <c r="J4337" s="1">
        <v>0</v>
      </c>
      <c r="K4337" s="2">
        <v>17.0</v>
      </c>
    </row>
    <row r="4338" spans="1:12">
      <c r="A4338" s="3" t="s">
        <v>2194</v>
      </c>
      <c r="B4338" s="3" t="s">
        <v>3663</v>
      </c>
      <c r="C4338" s="3" t="s">
        <v>3749</v>
      </c>
      <c r="D4338" s="3"/>
      <c r="E4338" s="2" t="str">
        <f>HYPERLINK("https://old.ukr-mobil.com/korpus_iphone_7_original_prc_rose_gold_8812", "Перейти")</f>
        <v>Перейти</v>
      </c>
      <c r="F4338" s="2">
        <v>8812</v>
      </c>
      <c r="G4338" s="4" t="s">
        <v>4483</v>
      </c>
      <c r="H4338" s="1">
        <v>3</v>
      </c>
      <c r="I4338" s="1">
        <v>2</v>
      </c>
      <c r="J4338" s="1">
        <v>1</v>
      </c>
      <c r="K4338" s="2">
        <v>13.0</v>
      </c>
    </row>
    <row r="4339" spans="1:12">
      <c r="A4339" s="3" t="s">
        <v>2194</v>
      </c>
      <c r="B4339" s="3" t="s">
        <v>3663</v>
      </c>
      <c r="C4339" s="3" t="s">
        <v>3749</v>
      </c>
      <c r="D4339" s="3"/>
      <c r="E4339" s="2" t="str">
        <f>HYPERLINK("https://old.ukr-mobil.com/korpus_iphone_7_original_prc_silver_8548", "Перейти")</f>
        <v>Перейти</v>
      </c>
      <c r="F4339" s="2">
        <v>8548</v>
      </c>
      <c r="G4339" s="4" t="s">
        <v>4484</v>
      </c>
      <c r="H4339" s="1">
        <v>10</v>
      </c>
      <c r="I4339" s="1">
        <v>0</v>
      </c>
      <c r="J4339" s="1">
        <v>1</v>
      </c>
      <c r="K4339" s="2">
        <v>13.0</v>
      </c>
    </row>
    <row r="4340" spans="1:12">
      <c r="A4340" s="3" t="s">
        <v>2194</v>
      </c>
      <c r="B4340" s="3" t="s">
        <v>3663</v>
      </c>
      <c r="C4340" s="3" t="s">
        <v>3749</v>
      </c>
      <c r="D4340" s="3"/>
      <c r="E4340" s="2" t="str">
        <f>HYPERLINK("https://old.ukr-mobil.com/korpus_iphone_8_plus_v_sbore_original_prc_red_11459", "Перейти")</f>
        <v>Перейти</v>
      </c>
      <c r="F4340" s="2">
        <v>11459</v>
      </c>
      <c r="G4340" s="4" t="s">
        <v>4485</v>
      </c>
      <c r="H4340" s="1">
        <v>0</v>
      </c>
      <c r="I4340" s="1">
        <v>0</v>
      </c>
      <c r="J4340" s="1">
        <v>0</v>
      </c>
      <c r="K4340" s="2">
        <v>18.0</v>
      </c>
    </row>
    <row r="4341" spans="1:12">
      <c r="A4341" s="3" t="s">
        <v>2194</v>
      </c>
      <c r="B4341" s="3" t="s">
        <v>3663</v>
      </c>
      <c r="C4341" s="3" t="s">
        <v>3749</v>
      </c>
      <c r="D4341" s="3"/>
      <c r="E4341" s="2" t="str">
        <f>HYPERLINK("https://old.ukr-mobil.com/korpus_iphone_8_v_sbore_red_11455", "Перейти")</f>
        <v>Перейти</v>
      </c>
      <c r="F4341" s="2">
        <v>11455</v>
      </c>
      <c r="G4341" s="4" t="s">
        <v>4486</v>
      </c>
      <c r="H4341" s="1">
        <v>0</v>
      </c>
      <c r="I4341" s="1">
        <v>1</v>
      </c>
      <c r="J4341" s="1">
        <v>0</v>
      </c>
      <c r="K4341" s="2">
        <v>12.5</v>
      </c>
    </row>
    <row r="4342" spans="1:12">
      <c r="A4342" s="3" t="s">
        <v>2194</v>
      </c>
      <c r="B4342" s="3" t="s">
        <v>3663</v>
      </c>
      <c r="C4342" s="3" t="s">
        <v>3749</v>
      </c>
      <c r="D4342" s="3"/>
      <c r="E4342" s="2" t="str">
        <f>HYPERLINK("https://old.ukr-mobil.com/korpus_iphone_8_v_sbore_silver_11453", "Перейти")</f>
        <v>Перейти</v>
      </c>
      <c r="F4342" s="2">
        <v>11453</v>
      </c>
      <c r="G4342" s="4" t="s">
        <v>4487</v>
      </c>
      <c r="H4342" s="1">
        <v>0</v>
      </c>
      <c r="I4342" s="1">
        <v>0</v>
      </c>
      <c r="J4342" s="1">
        <v>1</v>
      </c>
      <c r="K4342" s="2">
        <v>12.5</v>
      </c>
    </row>
    <row r="4343" spans="1:12">
      <c r="A4343" s="3" t="s">
        <v>2194</v>
      </c>
      <c r="B4343" s="3" t="s">
        <v>3663</v>
      </c>
      <c r="C4343" s="3" t="s">
        <v>3749</v>
      </c>
      <c r="D4343" s="3"/>
      <c r="E4343" s="2" t="str">
        <f>HYPERLINK("https://old.ukr-mobil.com/korpus_iphone_x_zadnyaya_kryshka_so_steklom_kamery_v_sbore_original_prc_black_12098", "Перейти")</f>
        <v>Перейти</v>
      </c>
      <c r="F4343" s="2">
        <v>12098</v>
      </c>
      <c r="G4343" s="4" t="s">
        <v>4488</v>
      </c>
      <c r="H4343" s="1">
        <v>2</v>
      </c>
      <c r="I4343" s="1">
        <v>2</v>
      </c>
      <c r="J4343" s="1">
        <v>1</v>
      </c>
      <c r="K4343" s="2">
        <v>24.0</v>
      </c>
    </row>
    <row r="4344" spans="1:12">
      <c r="A4344" s="3" t="s">
        <v>2194</v>
      </c>
      <c r="B4344" s="3" t="s">
        <v>3663</v>
      </c>
      <c r="C4344" s="3" t="s">
        <v>3749</v>
      </c>
      <c r="D4344" s="3"/>
      <c r="E4344" s="2" t="str">
        <f>HYPERLINK("https://old.ukr-mobil.com/korpus_iphone_x_zadnyaya_kryshka_so_steklom_kamery_v_sbore_original_prc_white_12099", "Перейти")</f>
        <v>Перейти</v>
      </c>
      <c r="F4344" s="2">
        <v>12099</v>
      </c>
      <c r="G4344" s="4" t="s">
        <v>4489</v>
      </c>
      <c r="H4344" s="1">
        <v>5</v>
      </c>
      <c r="I4344" s="1">
        <v>3</v>
      </c>
      <c r="J4344" s="1">
        <v>2</v>
      </c>
      <c r="K4344" s="2">
        <v>24.0</v>
      </c>
    </row>
    <row r="4345" spans="1:12">
      <c r="A4345" s="3" t="s">
        <v>2194</v>
      </c>
      <c r="B4345" s="3" t="s">
        <v>3663</v>
      </c>
      <c r="C4345" s="3" t="s">
        <v>3749</v>
      </c>
      <c r="D4345" s="3"/>
      <c r="E4345" s="2" t="str">
        <f>HYPERLINK("https://old.ukr-mobil.com/korpus_apple_iphone_xr_v_sbore_original_prc_black_10001294", "Перейти")</f>
        <v>Перейти</v>
      </c>
      <c r="F4345" s="2">
        <v>10001294</v>
      </c>
      <c r="G4345" s="4" t="s">
        <v>4490</v>
      </c>
      <c r="H4345" s="1">
        <v>0</v>
      </c>
      <c r="I4345" s="1">
        <v>0</v>
      </c>
      <c r="J4345" s="1">
        <v>0</v>
      </c>
      <c r="K4345" s="2">
        <v>13.0</v>
      </c>
    </row>
    <row r="4346" spans="1:12">
      <c r="A4346" s="3" t="s">
        <v>2194</v>
      </c>
      <c r="B4346" s="3" t="s">
        <v>3663</v>
      </c>
      <c r="C4346" s="3" t="s">
        <v>3749</v>
      </c>
      <c r="D4346" s="3"/>
      <c r="E4346" s="2" t="str">
        <f>HYPERLINK("https://old.ukr-mobil.com/korpus_apple_iphone_xs_max_v_sbore_original_prc_black_10003792", "Перейти")</f>
        <v>Перейти</v>
      </c>
      <c r="F4346" s="2">
        <v>10003792</v>
      </c>
      <c r="G4346" s="4" t="s">
        <v>4491</v>
      </c>
      <c r="H4346" s="1">
        <v>2</v>
      </c>
      <c r="I4346" s="1">
        <v>1</v>
      </c>
      <c r="J4346" s="1">
        <v>2</v>
      </c>
      <c r="K4346" s="2">
        <v>29.0</v>
      </c>
    </row>
    <row r="4347" spans="1:12">
      <c r="A4347" s="3" t="s">
        <v>2194</v>
      </c>
      <c r="B4347" s="3" t="s">
        <v>3663</v>
      </c>
      <c r="C4347" s="3" t="s">
        <v>3749</v>
      </c>
      <c r="D4347" s="3"/>
      <c r="E4347" s="2" t="str">
        <f>HYPERLINK("https://old.ukr-mobil.com/korpus_apple_iphone_xs_max_v_sbore_original_prc_gold_10003794", "Перейти")</f>
        <v>Перейти</v>
      </c>
      <c r="F4347" s="2">
        <v>10003794</v>
      </c>
      <c r="G4347" s="4" t="s">
        <v>4492</v>
      </c>
      <c r="H4347" s="1">
        <v>7</v>
      </c>
      <c r="I4347" s="1">
        <v>0</v>
      </c>
      <c r="J4347" s="1">
        <v>0</v>
      </c>
      <c r="K4347" s="2">
        <v>29.0</v>
      </c>
    </row>
    <row r="4348" spans="1:12">
      <c r="A4348" s="3" t="s">
        <v>2194</v>
      </c>
      <c r="B4348" s="3" t="s">
        <v>3663</v>
      </c>
      <c r="C4348" s="3" t="s">
        <v>3749</v>
      </c>
      <c r="D4348" s="3"/>
      <c r="E4348" s="2" t="str">
        <f>HYPERLINK("https://old.ukr-mobil.com/korpus_apple_iphone_xs_max_v_sbore_original_prc_white_10003793", "Перейти")</f>
        <v>Перейти</v>
      </c>
      <c r="F4348" s="2">
        <v>10003793</v>
      </c>
      <c r="G4348" s="4" t="s">
        <v>4493</v>
      </c>
      <c r="H4348" s="1">
        <v>3</v>
      </c>
      <c r="I4348" s="1">
        <v>0</v>
      </c>
      <c r="J4348" s="1">
        <v>0</v>
      </c>
      <c r="K4348" s="2">
        <v>29.0</v>
      </c>
    </row>
    <row r="4349" spans="1:12">
      <c r="A4349" s="3" t="s">
        <v>2194</v>
      </c>
      <c r="B4349" s="3" t="s">
        <v>3663</v>
      </c>
      <c r="C4349" s="3" t="s">
        <v>3749</v>
      </c>
      <c r="D4349" s="3"/>
      <c r="E4349" s="2" t="str">
        <f>HYPERLINK("https://old.ukr-mobil.com/korpus_apple_iphone_xs_v_sbore_original_prc_black_10003786", "Перейти")</f>
        <v>Перейти</v>
      </c>
      <c r="F4349" s="2">
        <v>10003786</v>
      </c>
      <c r="G4349" s="4" t="s">
        <v>4494</v>
      </c>
      <c r="H4349" s="1">
        <v>6</v>
      </c>
      <c r="I4349" s="1">
        <v>0</v>
      </c>
      <c r="J4349" s="1">
        <v>2</v>
      </c>
      <c r="K4349" s="2">
        <v>29.35</v>
      </c>
    </row>
    <row r="4350" spans="1:12">
      <c r="A4350" s="3" t="s">
        <v>2194</v>
      </c>
      <c r="B4350" s="3" t="s">
        <v>3663</v>
      </c>
      <c r="C4350" s="3" t="s">
        <v>3749</v>
      </c>
      <c r="D4350" s="3"/>
      <c r="E4350" s="2" t="str">
        <f>HYPERLINK("https://old.ukr-mobil.com/korpus_apple_iphone_xs_v_sbore_original_prc_gold_10003788", "Перейти")</f>
        <v>Перейти</v>
      </c>
      <c r="F4350" s="2">
        <v>10003788</v>
      </c>
      <c r="G4350" s="4" t="s">
        <v>4495</v>
      </c>
      <c r="H4350" s="1">
        <v>5</v>
      </c>
      <c r="I4350" s="1">
        <v>2</v>
      </c>
      <c r="J4350" s="1">
        <v>2</v>
      </c>
      <c r="K4350" s="2">
        <v>29.35</v>
      </c>
    </row>
    <row r="4351" spans="1:12">
      <c r="A4351" s="3" t="s">
        <v>2194</v>
      </c>
      <c r="B4351" s="3" t="s">
        <v>3663</v>
      </c>
      <c r="C4351" s="3" t="s">
        <v>3749</v>
      </c>
      <c r="D4351" s="3"/>
      <c r="E4351" s="2" t="str">
        <f>HYPERLINK("https://old.ukr-mobil.com/korpus_apple_iphone_xs_v_sbore_original_prc_white_10003787", "Перейти")</f>
        <v>Перейти</v>
      </c>
      <c r="F4351" s="2">
        <v>10003787</v>
      </c>
      <c r="G4351" s="4" t="s">
        <v>4496</v>
      </c>
      <c r="H4351" s="1">
        <v>1</v>
      </c>
      <c r="I4351" s="1">
        <v>2</v>
      </c>
      <c r="J4351" s="1">
        <v>2</v>
      </c>
      <c r="K4351" s="2">
        <v>29.35</v>
      </c>
    </row>
    <row r="4352" spans="1:12">
      <c r="A4352" s="3" t="s">
        <v>2194</v>
      </c>
      <c r="B4352" s="3" t="s">
        <v>3663</v>
      </c>
      <c r="C4352" s="3" t="s">
        <v>3749</v>
      </c>
      <c r="D4352" s="3"/>
      <c r="E4352" s="2" t="str">
        <f>HYPERLINK("https://old.ukr-mobil.com/korpus_high_copy_lg_d802_optimus_g2_b_lij_zadnya_krishka_4852", "Перейти")</f>
        <v>Перейти</v>
      </c>
      <c r="F4352" s="2">
        <v>4852</v>
      </c>
      <c r="G4352" s="4" t="s">
        <v>4497</v>
      </c>
      <c r="H4352" s="1">
        <v>2</v>
      </c>
      <c r="I4352" s="1">
        <v>0</v>
      </c>
      <c r="J4352" s="1">
        <v>0</v>
      </c>
      <c r="K4352" s="2">
        <v>28.22</v>
      </c>
    </row>
    <row r="4353" spans="1:12">
      <c r="A4353" s="3" t="s">
        <v>2194</v>
      </c>
      <c r="B4353" s="3" t="s">
        <v>3663</v>
      </c>
      <c r="C4353" s="3" t="s">
        <v>3749</v>
      </c>
      <c r="D4353" s="3"/>
      <c r="E4353" s="2" t="str">
        <f>HYPERLINK("https://old.ukr-mobil.com/korpus_high_copy_lg_d802_optimus_g2_chornij_zadnya_krishka_4853", "Перейти")</f>
        <v>Перейти</v>
      </c>
      <c r="F4353" s="2">
        <v>4853</v>
      </c>
      <c r="G4353" s="4" t="s">
        <v>4498</v>
      </c>
      <c r="H4353" s="1">
        <v>3</v>
      </c>
      <c r="I4353" s="1">
        <v>0</v>
      </c>
      <c r="J4353" s="1">
        <v>0</v>
      </c>
      <c r="K4353" s="2">
        <v>28.22</v>
      </c>
    </row>
    <row r="4354" spans="1:12">
      <c r="A4354" s="3" t="s">
        <v>2194</v>
      </c>
      <c r="B4354" s="3" t="s">
        <v>3663</v>
      </c>
      <c r="C4354" s="3" t="s">
        <v>3749</v>
      </c>
      <c r="D4354" s="3"/>
      <c r="E4354" s="2" t="str">
        <f>HYPERLINK("https://old.ukr-mobil.com/korpus_high_copy_lg_t320_4276", "Перейти")</f>
        <v>Перейти</v>
      </c>
      <c r="F4354" s="2">
        <v>4276</v>
      </c>
      <c r="G4354" s="4" t="s">
        <v>4499</v>
      </c>
      <c r="H4354" s="1">
        <v>0</v>
      </c>
      <c r="I4354" s="1">
        <v>0</v>
      </c>
      <c r="J4354" s="1">
        <v>0</v>
      </c>
      <c r="K4354" s="2">
        <v>8.06</v>
      </c>
    </row>
    <row r="4355" spans="1:12">
      <c r="A4355" s="3" t="s">
        <v>2194</v>
      </c>
      <c r="B4355" s="3" t="s">
        <v>3663</v>
      </c>
      <c r="C4355" s="3" t="s">
        <v>3749</v>
      </c>
      <c r="D4355" s="3"/>
      <c r="E4355" s="2" t="str">
        <f>HYPERLINK("https://old.ukr-mobil.com/korpus_lenovo_a319_black_zadnyaya_kryshka_6897", "Перейти")</f>
        <v>Перейти</v>
      </c>
      <c r="F4355" s="2">
        <v>6897</v>
      </c>
      <c r="G4355" s="4" t="s">
        <v>4500</v>
      </c>
      <c r="H4355" s="1">
        <v>0</v>
      </c>
      <c r="I4355" s="1">
        <v>0</v>
      </c>
      <c r="J4355" s="1">
        <v>0</v>
      </c>
      <c r="K4355" s="2">
        <v>4.03</v>
      </c>
    </row>
    <row r="4356" spans="1:12">
      <c r="A4356" s="3" t="s">
        <v>2194</v>
      </c>
      <c r="B4356" s="3" t="s">
        <v>3663</v>
      </c>
      <c r="C4356" s="3" t="s">
        <v>3749</v>
      </c>
      <c r="D4356" s="3"/>
      <c r="E4356" s="2" t="str">
        <f>HYPERLINK("https://old.ukr-mobil.com/korpus_lenovo_a319_white_zadnyaya_kryshka_6898", "Перейти")</f>
        <v>Перейти</v>
      </c>
      <c r="F4356" s="2">
        <v>6898</v>
      </c>
      <c r="G4356" s="4" t="s">
        <v>4501</v>
      </c>
      <c r="H4356" s="1">
        <v>0</v>
      </c>
      <c r="I4356" s="1">
        <v>0</v>
      </c>
      <c r="J4356" s="1">
        <v>0</v>
      </c>
      <c r="K4356" s="2">
        <v>4.03</v>
      </c>
    </row>
    <row r="4357" spans="1:12">
      <c r="A4357" s="3" t="s">
        <v>2194</v>
      </c>
      <c r="B4357" s="3" t="s">
        <v>3663</v>
      </c>
      <c r="C4357" s="3" t="s">
        <v>3749</v>
      </c>
      <c r="D4357" s="3"/>
      <c r="E4357" s="2" t="str">
        <f>HYPERLINK("https://old.ukr-mobil.com/korpus_lenovo_a526_black_zadnyaya_kryshka_6904", "Перейти")</f>
        <v>Перейти</v>
      </c>
      <c r="F4357" s="2">
        <v>6904</v>
      </c>
      <c r="G4357" s="4" t="s">
        <v>4502</v>
      </c>
      <c r="H4357" s="1">
        <v>4</v>
      </c>
      <c r="I4357" s="1">
        <v>0</v>
      </c>
      <c r="J4357" s="1">
        <v>0</v>
      </c>
      <c r="K4357" s="2">
        <v>3.78</v>
      </c>
    </row>
    <row r="4358" spans="1:12">
      <c r="A4358" s="3" t="s">
        <v>2194</v>
      </c>
      <c r="B4358" s="3" t="s">
        <v>3663</v>
      </c>
      <c r="C4358" s="3" t="s">
        <v>3749</v>
      </c>
      <c r="D4358" s="3"/>
      <c r="E4358" s="2" t="str">
        <f>HYPERLINK("https://old.ukr-mobil.com/korpus_lenovo_a536_black_zadnyaya_kryshka_6899", "Перейти")</f>
        <v>Перейти</v>
      </c>
      <c r="F4358" s="2">
        <v>6899</v>
      </c>
      <c r="G4358" s="4" t="s">
        <v>4503</v>
      </c>
      <c r="H4358" s="1">
        <v>0</v>
      </c>
      <c r="I4358" s="1">
        <v>0</v>
      </c>
      <c r="J4358" s="1">
        <v>0</v>
      </c>
      <c r="K4358" s="2">
        <v>5.04</v>
      </c>
    </row>
    <row r="4359" spans="1:12">
      <c r="A4359" s="3" t="s">
        <v>2194</v>
      </c>
      <c r="B4359" s="3" t="s">
        <v>3663</v>
      </c>
      <c r="C4359" s="3" t="s">
        <v>3749</v>
      </c>
      <c r="D4359" s="3"/>
      <c r="E4359" s="2" t="str">
        <f>HYPERLINK("https://old.ukr-mobil.com/korpus_lenovo_a536_white_zadnyaya_kryshka_6900", "Перейти")</f>
        <v>Перейти</v>
      </c>
      <c r="F4359" s="2">
        <v>6900</v>
      </c>
      <c r="G4359" s="4" t="s">
        <v>4504</v>
      </c>
      <c r="H4359" s="1">
        <v>0</v>
      </c>
      <c r="I4359" s="1">
        <v>0</v>
      </c>
      <c r="J4359" s="1">
        <v>0</v>
      </c>
      <c r="K4359" s="2">
        <v>4.54</v>
      </c>
    </row>
    <row r="4360" spans="1:12">
      <c r="A4360" s="3" t="s">
        <v>2194</v>
      </c>
      <c r="B4360" s="3" t="s">
        <v>3663</v>
      </c>
      <c r="C4360" s="3" t="s">
        <v>3749</v>
      </c>
      <c r="D4360" s="3"/>
      <c r="E4360" s="2" t="str">
        <f>HYPERLINK("https://old.ukr-mobil.com/korpus_lenovo_a6000_white_zadnyaya_kryshka_6894", "Перейти")</f>
        <v>Перейти</v>
      </c>
      <c r="F4360" s="2">
        <v>6894</v>
      </c>
      <c r="G4360" s="4" t="s">
        <v>4505</v>
      </c>
      <c r="H4360" s="1">
        <v>0</v>
      </c>
      <c r="I4360" s="1">
        <v>0</v>
      </c>
      <c r="J4360" s="1">
        <v>0</v>
      </c>
      <c r="K4360" s="2">
        <v>4.03</v>
      </c>
    </row>
    <row r="4361" spans="1:12">
      <c r="A4361" s="3" t="s">
        <v>2194</v>
      </c>
      <c r="B4361" s="3" t="s">
        <v>3663</v>
      </c>
      <c r="C4361" s="3" t="s">
        <v>3749</v>
      </c>
      <c r="D4361" s="3"/>
      <c r="E4361" s="2" t="str">
        <f>HYPERLINK("https://old.ukr-mobil.com/korpus_lenovo_a7000_white_zadnyaya_kryshka_6896", "Перейти")</f>
        <v>Перейти</v>
      </c>
      <c r="F4361" s="2">
        <v>6896</v>
      </c>
      <c r="G4361" s="4" t="s">
        <v>4506</v>
      </c>
      <c r="H4361" s="1">
        <v>0</v>
      </c>
      <c r="I4361" s="1">
        <v>0</v>
      </c>
      <c r="J4361" s="1">
        <v>0</v>
      </c>
      <c r="K4361" s="2">
        <v>3.02</v>
      </c>
    </row>
    <row r="4362" spans="1:12">
      <c r="A4362" s="3" t="s">
        <v>2194</v>
      </c>
      <c r="B4362" s="3" t="s">
        <v>3663</v>
      </c>
      <c r="C4362" s="3" t="s">
        <v>3749</v>
      </c>
      <c r="D4362" s="3"/>
      <c r="E4362" s="2" t="str">
        <f>HYPERLINK("https://old.ukr-mobil.com/korpus_lenovo_s580_black_zadnyaya_kryshka_6891", "Перейти")</f>
        <v>Перейти</v>
      </c>
      <c r="F4362" s="2">
        <v>6891</v>
      </c>
      <c r="G4362" s="4" t="s">
        <v>4507</v>
      </c>
      <c r="H4362" s="1">
        <v>1</v>
      </c>
      <c r="I4362" s="1">
        <v>0</v>
      </c>
      <c r="J4362" s="1">
        <v>0</v>
      </c>
      <c r="K4362" s="2">
        <v>4.79</v>
      </c>
    </row>
    <row r="4363" spans="1:12">
      <c r="A4363" s="3" t="s">
        <v>2194</v>
      </c>
      <c r="B4363" s="3" t="s">
        <v>3663</v>
      </c>
      <c r="C4363" s="3" t="s">
        <v>3749</v>
      </c>
      <c r="D4363" s="3"/>
      <c r="E4363" s="2" t="str">
        <f>HYPERLINK("https://old.ukr-mobil.com/korpus_lenovo_s580_white_zadnyaya_kryshka_6892", "Перейти")</f>
        <v>Перейти</v>
      </c>
      <c r="F4363" s="2">
        <v>6892</v>
      </c>
      <c r="G4363" s="4" t="s">
        <v>4508</v>
      </c>
      <c r="H4363" s="1">
        <v>4</v>
      </c>
      <c r="I4363" s="1">
        <v>0</v>
      </c>
      <c r="J4363" s="1">
        <v>0</v>
      </c>
      <c r="K4363" s="2">
        <v>4.79</v>
      </c>
    </row>
    <row r="4364" spans="1:12">
      <c r="A4364" s="3" t="s">
        <v>2194</v>
      </c>
      <c r="B4364" s="3" t="s">
        <v>3663</v>
      </c>
      <c r="C4364" s="3" t="s">
        <v>3749</v>
      </c>
      <c r="D4364" s="3"/>
      <c r="E4364" s="2" t="str">
        <f>HYPERLINK("https://old.ukr-mobil.com/korpus_lenovo_s820_black_zadnyaya_kryshka_6901", "Перейти")</f>
        <v>Перейти</v>
      </c>
      <c r="F4364" s="2">
        <v>6901</v>
      </c>
      <c r="G4364" s="4" t="s">
        <v>4509</v>
      </c>
      <c r="H4364" s="1">
        <v>0</v>
      </c>
      <c r="I4364" s="1">
        <v>0</v>
      </c>
      <c r="J4364" s="1">
        <v>0</v>
      </c>
      <c r="K4364" s="2">
        <v>5.54</v>
      </c>
    </row>
    <row r="4365" spans="1:12">
      <c r="A4365" s="3" t="s">
        <v>2194</v>
      </c>
      <c r="B4365" s="3" t="s">
        <v>3663</v>
      </c>
      <c r="C4365" s="3" t="s">
        <v>3749</v>
      </c>
      <c r="D4365" s="3"/>
      <c r="E4365" s="2" t="str">
        <f>HYPERLINK("https://old.ukr-mobil.com/korpus_lenovo_s820_white_zadnyaya_kryshka_6902", "Перейти")</f>
        <v>Перейти</v>
      </c>
      <c r="F4365" s="2">
        <v>6902</v>
      </c>
      <c r="G4365" s="4" t="s">
        <v>4510</v>
      </c>
      <c r="H4365" s="1">
        <v>1</v>
      </c>
      <c r="I4365" s="1">
        <v>0</v>
      </c>
      <c r="J4365" s="1">
        <v>0</v>
      </c>
      <c r="K4365" s="2">
        <v>5.54</v>
      </c>
    </row>
    <row r="4366" spans="1:12">
      <c r="A4366" s="3" t="s">
        <v>2194</v>
      </c>
      <c r="B4366" s="3" t="s">
        <v>3663</v>
      </c>
      <c r="C4366" s="3" t="s">
        <v>3749</v>
      </c>
      <c r="D4366" s="3"/>
      <c r="E4366" s="2" t="str">
        <f>HYPERLINK("https://old.ukr-mobil.com/korpus_lenovo_s850_black_zadnyaya_kryshka_6906", "Перейти")</f>
        <v>Перейти</v>
      </c>
      <c r="F4366" s="2">
        <v>6906</v>
      </c>
      <c r="G4366" s="4" t="s">
        <v>4511</v>
      </c>
      <c r="H4366" s="1">
        <v>0</v>
      </c>
      <c r="I4366" s="1">
        <v>0</v>
      </c>
      <c r="J4366" s="1">
        <v>0</v>
      </c>
      <c r="K4366" s="2">
        <v>3.53</v>
      </c>
    </row>
    <row r="4367" spans="1:12">
      <c r="A4367" s="3" t="s">
        <v>2194</v>
      </c>
      <c r="B4367" s="3" t="s">
        <v>3663</v>
      </c>
      <c r="C4367" s="3" t="s">
        <v>3749</v>
      </c>
      <c r="D4367" s="3"/>
      <c r="E4367" s="2" t="str">
        <f>HYPERLINK("https://old.ukr-mobil.com/korpus_lenovo_s850_white_zadnyaya_kryshka_6907", "Перейти")</f>
        <v>Перейти</v>
      </c>
      <c r="F4367" s="2">
        <v>6907</v>
      </c>
      <c r="G4367" s="4" t="s">
        <v>4512</v>
      </c>
      <c r="H4367" s="1">
        <v>0</v>
      </c>
      <c r="I4367" s="1">
        <v>0</v>
      </c>
      <c r="J4367" s="1">
        <v>0</v>
      </c>
      <c r="K4367" s="2">
        <v>3.53</v>
      </c>
    </row>
    <row r="4368" spans="1:12">
      <c r="A4368" s="3" t="s">
        <v>2194</v>
      </c>
      <c r="B4368" s="3" t="s">
        <v>3663</v>
      </c>
      <c r="C4368" s="3" t="s">
        <v>3749</v>
      </c>
      <c r="D4368" s="3"/>
      <c r="E4368" s="2" t="str">
        <f>HYPERLINK("https://old.ukr-mobil.com/korpus_microsoft_640_lumia_zadnyaya_kryshka_high_copy_white_8805", "Перейти")</f>
        <v>Перейти</v>
      </c>
      <c r="F4368" s="2">
        <v>8805</v>
      </c>
      <c r="G4368" s="4" t="s">
        <v>4513</v>
      </c>
      <c r="H4368" s="1">
        <v>0</v>
      </c>
      <c r="I4368" s="1">
        <v>0</v>
      </c>
      <c r="J4368" s="1">
        <v>0</v>
      </c>
      <c r="K4368" s="2">
        <v>3.53</v>
      </c>
    </row>
    <row r="4369" spans="1:12">
      <c r="A4369" s="3" t="s">
        <v>2194</v>
      </c>
      <c r="B4369" s="3" t="s">
        <v>3663</v>
      </c>
      <c r="C4369" s="3" t="s">
        <v>3749</v>
      </c>
      <c r="D4369" s="3"/>
      <c r="E4369" s="2" t="str">
        <f>HYPERLINK("https://old.ukr-mobil.com/korpus_original_lg_e975_optimus_g_4490", "Перейти")</f>
        <v>Перейти</v>
      </c>
      <c r="F4369" s="2">
        <v>4490</v>
      </c>
      <c r="G4369" s="4" t="s">
        <v>4514</v>
      </c>
      <c r="H4369" s="1">
        <v>0</v>
      </c>
      <c r="I4369" s="1">
        <v>0</v>
      </c>
      <c r="J4369" s="1">
        <v>0</v>
      </c>
      <c r="K4369" s="2">
        <v>28.22</v>
      </c>
    </row>
    <row r="4370" spans="1:12">
      <c r="A4370" s="3" t="s">
        <v>2194</v>
      </c>
      <c r="B4370" s="3" t="s">
        <v>3663</v>
      </c>
      <c r="C4370" s="3" t="s">
        <v>3749</v>
      </c>
      <c r="D4370" s="3"/>
      <c r="E4370" s="2" t="str">
        <f>HYPERLINK("https://old.ukr-mobil.com/korpus_samsung_a500_galaxy_a5_high_copy_gold_8650", "Перейти")</f>
        <v>Перейти</v>
      </c>
      <c r="F4370" s="2">
        <v>8650</v>
      </c>
      <c r="G4370" s="4" t="s">
        <v>4515</v>
      </c>
      <c r="H4370" s="1">
        <v>2</v>
      </c>
      <c r="I4370" s="1">
        <v>0</v>
      </c>
      <c r="J4370" s="1">
        <v>0</v>
      </c>
      <c r="K4370" s="2">
        <v>9.58</v>
      </c>
    </row>
    <row r="4371" spans="1:12">
      <c r="A4371" s="3" t="s">
        <v>2194</v>
      </c>
      <c r="B4371" s="3" t="s">
        <v>3663</v>
      </c>
      <c r="C4371" s="3" t="s">
        <v>3749</v>
      </c>
      <c r="D4371" s="3"/>
      <c r="E4371" s="2" t="str">
        <f>HYPERLINK("https://old.ukr-mobil.com/korpus_samsung_a500_galaxy_a5_high_copy_white_6037", "Перейти")</f>
        <v>Перейти</v>
      </c>
      <c r="F4371" s="2">
        <v>6037</v>
      </c>
      <c r="G4371" s="4" t="s">
        <v>4516</v>
      </c>
      <c r="H4371" s="1">
        <v>2</v>
      </c>
      <c r="I4371" s="1">
        <v>0</v>
      </c>
      <c r="J4371" s="1">
        <v>0</v>
      </c>
      <c r="K4371" s="2">
        <v>7.56</v>
      </c>
    </row>
    <row r="4372" spans="1:12">
      <c r="A4372" s="3" t="s">
        <v>2194</v>
      </c>
      <c r="B4372" s="3" t="s">
        <v>3663</v>
      </c>
      <c r="C4372" s="3" t="s">
        <v>3749</v>
      </c>
      <c r="D4372" s="3"/>
      <c r="E4372" s="2" t="str">
        <f>HYPERLINK("https://old.ukr-mobil.com/korpus_samsung_a720_galaxy_a7_2017_zadnyaya_krishka_high_copy_black_9287", "Перейти")</f>
        <v>Перейти</v>
      </c>
      <c r="F4372" s="2">
        <v>9287</v>
      </c>
      <c r="G4372" s="4" t="s">
        <v>4517</v>
      </c>
      <c r="H4372" s="1">
        <v>5</v>
      </c>
      <c r="I4372" s="1">
        <v>2</v>
      </c>
      <c r="J4372" s="1">
        <v>2</v>
      </c>
      <c r="K4372" s="2">
        <v>7.06</v>
      </c>
    </row>
    <row r="4373" spans="1:12">
      <c r="A4373" s="3" t="s">
        <v>2194</v>
      </c>
      <c r="B4373" s="3" t="s">
        <v>3663</v>
      </c>
      <c r="C4373" s="3" t="s">
        <v>3749</v>
      </c>
      <c r="D4373" s="3"/>
      <c r="E4373" s="2" t="str">
        <f>HYPERLINK("https://old.ukr-mobil.com/korpus_samsung_a720_galaxy_a7_2017_zadnyaya_krishka_high_copy_gold_9288", "Перейти")</f>
        <v>Перейти</v>
      </c>
      <c r="F4373" s="2">
        <v>9288</v>
      </c>
      <c r="G4373" s="4" t="s">
        <v>4518</v>
      </c>
      <c r="H4373" s="1">
        <v>0</v>
      </c>
      <c r="I4373" s="1">
        <v>0</v>
      </c>
      <c r="J4373" s="1">
        <v>0</v>
      </c>
      <c r="K4373" s="2">
        <v>7.06</v>
      </c>
    </row>
    <row r="4374" spans="1:12">
      <c r="A4374" s="3" t="s">
        <v>2194</v>
      </c>
      <c r="B4374" s="3" t="s">
        <v>3663</v>
      </c>
      <c r="C4374" s="3" t="s">
        <v>3749</v>
      </c>
      <c r="D4374" s="3"/>
      <c r="E4374" s="2" t="str">
        <f>HYPERLINK("https://old.ukr-mobil.com/korpus_samsung_g360_galaxy_core_prime_zadnyaya_krishka_high_copy_black_8710", "Перейти")</f>
        <v>Перейти</v>
      </c>
      <c r="F4374" s="2">
        <v>8710</v>
      </c>
      <c r="G4374" s="4" t="s">
        <v>4519</v>
      </c>
      <c r="H4374" s="1">
        <v>0</v>
      </c>
      <c r="I4374" s="1">
        <v>0</v>
      </c>
      <c r="J4374" s="1">
        <v>0</v>
      </c>
      <c r="K4374" s="2">
        <v>3.53</v>
      </c>
    </row>
    <row r="4375" spans="1:12">
      <c r="A4375" s="3" t="s">
        <v>2194</v>
      </c>
      <c r="B4375" s="3" t="s">
        <v>3663</v>
      </c>
      <c r="C4375" s="3" t="s">
        <v>3749</v>
      </c>
      <c r="D4375" s="3"/>
      <c r="E4375" s="2" t="str">
        <f>HYPERLINK("https://old.ukr-mobil.com/korpus_samsung_g360_galaxy_core_prime_zadnyaya_krishka_high_copy_white_8711", "Перейти")</f>
        <v>Перейти</v>
      </c>
      <c r="F4375" s="2">
        <v>8711</v>
      </c>
      <c r="G4375" s="4" t="s">
        <v>4520</v>
      </c>
      <c r="H4375" s="1">
        <v>0</v>
      </c>
      <c r="I4375" s="1">
        <v>0</v>
      </c>
      <c r="J4375" s="1">
        <v>0</v>
      </c>
      <c r="K4375" s="2">
        <v>3.53</v>
      </c>
    </row>
    <row r="4376" spans="1:12">
      <c r="A4376" s="3" t="s">
        <v>2194</v>
      </c>
      <c r="B4376" s="3" t="s">
        <v>3663</v>
      </c>
      <c r="C4376" s="3" t="s">
        <v>3749</v>
      </c>
      <c r="D4376" s="3"/>
      <c r="E4376" s="2" t="str">
        <f>HYPERLINK("https://old.ukr-mobil.com/korpus_samsung_g530_galaxy_grand_prime_zadnyaya_krishka_high_copy_white_6056", "Перейти")</f>
        <v>Перейти</v>
      </c>
      <c r="F4376" s="2">
        <v>6056</v>
      </c>
      <c r="G4376" s="4" t="s">
        <v>4521</v>
      </c>
      <c r="H4376" s="1">
        <v>2</v>
      </c>
      <c r="I4376" s="1">
        <v>0</v>
      </c>
      <c r="J4376" s="1">
        <v>0</v>
      </c>
      <c r="K4376" s="2">
        <v>3.02</v>
      </c>
    </row>
    <row r="4377" spans="1:12">
      <c r="A4377" s="3" t="s">
        <v>2194</v>
      </c>
      <c r="B4377" s="3" t="s">
        <v>3663</v>
      </c>
      <c r="C4377" s="3" t="s">
        <v>3749</v>
      </c>
      <c r="D4377" s="3"/>
      <c r="E4377" s="2" t="str">
        <f>HYPERLINK("https://old.ukr-mobil.com/korpus_samsung_g800_galaxy_s5_mini_zadnyaya_kryshka_high_copy_black_6053", "Перейти")</f>
        <v>Перейти</v>
      </c>
      <c r="F4377" s="2">
        <v>6053</v>
      </c>
      <c r="G4377" s="4" t="s">
        <v>4522</v>
      </c>
      <c r="H4377" s="1">
        <v>0</v>
      </c>
      <c r="I4377" s="1">
        <v>0</v>
      </c>
      <c r="J4377" s="1">
        <v>0</v>
      </c>
      <c r="K4377" s="2">
        <v>4.03</v>
      </c>
    </row>
    <row r="4378" spans="1:12">
      <c r="A4378" s="3" t="s">
        <v>2194</v>
      </c>
      <c r="B4378" s="3" t="s">
        <v>3663</v>
      </c>
      <c r="C4378" s="3" t="s">
        <v>3749</v>
      </c>
      <c r="D4378" s="3"/>
      <c r="E4378" s="2" t="str">
        <f>HYPERLINK("https://old.ukr-mobil.com/korpus_samsung_g800_galaxy_s5_mini_zadnyaya_kryshka_high_copy_blue_6173", "Перейти")</f>
        <v>Перейти</v>
      </c>
      <c r="F4378" s="2">
        <v>6173</v>
      </c>
      <c r="G4378" s="4" t="s">
        <v>4523</v>
      </c>
      <c r="H4378" s="1">
        <v>1</v>
      </c>
      <c r="I4378" s="1">
        <v>0</v>
      </c>
      <c r="J4378" s="1">
        <v>0</v>
      </c>
      <c r="K4378" s="2">
        <v>4.03</v>
      </c>
    </row>
    <row r="4379" spans="1:12">
      <c r="A4379" s="3" t="s">
        <v>2194</v>
      </c>
      <c r="B4379" s="3" t="s">
        <v>3663</v>
      </c>
      <c r="C4379" s="3" t="s">
        <v>3749</v>
      </c>
      <c r="D4379" s="3"/>
      <c r="E4379" s="2" t="str">
        <f>HYPERLINK("https://old.ukr-mobil.com/korpus_samsung_g800_galaxy_s5_mini_zadnyaya_kryshka_high_copy_gold_6172", "Перейти")</f>
        <v>Перейти</v>
      </c>
      <c r="F4379" s="2">
        <v>6172</v>
      </c>
      <c r="G4379" s="4" t="s">
        <v>4524</v>
      </c>
      <c r="H4379" s="1">
        <v>5</v>
      </c>
      <c r="I4379" s="1">
        <v>0</v>
      </c>
      <c r="J4379" s="1">
        <v>2</v>
      </c>
      <c r="K4379" s="2">
        <v>4.03</v>
      </c>
    </row>
    <row r="4380" spans="1:12">
      <c r="A4380" s="3" t="s">
        <v>2194</v>
      </c>
      <c r="B4380" s="3" t="s">
        <v>3663</v>
      </c>
      <c r="C4380" s="3" t="s">
        <v>3749</v>
      </c>
      <c r="D4380" s="3"/>
      <c r="E4380" s="2" t="str">
        <f>HYPERLINK("https://old.ukr-mobil.com/korpus_samsung_g800_galaxy_s5_mini_zadnyaya_kryshka_high_copy_white_6054", "Перейти")</f>
        <v>Перейти</v>
      </c>
      <c r="F4380" s="2">
        <v>6054</v>
      </c>
      <c r="G4380" s="4" t="s">
        <v>4525</v>
      </c>
      <c r="H4380" s="1">
        <v>3</v>
      </c>
      <c r="I4380" s="1">
        <v>0</v>
      </c>
      <c r="J4380" s="1">
        <v>0</v>
      </c>
      <c r="K4380" s="2">
        <v>3.02</v>
      </c>
    </row>
    <row r="4381" spans="1:12">
      <c r="A4381" s="3" t="s">
        <v>2194</v>
      </c>
      <c r="B4381" s="3" t="s">
        <v>3663</v>
      </c>
      <c r="C4381" s="3" t="s">
        <v>3749</v>
      </c>
      <c r="D4381" s="3"/>
      <c r="E4381" s="2" t="str">
        <f>HYPERLINK("https://old.ukr-mobil.com/korpus_samsung_j700_galaxy_j7_zadnyaya_krishka_high_copy_white_9292", "Перейти")</f>
        <v>Перейти</v>
      </c>
      <c r="F4381" s="2">
        <v>9292</v>
      </c>
      <c r="G4381" s="4" t="s">
        <v>4526</v>
      </c>
      <c r="H4381" s="1">
        <v>2</v>
      </c>
      <c r="I4381" s="1">
        <v>0</v>
      </c>
      <c r="J4381" s="1">
        <v>0</v>
      </c>
      <c r="K4381" s="2">
        <v>2.02</v>
      </c>
    </row>
    <row r="4382" spans="1:12">
      <c r="A4382" s="3" t="s">
        <v>2194</v>
      </c>
      <c r="B4382" s="3" t="s">
        <v>3663</v>
      </c>
      <c r="C4382" s="3" t="s">
        <v>3749</v>
      </c>
      <c r="D4382" s="3"/>
      <c r="E4382" s="2" t="str">
        <f>HYPERLINK("https://old.ukr-mobil.com/korpus_samsung_n920_galaxy_note_5_zadnyaya_kryshka_high_copy_black_8717", "Перейти")</f>
        <v>Перейти</v>
      </c>
      <c r="F4382" s="2">
        <v>8717</v>
      </c>
      <c r="G4382" s="4" t="s">
        <v>4527</v>
      </c>
      <c r="H4382" s="1">
        <v>0</v>
      </c>
      <c r="I4382" s="1">
        <v>0</v>
      </c>
      <c r="J4382" s="1">
        <v>1</v>
      </c>
      <c r="K4382" s="2">
        <v>4.28</v>
      </c>
    </row>
    <row r="4383" spans="1:12">
      <c r="A4383" s="3" t="s">
        <v>2194</v>
      </c>
      <c r="B4383" s="3" t="s">
        <v>3663</v>
      </c>
      <c r="C4383" s="3" t="s">
        <v>3749</v>
      </c>
      <c r="D4383" s="3"/>
      <c r="E4383" s="2" t="str">
        <f>HYPERLINK("https://old.ukr-mobil.com/korpus_samsung_n920_galaxy_note_5_zadnyaya_kryshka_high_copy_gold_8813", "Перейти")</f>
        <v>Перейти</v>
      </c>
      <c r="F4383" s="2">
        <v>8813</v>
      </c>
      <c r="G4383" s="4" t="s">
        <v>4528</v>
      </c>
      <c r="H4383" s="1">
        <v>0</v>
      </c>
      <c r="I4383" s="1">
        <v>0</v>
      </c>
      <c r="J4383" s="1">
        <v>0</v>
      </c>
      <c r="K4383" s="2">
        <v>11.09</v>
      </c>
    </row>
    <row r="4384" spans="1:12">
      <c r="A4384" s="3" t="s">
        <v>2194</v>
      </c>
      <c r="B4384" s="3" t="s">
        <v>3663</v>
      </c>
      <c r="C4384" s="3" t="s">
        <v>3749</v>
      </c>
      <c r="D4384" s="3"/>
      <c r="E4384" s="2" t="str">
        <f>HYPERLINK("https://old.ukr-mobil.com/korpus_samsung_n920_galaxy_note_5_zadnyaya_kryshka_high_copy_white_8718", "Перейти")</f>
        <v>Перейти</v>
      </c>
      <c r="F4384" s="2">
        <v>8718</v>
      </c>
      <c r="G4384" s="4" t="s">
        <v>4529</v>
      </c>
      <c r="H4384" s="1">
        <v>0</v>
      </c>
      <c r="I4384" s="1">
        <v>0</v>
      </c>
      <c r="J4384" s="1">
        <v>0</v>
      </c>
      <c r="K4384" s="2">
        <v>10.08</v>
      </c>
    </row>
    <row r="4385" spans="1:12">
      <c r="A4385" s="3" t="s">
        <v>2194</v>
      </c>
      <c r="B4385" s="3" t="s">
        <v>3663</v>
      </c>
      <c r="C4385" s="3" t="s">
        <v>3749</v>
      </c>
      <c r="D4385" s="3"/>
      <c r="E4385" s="2" t="str">
        <f>HYPERLINK("https://old.ukr-mobil.com/korpus_sony_c6802_xl39h_xperia_z_ultra_black_zadnyaya_kryshka_6805", "Перейти")</f>
        <v>Перейти</v>
      </c>
      <c r="F4385" s="2">
        <v>6805</v>
      </c>
      <c r="G4385" s="4" t="s">
        <v>4530</v>
      </c>
      <c r="H4385" s="1">
        <v>13</v>
      </c>
      <c r="I4385" s="1">
        <v>0</v>
      </c>
      <c r="J4385" s="1">
        <v>2</v>
      </c>
      <c r="K4385" s="2">
        <v>3.53</v>
      </c>
    </row>
    <row r="4386" spans="1:12">
      <c r="A4386" s="3" t="s">
        <v>2194</v>
      </c>
      <c r="B4386" s="3" t="s">
        <v>3663</v>
      </c>
      <c r="C4386" s="3" t="s">
        <v>3749</v>
      </c>
      <c r="D4386" s="3"/>
      <c r="E4386" s="2" t="str">
        <f>HYPERLINK("https://old.ukr-mobil.com/korpus_sony_e2312_xperia_m4_aqua_dual_black_zadnyaya_kryshka_7632", "Перейти")</f>
        <v>Перейти</v>
      </c>
      <c r="F4386" s="2">
        <v>7632</v>
      </c>
      <c r="G4386" s="4" t="s">
        <v>4531</v>
      </c>
      <c r="H4386" s="1">
        <v>2</v>
      </c>
      <c r="I4386" s="1">
        <v>0</v>
      </c>
      <c r="J4386" s="1">
        <v>1</v>
      </c>
      <c r="K4386" s="2">
        <v>3.02</v>
      </c>
    </row>
    <row r="4387" spans="1:12">
      <c r="A4387" s="3" t="s">
        <v>2194</v>
      </c>
      <c r="B4387" s="3" t="s">
        <v>3663</v>
      </c>
      <c r="C4387" s="3" t="s">
        <v>3749</v>
      </c>
      <c r="D4387" s="3"/>
      <c r="E4387" s="2" t="str">
        <f>HYPERLINK("https://old.ukr-mobil.com/korpus_sony_e2312_xperia_m4_aqua_dual_white_zadnyaya_kryshka_7633", "Перейти")</f>
        <v>Перейти</v>
      </c>
      <c r="F4387" s="2">
        <v>7633</v>
      </c>
      <c r="G4387" s="4" t="s">
        <v>4532</v>
      </c>
      <c r="H4387" s="1">
        <v>8</v>
      </c>
      <c r="I4387" s="1">
        <v>0</v>
      </c>
      <c r="J4387" s="1">
        <v>2</v>
      </c>
      <c r="K4387" s="2">
        <v>3.02</v>
      </c>
    </row>
    <row r="4388" spans="1:12">
      <c r="A4388" s="3" t="s">
        <v>2194</v>
      </c>
      <c r="B4388" s="3" t="s">
        <v>3663</v>
      </c>
      <c r="C4388" s="3" t="s">
        <v>4533</v>
      </c>
      <c r="D4388" s="3"/>
      <c r="E4388" s="2" t="str">
        <f>HYPERLINK("https://old.ukr-mobil.com/ramka_displeya_google_pixel_3a_black_10004088", "Перейти")</f>
        <v>Перейти</v>
      </c>
      <c r="F4388" s="2">
        <v>10004088</v>
      </c>
      <c r="G4388" s="4" t="s">
        <v>4534</v>
      </c>
      <c r="H4388" s="1">
        <v>1</v>
      </c>
      <c r="I4388" s="1">
        <v>1</v>
      </c>
      <c r="J4388" s="1">
        <v>1</v>
      </c>
      <c r="K4388" s="2">
        <v>5.75</v>
      </c>
    </row>
    <row r="4389" spans="1:12">
      <c r="A4389" s="3" t="s">
        <v>2194</v>
      </c>
      <c r="B4389" s="3" t="s">
        <v>3663</v>
      </c>
      <c r="C4389" s="3" t="s">
        <v>4533</v>
      </c>
      <c r="D4389" s="3"/>
      <c r="E4389" s="2" t="str">
        <f>HYPERLINK("https://old.ukr-mobil.com/ramka_displeya_google_pixel_4_xl_black_10004064", "Перейти")</f>
        <v>Перейти</v>
      </c>
      <c r="F4389" s="2">
        <v>10004064</v>
      </c>
      <c r="G4389" s="4" t="s">
        <v>4535</v>
      </c>
      <c r="H4389" s="1">
        <v>0</v>
      </c>
      <c r="I4389" s="1">
        <v>1</v>
      </c>
      <c r="J4389" s="1">
        <v>1</v>
      </c>
      <c r="K4389" s="2">
        <v>16.5</v>
      </c>
    </row>
    <row r="4390" spans="1:12">
      <c r="A4390" s="3" t="s">
        <v>2194</v>
      </c>
      <c r="B4390" s="3" t="s">
        <v>3663</v>
      </c>
      <c r="C4390" s="3" t="s">
        <v>4533</v>
      </c>
      <c r="D4390" s="3"/>
      <c r="E4390" s="2" t="str">
        <f>HYPERLINK("https://old.ukr-mobil.com/ramka_displeya_google_pixel_4_black_10004065", "Перейти")</f>
        <v>Перейти</v>
      </c>
      <c r="F4390" s="2">
        <v>10004065</v>
      </c>
      <c r="G4390" s="4" t="s">
        <v>4536</v>
      </c>
      <c r="H4390" s="1">
        <v>3</v>
      </c>
      <c r="I4390" s="1">
        <v>2</v>
      </c>
      <c r="J4390" s="1">
        <v>1</v>
      </c>
      <c r="K4390" s="2">
        <v>17.0</v>
      </c>
    </row>
    <row r="4391" spans="1:12">
      <c r="A4391" s="3" t="s">
        <v>2194</v>
      </c>
      <c r="B4391" s="3" t="s">
        <v>3663</v>
      </c>
      <c r="C4391" s="3" t="s">
        <v>4533</v>
      </c>
      <c r="D4391" s="3"/>
      <c r="E4391" s="2" t="str">
        <f>HYPERLINK("https://old.ukr-mobil.com/ramka_displeya_huawei_honor_10_lite_hry-lx1_honor_10i_hry-lx1t_i_black_10003734", "Перейти")</f>
        <v>Перейти</v>
      </c>
      <c r="F4391" s="2">
        <v>10003734</v>
      </c>
      <c r="G4391" s="4" t="s">
        <v>4537</v>
      </c>
      <c r="H4391" s="1">
        <v>0</v>
      </c>
      <c r="I4391" s="1">
        <v>0</v>
      </c>
      <c r="J4391" s="1">
        <v>0</v>
      </c>
      <c r="K4391" s="2">
        <v>3.5</v>
      </c>
    </row>
    <row r="4392" spans="1:12">
      <c r="A4392" s="3" t="s">
        <v>2194</v>
      </c>
      <c r="B4392" s="3" t="s">
        <v>3663</v>
      </c>
      <c r="C4392" s="3" t="s">
        <v>4533</v>
      </c>
      <c r="D4392" s="3"/>
      <c r="E4392" s="2" t="str">
        <f>HYPERLINK("https://old.ukr-mobil.com/ramka_displeya_huawei_honor_10_lite_hry-lx1_honor_10i_hry-lx1t_i_blue_10003736", "Перейти")</f>
        <v>Перейти</v>
      </c>
      <c r="F4392" s="2">
        <v>10003736</v>
      </c>
      <c r="G4392" s="4" t="s">
        <v>4538</v>
      </c>
      <c r="H4392" s="1">
        <v>3</v>
      </c>
      <c r="I4392" s="1">
        <v>2</v>
      </c>
      <c r="J4392" s="1">
        <v>1</v>
      </c>
      <c r="K4392" s="2">
        <v>5.5</v>
      </c>
    </row>
    <row r="4393" spans="1:12">
      <c r="A4393" s="3" t="s">
        <v>2194</v>
      </c>
      <c r="B4393" s="3" t="s">
        <v>3663</v>
      </c>
      <c r="C4393" s="3" t="s">
        <v>4533</v>
      </c>
      <c r="D4393" s="3"/>
      <c r="E4393" s="2" t="str">
        <f>HYPERLINK("https://old.ukr-mobil.com/ramka_displeya_huawei_honor_20_yal-l21_nova_5t_black_10003737", "Перейти")</f>
        <v>Перейти</v>
      </c>
      <c r="F4393" s="2">
        <v>10003737</v>
      </c>
      <c r="G4393" s="4" t="s">
        <v>4539</v>
      </c>
      <c r="H4393" s="1">
        <v>1</v>
      </c>
      <c r="I4393" s="1">
        <v>2</v>
      </c>
      <c r="J4393" s="1">
        <v>2</v>
      </c>
      <c r="K4393" s="2">
        <v>8.0</v>
      </c>
    </row>
    <row r="4394" spans="1:12">
      <c r="A4394" s="3" t="s">
        <v>2194</v>
      </c>
      <c r="B4394" s="3" t="s">
        <v>3663</v>
      </c>
      <c r="C4394" s="3" t="s">
        <v>4533</v>
      </c>
      <c r="D4394" s="3"/>
      <c r="E4394" s="2" t="str">
        <f>HYPERLINK("https://old.ukr-mobil.com/ramka_displeya_huawei_honor_20_pro_black_10003973", "Перейти")</f>
        <v>Перейти</v>
      </c>
      <c r="F4394" s="2">
        <v>10003973</v>
      </c>
      <c r="G4394" s="4" t="s">
        <v>4540</v>
      </c>
      <c r="H4394" s="1">
        <v>1</v>
      </c>
      <c r="I4394" s="1">
        <v>0</v>
      </c>
      <c r="J4394" s="1">
        <v>1</v>
      </c>
      <c r="K4394" s="2">
        <v>7.5</v>
      </c>
    </row>
    <row r="4395" spans="1:12">
      <c r="A4395" s="3" t="s">
        <v>2194</v>
      </c>
      <c r="B4395" s="3" t="s">
        <v>3663</v>
      </c>
      <c r="C4395" s="3" t="s">
        <v>4533</v>
      </c>
      <c r="D4395" s="3"/>
      <c r="E4395" s="2" t="str">
        <f>HYPERLINK("https://old.ukr-mobil.com/ramka_displeya_huawei_honor_20_pro_blue_10003974", "Перейти")</f>
        <v>Перейти</v>
      </c>
      <c r="F4395" s="2">
        <v>10003974</v>
      </c>
      <c r="G4395" s="4" t="s">
        <v>4541</v>
      </c>
      <c r="H4395" s="1">
        <v>0</v>
      </c>
      <c r="I4395" s="1">
        <v>0</v>
      </c>
      <c r="J4395" s="1">
        <v>0</v>
      </c>
      <c r="K4395" s="2">
        <v>12.0</v>
      </c>
    </row>
    <row r="4396" spans="1:12">
      <c r="A4396" s="3" t="s">
        <v>2194</v>
      </c>
      <c r="B4396" s="3" t="s">
        <v>3663</v>
      </c>
      <c r="C4396" s="3" t="s">
        <v>4533</v>
      </c>
      <c r="D4396" s="3"/>
      <c r="E4396" s="2" t="str">
        <f>HYPERLINK("https://old.ukr-mobil.com/ramka_displeya_huawei_honor_8a_jat-lx1_jat-l29_8a_pro_y6_2019_mrd-lx1_y6_prime_2019_y6s_2019_jat-l41_10004021", "Перейти")</f>
        <v>Перейти</v>
      </c>
      <c r="F4396" s="2">
        <v>10004021</v>
      </c>
      <c r="G4396" s="4" t="s">
        <v>4542</v>
      </c>
      <c r="H4396" s="1">
        <v>0</v>
      </c>
      <c r="I4396" s="1">
        <v>0</v>
      </c>
      <c r="J4396" s="1">
        <v>0</v>
      </c>
      <c r="K4396" s="2">
        <v>2.95</v>
      </c>
    </row>
    <row r="4397" spans="1:12">
      <c r="A4397" s="3" t="s">
        <v>2194</v>
      </c>
      <c r="B4397" s="3" t="s">
        <v>3663</v>
      </c>
      <c r="C4397" s="3" t="s">
        <v>4533</v>
      </c>
      <c r="D4397" s="3"/>
      <c r="E4397" s="2" t="str">
        <f>HYPERLINK("https://old.ukr-mobil.com/ramka_displeya_huawei_honor_8x_jsn-l21_jsn-al00_black_10004084", "Перейти")</f>
        <v>Перейти</v>
      </c>
      <c r="F4397" s="2">
        <v>10004084</v>
      </c>
      <c r="G4397" s="4" t="s">
        <v>4543</v>
      </c>
      <c r="H4397" s="1">
        <v>0</v>
      </c>
      <c r="I4397" s="1">
        <v>0</v>
      </c>
      <c r="J4397" s="1">
        <v>1</v>
      </c>
      <c r="K4397" s="2">
        <v>10.0</v>
      </c>
    </row>
    <row r="4398" spans="1:12">
      <c r="A4398" s="3" t="s">
        <v>2194</v>
      </c>
      <c r="B4398" s="3" t="s">
        <v>3663</v>
      </c>
      <c r="C4398" s="3" t="s">
        <v>4533</v>
      </c>
      <c r="D4398" s="3"/>
      <c r="E4398" s="2" t="str">
        <f>HYPERLINK("https://old.ukr-mobil.com/ramka_displeya_huawei_honor_8x_jsn-l21_jsn-al00_blue_10004085", "Перейти")</f>
        <v>Перейти</v>
      </c>
      <c r="F4398" s="2">
        <v>10004085</v>
      </c>
      <c r="G4398" s="4" t="s">
        <v>4544</v>
      </c>
      <c r="H4398" s="1">
        <v>1</v>
      </c>
      <c r="I4398" s="1">
        <v>1</v>
      </c>
      <c r="J4398" s="1">
        <v>1</v>
      </c>
      <c r="K4398" s="2">
        <v>10.0</v>
      </c>
    </row>
    <row r="4399" spans="1:12">
      <c r="A4399" s="3" t="s">
        <v>2194</v>
      </c>
      <c r="B4399" s="3" t="s">
        <v>3663</v>
      </c>
      <c r="C4399" s="3" t="s">
        <v>4533</v>
      </c>
      <c r="D4399" s="3"/>
      <c r="E4399" s="2" t="str">
        <f>HYPERLINK("https://old.ukr-mobil.com/ramka_displeya_huawei_nova_8i_nen-lx1_nen-l22_honor_50_lite_honor_x20_ntn-l22_black_10004201", "Перейти")</f>
        <v>Перейти</v>
      </c>
      <c r="F4399" s="2">
        <v>10004201</v>
      </c>
      <c r="G4399" s="4" t="s">
        <v>4545</v>
      </c>
      <c r="H4399" s="1">
        <v>2</v>
      </c>
      <c r="I4399" s="1">
        <v>1</v>
      </c>
      <c r="J4399" s="1">
        <v>1</v>
      </c>
      <c r="K4399" s="2">
        <v>11.0</v>
      </c>
    </row>
    <row r="4400" spans="1:12">
      <c r="A4400" s="3" t="s">
        <v>2194</v>
      </c>
      <c r="B4400" s="3" t="s">
        <v>3663</v>
      </c>
      <c r="C4400" s="3" t="s">
        <v>4533</v>
      </c>
      <c r="D4400" s="3"/>
      <c r="E4400" s="2" t="str">
        <f>HYPERLINK("https://old.ukr-mobil.com/ramka_displeya_huawei_p_smart_2019_pot-lx3_pot-lx1_pot-al00_10003968", "Перейти")</f>
        <v>Перейти</v>
      </c>
      <c r="F4400" s="2">
        <v>10003968</v>
      </c>
      <c r="G4400" s="4" t="s">
        <v>4546</v>
      </c>
      <c r="H4400" s="1">
        <v>0</v>
      </c>
      <c r="I4400" s="1">
        <v>0</v>
      </c>
      <c r="J4400" s="1">
        <v>0</v>
      </c>
      <c r="K4400" s="2">
        <v>3.85</v>
      </c>
    </row>
    <row r="4401" spans="1:12">
      <c r="A4401" s="3" t="s">
        <v>2194</v>
      </c>
      <c r="B4401" s="3" t="s">
        <v>3663</v>
      </c>
      <c r="C4401" s="3" t="s">
        <v>4533</v>
      </c>
      <c r="D4401" s="3"/>
      <c r="E4401" s="2" t="str">
        <f>HYPERLINK("https://old.ukr-mobil.com/ramka_displeya_huawei_p_smart_2021_ppa-lx2_y7a_honor_10x_lite_black_10003967", "Перейти")</f>
        <v>Перейти</v>
      </c>
      <c r="F4401" s="2">
        <v>10003967</v>
      </c>
      <c r="G4401" s="4" t="s">
        <v>4547</v>
      </c>
      <c r="H4401" s="1">
        <v>2</v>
      </c>
      <c r="I4401" s="1">
        <v>2</v>
      </c>
      <c r="J4401" s="1">
        <v>4</v>
      </c>
      <c r="K4401" s="2">
        <v>2.85</v>
      </c>
    </row>
    <row r="4402" spans="1:12">
      <c r="A4402" s="3" t="s">
        <v>2194</v>
      </c>
      <c r="B4402" s="3" t="s">
        <v>3663</v>
      </c>
      <c r="C4402" s="3" t="s">
        <v>4533</v>
      </c>
      <c r="D4402" s="3"/>
      <c r="E4402" s="2" t="str">
        <f>HYPERLINK("https://old.ukr-mobil.com/ramka_displeya_huawei_p_smart_s_2020_y8p_aqm-lx1_blue_10003972", "Перейти")</f>
        <v>Перейти</v>
      </c>
      <c r="F4402" s="2">
        <v>10003972</v>
      </c>
      <c r="G4402" s="4" t="s">
        <v>4548</v>
      </c>
      <c r="H4402" s="1">
        <v>1</v>
      </c>
      <c r="I4402" s="1">
        <v>2</v>
      </c>
      <c r="J4402" s="1">
        <v>2</v>
      </c>
      <c r="K4402" s="2">
        <v>5.5</v>
      </c>
    </row>
    <row r="4403" spans="1:12">
      <c r="A4403" s="3" t="s">
        <v>2194</v>
      </c>
      <c r="B4403" s="3" t="s">
        <v>3663</v>
      </c>
      <c r="C4403" s="3" t="s">
        <v>4533</v>
      </c>
      <c r="D4403" s="3"/>
      <c r="E4403" s="2" t="str">
        <f>HYPERLINK("https://old.ukr-mobil.com/ramka_displeya_huawei_p_smart_z_y9_prime_2019_y9s_honor_9x_stk-lx1_stk-l21_stk-l22_black_10003962", "Перейти")</f>
        <v>Перейти</v>
      </c>
      <c r="F4403" s="2">
        <v>10003962</v>
      </c>
      <c r="G4403" s="4" t="s">
        <v>4549</v>
      </c>
      <c r="H4403" s="1">
        <v>0</v>
      </c>
      <c r="I4403" s="1">
        <v>0</v>
      </c>
      <c r="J4403" s="1">
        <v>0</v>
      </c>
      <c r="K4403" s="2">
        <v>5.75</v>
      </c>
    </row>
    <row r="4404" spans="1:12">
      <c r="A4404" s="3" t="s">
        <v>2194</v>
      </c>
      <c r="B4404" s="3" t="s">
        <v>3663</v>
      </c>
      <c r="C4404" s="3" t="s">
        <v>4533</v>
      </c>
      <c r="D4404" s="3"/>
      <c r="E4404" s="2" t="str">
        <f>HYPERLINK("https://old.ukr-mobil.com/ramka_displeya_huawei_p_smart_z_y9_prime_2019_y9s_honor_9x_stk-lx1_stk-l21_stk-l22_green_10003961", "Перейти")</f>
        <v>Перейти</v>
      </c>
      <c r="F4404" s="2">
        <v>10003961</v>
      </c>
      <c r="G4404" s="4" t="s">
        <v>4550</v>
      </c>
      <c r="H4404" s="1">
        <v>2</v>
      </c>
      <c r="I4404" s="1">
        <v>1</v>
      </c>
      <c r="J4404" s="1">
        <v>0</v>
      </c>
      <c r="K4404" s="2">
        <v>4.0</v>
      </c>
    </row>
    <row r="4405" spans="1:12">
      <c r="A4405" s="3" t="s">
        <v>2194</v>
      </c>
      <c r="B4405" s="3" t="s">
        <v>3663</v>
      </c>
      <c r="C4405" s="3" t="s">
        <v>4533</v>
      </c>
      <c r="D4405" s="3"/>
      <c r="E4405" s="2" t="str">
        <f>HYPERLINK("https://old.ukr-mobil.com/ramka_displeya_huawei_p20_pro_black_10004068", "Перейти")</f>
        <v>Перейти</v>
      </c>
      <c r="F4405" s="2">
        <v>10004068</v>
      </c>
      <c r="G4405" s="4" t="s">
        <v>4551</v>
      </c>
      <c r="H4405" s="1">
        <v>2</v>
      </c>
      <c r="I4405" s="1">
        <v>2</v>
      </c>
      <c r="J4405" s="1">
        <v>0</v>
      </c>
      <c r="K4405" s="2">
        <v>13.5</v>
      </c>
    </row>
    <row r="4406" spans="1:12">
      <c r="A4406" s="3" t="s">
        <v>2194</v>
      </c>
      <c r="B4406" s="3" t="s">
        <v>3663</v>
      </c>
      <c r="C4406" s="3" t="s">
        <v>4533</v>
      </c>
      <c r="D4406" s="3"/>
      <c r="E4406" s="2" t="str">
        <f>HYPERLINK("https://old.ukr-mobil.com/ramka_displeya_huawei_p30_ele-l29_ele-l09_ele-l04_ele-al00_black_10003963", "Перейти")</f>
        <v>Перейти</v>
      </c>
      <c r="F4406" s="2">
        <v>10003963</v>
      </c>
      <c r="G4406" s="4" t="s">
        <v>4552</v>
      </c>
      <c r="H4406" s="1">
        <v>1</v>
      </c>
      <c r="I4406" s="1">
        <v>1</v>
      </c>
      <c r="J4406" s="1">
        <v>0</v>
      </c>
      <c r="K4406" s="2">
        <v>10.0</v>
      </c>
    </row>
    <row r="4407" spans="1:12">
      <c r="A4407" s="3" t="s">
        <v>2194</v>
      </c>
      <c r="B4407" s="3" t="s">
        <v>3663</v>
      </c>
      <c r="C4407" s="3" t="s">
        <v>4533</v>
      </c>
      <c r="D4407" s="3"/>
      <c r="E4407" s="2" t="str">
        <f>HYPERLINK("https://old.ukr-mobil.com/ramka_displeya_huawei_p30_lite_nova_4e_mar-l21_lx2_lx1m_black_10003964", "Перейти")</f>
        <v>Перейти</v>
      </c>
      <c r="F4407" s="2">
        <v>10003964</v>
      </c>
      <c r="G4407" s="4" t="s">
        <v>4553</v>
      </c>
      <c r="H4407" s="1">
        <v>0</v>
      </c>
      <c r="I4407" s="1">
        <v>0</v>
      </c>
      <c r="J4407" s="1">
        <v>0</v>
      </c>
      <c r="K4407" s="2">
        <v>5.0</v>
      </c>
    </row>
    <row r="4408" spans="1:12">
      <c r="A4408" s="3" t="s">
        <v>2194</v>
      </c>
      <c r="B4408" s="3" t="s">
        <v>3663</v>
      </c>
      <c r="C4408" s="3" t="s">
        <v>4533</v>
      </c>
      <c r="D4408" s="3"/>
      <c r="E4408" s="2" t="str">
        <f>HYPERLINK("https://old.ukr-mobil.com/ramka_displeya_huawei_p30_pro_black_10004067", "Перейти")</f>
        <v>Перейти</v>
      </c>
      <c r="F4408" s="2">
        <v>10004067</v>
      </c>
      <c r="G4408" s="4" t="s">
        <v>4554</v>
      </c>
      <c r="H4408" s="1">
        <v>0</v>
      </c>
      <c r="I4408" s="1">
        <v>1</v>
      </c>
      <c r="J4408" s="1">
        <v>0</v>
      </c>
      <c r="K4408" s="2">
        <v>19.0</v>
      </c>
    </row>
    <row r="4409" spans="1:12">
      <c r="A4409" s="3" t="s">
        <v>2194</v>
      </c>
      <c r="B4409" s="3" t="s">
        <v>3663</v>
      </c>
      <c r="C4409" s="3" t="s">
        <v>4533</v>
      </c>
      <c r="D4409" s="3"/>
      <c r="E4409" s="2" t="str">
        <f>HYPERLINK("https://old.ukr-mobil.com/ramka_displeya_huawei_p40_lite_jny-lx1_nova_5i_glk-lx1_nova_7i_jny-lx2_nova_6_se_black_10003975", "Перейти")</f>
        <v>Перейти</v>
      </c>
      <c r="F4409" s="2">
        <v>10003975</v>
      </c>
      <c r="G4409" s="4" t="s">
        <v>4555</v>
      </c>
      <c r="H4409" s="1">
        <v>1</v>
      </c>
      <c r="I4409" s="1">
        <v>3</v>
      </c>
      <c r="J4409" s="1">
        <v>3</v>
      </c>
      <c r="K4409" s="2">
        <v>5.5</v>
      </c>
    </row>
    <row r="4410" spans="1:12">
      <c r="A4410" s="3" t="s">
        <v>2194</v>
      </c>
      <c r="B4410" s="3" t="s">
        <v>3663</v>
      </c>
      <c r="C4410" s="3" t="s">
        <v>4533</v>
      </c>
      <c r="D4410" s="3"/>
      <c r="E4410" s="2" t="str">
        <f>HYPERLINK("https://old.ukr-mobil.com/ramka_displeya_huawei_p40_lite_jny-lx1_nova_5i_glk-lx1_nova_7i_jny-lx2_nova_6_se_green_10003976", "Перейти")</f>
        <v>Перейти</v>
      </c>
      <c r="F4410" s="2">
        <v>10003976</v>
      </c>
      <c r="G4410" s="4" t="s">
        <v>4556</v>
      </c>
      <c r="H4410" s="1">
        <v>1</v>
      </c>
      <c r="I4410" s="1">
        <v>2</v>
      </c>
      <c r="J4410" s="1">
        <v>3</v>
      </c>
      <c r="K4410" s="2">
        <v>8.0</v>
      </c>
    </row>
    <row r="4411" spans="1:12">
      <c r="A4411" s="3" t="s">
        <v>2194</v>
      </c>
      <c r="B4411" s="3" t="s">
        <v>3663</v>
      </c>
      <c r="C4411" s="3" t="s">
        <v>4533</v>
      </c>
      <c r="D4411" s="3"/>
      <c r="E4411" s="2" t="str">
        <f>HYPERLINK("https://old.ukr-mobil.com/ramka_displeya_huawei_p40_lite_e_art-l28_art-l29_y7p_2020_honor_9c_black_10003970", "Перейти")</f>
        <v>Перейти</v>
      </c>
      <c r="F4411" s="2">
        <v>10003970</v>
      </c>
      <c r="G4411" s="4" t="s">
        <v>4557</v>
      </c>
      <c r="H4411" s="1">
        <v>0</v>
      </c>
      <c r="I4411" s="1">
        <v>3</v>
      </c>
      <c r="J4411" s="1">
        <v>3</v>
      </c>
      <c r="K4411" s="2">
        <v>6.5</v>
      </c>
    </row>
    <row r="4412" spans="1:12">
      <c r="A4412" s="3" t="s">
        <v>2194</v>
      </c>
      <c r="B4412" s="3" t="s">
        <v>3663</v>
      </c>
      <c r="C4412" s="3" t="s">
        <v>4533</v>
      </c>
      <c r="D4412" s="3"/>
      <c r="E4412" s="2" t="str">
        <f>HYPERLINK("https://old.ukr-mobil.com/ramka_displeya_huawei_p40_lite_e_art-l28_art-l29_y7p_2020_honor_9c_blue_10003971", "Перейти")</f>
        <v>Перейти</v>
      </c>
      <c r="F4412" s="2">
        <v>10003971</v>
      </c>
      <c r="G4412" s="4" t="s">
        <v>4558</v>
      </c>
      <c r="H4412" s="1">
        <v>3</v>
      </c>
      <c r="I4412" s="1">
        <v>3</v>
      </c>
      <c r="J4412" s="1">
        <v>3</v>
      </c>
      <c r="K4412" s="2">
        <v>5.5</v>
      </c>
    </row>
    <row r="4413" spans="1:12">
      <c r="A4413" s="3" t="s">
        <v>2194</v>
      </c>
      <c r="B4413" s="3" t="s">
        <v>3663</v>
      </c>
      <c r="C4413" s="3" t="s">
        <v>4533</v>
      </c>
      <c r="D4413" s="3"/>
      <c r="E4413" s="2" t="str">
        <f>HYPERLINK("https://old.ukr-mobil.com/ramka_displeya_huawei_p40_pro_black_10004086", "Перейти")</f>
        <v>Перейти</v>
      </c>
      <c r="F4413" s="2">
        <v>10004086</v>
      </c>
      <c r="G4413" s="4" t="s">
        <v>4559</v>
      </c>
      <c r="H4413" s="1">
        <v>3</v>
      </c>
      <c r="I4413" s="1">
        <v>1</v>
      </c>
      <c r="J4413" s="1">
        <v>1</v>
      </c>
      <c r="K4413" s="2">
        <v>30.0</v>
      </c>
    </row>
    <row r="4414" spans="1:12">
      <c r="A4414" s="3" t="s">
        <v>2194</v>
      </c>
      <c r="B4414" s="3" t="s">
        <v>3663</v>
      </c>
      <c r="C4414" s="3" t="s">
        <v>4533</v>
      </c>
      <c r="D4414" s="3"/>
      <c r="E4414" s="2" t="str">
        <f>HYPERLINK("https://old.ukr-mobil.com/ramka_displeya_huawei_p40_black_10004066", "Перейти")</f>
        <v>Перейти</v>
      </c>
      <c r="F4414" s="2">
        <v>10004066</v>
      </c>
      <c r="G4414" s="4" t="s">
        <v>4560</v>
      </c>
      <c r="H4414" s="1">
        <v>3</v>
      </c>
      <c r="I4414" s="1">
        <v>1</v>
      </c>
      <c r="J4414" s="1">
        <v>1</v>
      </c>
      <c r="K4414" s="2">
        <v>25.0</v>
      </c>
    </row>
    <row r="4415" spans="1:12">
      <c r="A4415" s="3" t="s">
        <v>2194</v>
      </c>
      <c r="B4415" s="3" t="s">
        <v>3663</v>
      </c>
      <c r="C4415" s="3" t="s">
        <v>4533</v>
      </c>
      <c r="D4415" s="3"/>
      <c r="E4415" s="2" t="str">
        <f>HYPERLINK("https://old.ukr-mobil.com/ramka_displeya_huawei_y5_2019_y5_prime_2019_honor_8s_amn-lx1_lx2_lx3_lx9_kse-lx9_ksa-lx9_10003969", "Перейти")</f>
        <v>Перейти</v>
      </c>
      <c r="F4415" s="2">
        <v>10003969</v>
      </c>
      <c r="G4415" s="4" t="s">
        <v>4561</v>
      </c>
      <c r="H4415" s="1">
        <v>0</v>
      </c>
      <c r="I4415" s="1">
        <v>0</v>
      </c>
      <c r="J4415" s="1">
        <v>1</v>
      </c>
      <c r="K4415" s="2">
        <v>2.5</v>
      </c>
    </row>
    <row r="4416" spans="1:12">
      <c r="A4416" s="3" t="s">
        <v>2194</v>
      </c>
      <c r="B4416" s="3" t="s">
        <v>3663</v>
      </c>
      <c r="C4416" s="3" t="s">
        <v>4533</v>
      </c>
      <c r="D4416" s="3"/>
      <c r="E4416" s="2" t="str">
        <f>HYPERLINK("https://old.ukr-mobil.com/ramka_displeya_huawei_y5p_2020_dra-lx9_honor_9s_dua-lx9_black_10003965", "Перейти")</f>
        <v>Перейти</v>
      </c>
      <c r="F4416" s="2">
        <v>10003965</v>
      </c>
      <c r="G4416" s="4" t="s">
        <v>4562</v>
      </c>
      <c r="H4416" s="1">
        <v>0</v>
      </c>
      <c r="I4416" s="1">
        <v>0</v>
      </c>
      <c r="J4416" s="1">
        <v>1</v>
      </c>
      <c r="K4416" s="2">
        <v>3.25</v>
      </c>
    </row>
    <row r="4417" spans="1:12">
      <c r="A4417" s="3" t="s">
        <v>2194</v>
      </c>
      <c r="B4417" s="3" t="s">
        <v>3663</v>
      </c>
      <c r="C4417" s="3" t="s">
        <v>4533</v>
      </c>
      <c r="D4417" s="3"/>
      <c r="E4417" s="2" t="str">
        <f>HYPERLINK("https://old.ukr-mobil.com/ramka_displeya_huawei_y5p_2020_dra-lx9_honor_9s_dua-lx9_white_10003966", "Перейти")</f>
        <v>Перейти</v>
      </c>
      <c r="F4417" s="2">
        <v>10003966</v>
      </c>
      <c r="G4417" s="4" t="s">
        <v>4563</v>
      </c>
      <c r="H4417" s="1">
        <v>3</v>
      </c>
      <c r="I4417" s="1">
        <v>3</v>
      </c>
      <c r="J4417" s="1">
        <v>3</v>
      </c>
      <c r="K4417" s="2">
        <v>2.0</v>
      </c>
    </row>
    <row r="4418" spans="1:12">
      <c r="A4418" s="3" t="s">
        <v>2194</v>
      </c>
      <c r="B4418" s="3" t="s">
        <v>3663</v>
      </c>
      <c r="C4418" s="3" t="s">
        <v>4533</v>
      </c>
      <c r="D4418" s="3"/>
      <c r="E4418" s="2" t="str">
        <f>HYPERLINK("https://old.ukr-mobil.com/ramka_displeya_huawei_y6p_2020_honor_9a_med-l29_lx9_lx9n_l29n_moa-lx9_lx9n_10004008", "Перейти")</f>
        <v>Перейти</v>
      </c>
      <c r="F4418" s="2">
        <v>10004008</v>
      </c>
      <c r="G4418" s="4" t="s">
        <v>4564</v>
      </c>
      <c r="H4418" s="1">
        <v>1</v>
      </c>
      <c r="I4418" s="1">
        <v>1</v>
      </c>
      <c r="J4418" s="1">
        <v>3</v>
      </c>
      <c r="K4418" s="2">
        <v>3.75</v>
      </c>
    </row>
    <row r="4419" spans="1:12">
      <c r="A4419" s="3" t="s">
        <v>2194</v>
      </c>
      <c r="B4419" s="3" t="s">
        <v>3663</v>
      </c>
      <c r="C4419" s="3" t="s">
        <v>4533</v>
      </c>
      <c r="D4419" s="3"/>
      <c r="E4419" s="2" t="str">
        <f>HYPERLINK("https://old.ukr-mobil.com/ramka_displeya_huawei_y7_2019_dub-lx3_dub-l23_dub-lx1_y7_prime_2019_y7_pro_2019_10004012", "Перейти")</f>
        <v>Перейти</v>
      </c>
      <c r="F4419" s="2">
        <v>10004012</v>
      </c>
      <c r="G4419" s="4" t="s">
        <v>4565</v>
      </c>
      <c r="H4419" s="1">
        <v>0</v>
      </c>
      <c r="I4419" s="1">
        <v>0</v>
      </c>
      <c r="J4419" s="1">
        <v>0</v>
      </c>
      <c r="K4419" s="2">
        <v>3.5</v>
      </c>
    </row>
    <row r="4420" spans="1:12">
      <c r="A4420" s="3" t="s">
        <v>2194</v>
      </c>
      <c r="B4420" s="3" t="s">
        <v>3663</v>
      </c>
      <c r="C4420" s="3" t="s">
        <v>4533</v>
      </c>
      <c r="D4420" s="3"/>
      <c r="E4420" s="2" t="str">
        <f>HYPERLINK("https://old.ukr-mobil.com/ramka_displeya_motorola_e20_xt2155_e30_xt2159_black_10003821", "Перейти")</f>
        <v>Перейти</v>
      </c>
      <c r="F4420" s="2">
        <v>10003821</v>
      </c>
      <c r="G4420" s="4" t="s">
        <v>4566</v>
      </c>
      <c r="H4420" s="1">
        <v>9</v>
      </c>
      <c r="I4420" s="1">
        <v>3</v>
      </c>
      <c r="J4420" s="1">
        <v>3</v>
      </c>
      <c r="K4420" s="2">
        <v>2.5</v>
      </c>
    </row>
    <row r="4421" spans="1:12">
      <c r="A4421" s="3" t="s">
        <v>2194</v>
      </c>
      <c r="B4421" s="3" t="s">
        <v>3663</v>
      </c>
      <c r="C4421" s="3" t="s">
        <v>4533</v>
      </c>
      <c r="D4421" s="3"/>
      <c r="E4421" s="2" t="str">
        <f>HYPERLINK("https://old.ukr-mobil.com/ramka_displeya_motorola_e6s_xt2053_black_10003822", "Перейти")</f>
        <v>Перейти</v>
      </c>
      <c r="F4421" s="2">
        <v>10003822</v>
      </c>
      <c r="G4421" s="4" t="s">
        <v>4567</v>
      </c>
      <c r="H4421" s="1">
        <v>5</v>
      </c>
      <c r="I4421" s="1">
        <v>2</v>
      </c>
      <c r="J4421" s="1">
        <v>2</v>
      </c>
      <c r="K4421" s="2">
        <v>2.5</v>
      </c>
    </row>
    <row r="4422" spans="1:12">
      <c r="A4422" s="3" t="s">
        <v>2194</v>
      </c>
      <c r="B4422" s="3" t="s">
        <v>3663</v>
      </c>
      <c r="C4422" s="3" t="s">
        <v>4533</v>
      </c>
      <c r="D4422" s="3"/>
      <c r="E4422" s="2" t="str">
        <f>HYPERLINK("https://old.ukr-mobil.com/ramka_displeya_motorola_e7_xt2095_black_10003823", "Перейти")</f>
        <v>Перейти</v>
      </c>
      <c r="F4422" s="2">
        <v>10003823</v>
      </c>
      <c r="G4422" s="4" t="s">
        <v>4568</v>
      </c>
      <c r="H4422" s="1">
        <v>2</v>
      </c>
      <c r="I4422" s="1">
        <v>4</v>
      </c>
      <c r="J4422" s="1">
        <v>2</v>
      </c>
      <c r="K4422" s="2">
        <v>2.5</v>
      </c>
    </row>
    <row r="4423" spans="1:12">
      <c r="A4423" s="3" t="s">
        <v>2194</v>
      </c>
      <c r="B4423" s="3" t="s">
        <v>3663</v>
      </c>
      <c r="C4423" s="3" t="s">
        <v>4533</v>
      </c>
      <c r="D4423" s="3"/>
      <c r="E4423" s="2" t="str">
        <f>HYPERLINK("https://old.ukr-mobil.com/ramka_displeya_motorola_e7_power_xt2097_black_10003824", "Перейти")</f>
        <v>Перейти</v>
      </c>
      <c r="F4423" s="2">
        <v>10003824</v>
      </c>
      <c r="G4423" s="4" t="s">
        <v>4569</v>
      </c>
      <c r="H4423" s="1">
        <v>0</v>
      </c>
      <c r="I4423" s="1">
        <v>0</v>
      </c>
      <c r="J4423" s="1">
        <v>0</v>
      </c>
      <c r="K4423" s="2">
        <v>4.95</v>
      </c>
    </row>
    <row r="4424" spans="1:12">
      <c r="A4424" s="3" t="s">
        <v>2194</v>
      </c>
      <c r="B4424" s="3" t="s">
        <v>3663</v>
      </c>
      <c r="C4424" s="3" t="s">
        <v>4533</v>
      </c>
      <c r="D4424" s="3"/>
      <c r="E4424" s="2" t="str">
        <f>HYPERLINK("https://old.ukr-mobil.com/ramka_displeya_motorola_g10_xt2127_g20_xt2128_black_10003825", "Перейти")</f>
        <v>Перейти</v>
      </c>
      <c r="F4424" s="2">
        <v>10003825</v>
      </c>
      <c r="G4424" s="4" t="s">
        <v>4570</v>
      </c>
      <c r="H4424" s="1">
        <v>6</v>
      </c>
      <c r="I4424" s="1">
        <v>0</v>
      </c>
      <c r="J4424" s="1">
        <v>4</v>
      </c>
      <c r="K4424" s="2">
        <v>2.5</v>
      </c>
    </row>
    <row r="4425" spans="1:12">
      <c r="A4425" s="3" t="s">
        <v>2194</v>
      </c>
      <c r="B4425" s="3" t="s">
        <v>3663</v>
      </c>
      <c r="C4425" s="3" t="s">
        <v>4533</v>
      </c>
      <c r="D4425" s="3"/>
      <c r="E4425" s="2" t="str">
        <f>HYPERLINK("https://old.ukr-mobil.com/ramka_displeya_motorola_g22_xt2231_black_10003832", "Перейти")</f>
        <v>Перейти</v>
      </c>
      <c r="F4425" s="2">
        <v>10003832</v>
      </c>
      <c r="G4425" s="4" t="s">
        <v>4571</v>
      </c>
      <c r="H4425" s="1">
        <v>0</v>
      </c>
      <c r="I4425" s="1">
        <v>0</v>
      </c>
      <c r="J4425" s="1">
        <v>0</v>
      </c>
      <c r="K4425" s="2">
        <v>5.35</v>
      </c>
    </row>
    <row r="4426" spans="1:12">
      <c r="A4426" s="3" t="s">
        <v>2194</v>
      </c>
      <c r="B4426" s="3" t="s">
        <v>3663</v>
      </c>
      <c r="C4426" s="3" t="s">
        <v>4533</v>
      </c>
      <c r="D4426" s="3"/>
      <c r="E4426" s="2" t="str">
        <f>HYPERLINK("https://old.ukr-mobil.com/index.php?route=product&amp;product_id=10004784", "Перейти")</f>
        <v>Перейти</v>
      </c>
      <c r="F4426" s="2">
        <v>10004784</v>
      </c>
      <c r="G4426" s="4" t="s">
        <v>4572</v>
      </c>
      <c r="H4426" s="1">
        <v>0</v>
      </c>
      <c r="I4426" s="1">
        <v>0</v>
      </c>
      <c r="J4426" s="1">
        <v>0</v>
      </c>
      <c r="K4426" s="2">
        <v>4.5</v>
      </c>
    </row>
    <row r="4427" spans="1:12">
      <c r="A4427" s="3" t="s">
        <v>2194</v>
      </c>
      <c r="B4427" s="3" t="s">
        <v>3663</v>
      </c>
      <c r="C4427" s="3" t="s">
        <v>4533</v>
      </c>
      <c r="D4427" s="3"/>
      <c r="E4427" s="2" t="str">
        <f>HYPERLINK("https://old.ukr-mobil.com/ramka_displeya_motorola_g60_xt2135-2_xt2135_g40_fusion_black_10003833", "Перейти")</f>
        <v>Перейти</v>
      </c>
      <c r="F4427" s="2">
        <v>10003833</v>
      </c>
      <c r="G4427" s="4" t="s">
        <v>4573</v>
      </c>
      <c r="H4427" s="1">
        <v>6</v>
      </c>
      <c r="I4427" s="1">
        <v>1</v>
      </c>
      <c r="J4427" s="1">
        <v>6</v>
      </c>
      <c r="K4427" s="2">
        <v>2.5</v>
      </c>
    </row>
    <row r="4428" spans="1:12">
      <c r="A4428" s="3" t="s">
        <v>2194</v>
      </c>
      <c r="B4428" s="3" t="s">
        <v>3663</v>
      </c>
      <c r="C4428" s="3" t="s">
        <v>4533</v>
      </c>
      <c r="D4428" s="3"/>
      <c r="E4428" s="2" t="str">
        <f>HYPERLINK("https://old.ukr-mobil.com/ramka_displeya_motorola_g8_xt2045_black_10003834", "Перейти")</f>
        <v>Перейти</v>
      </c>
      <c r="F4428" s="2">
        <v>10003834</v>
      </c>
      <c r="G4428" s="4" t="s">
        <v>4574</v>
      </c>
      <c r="H4428" s="1">
        <v>3</v>
      </c>
      <c r="I4428" s="1">
        <v>2</v>
      </c>
      <c r="J4428" s="1">
        <v>2</v>
      </c>
      <c r="K4428" s="2">
        <v>2.5</v>
      </c>
    </row>
    <row r="4429" spans="1:12">
      <c r="A4429" s="3" t="s">
        <v>2194</v>
      </c>
      <c r="B4429" s="3" t="s">
        <v>3663</v>
      </c>
      <c r="C4429" s="3" t="s">
        <v>4533</v>
      </c>
      <c r="D4429" s="3"/>
      <c r="E4429" s="2" t="str">
        <f>HYPERLINK("https://old.ukr-mobil.com/ramka_displeya_motorola_g8_play_xt2015_black_onyx_10003835", "Перейти")</f>
        <v>Перейти</v>
      </c>
      <c r="F4429" s="2">
        <v>10003835</v>
      </c>
      <c r="G4429" s="4" t="s">
        <v>4575</v>
      </c>
      <c r="H4429" s="1">
        <v>5</v>
      </c>
      <c r="I4429" s="1">
        <v>3</v>
      </c>
      <c r="J4429" s="1">
        <v>2</v>
      </c>
      <c r="K4429" s="2">
        <v>3.0</v>
      </c>
    </row>
    <row r="4430" spans="1:12">
      <c r="A4430" s="3" t="s">
        <v>2194</v>
      </c>
      <c r="B4430" s="3" t="s">
        <v>3663</v>
      </c>
      <c r="C4430" s="3" t="s">
        <v>4533</v>
      </c>
      <c r="D4430" s="3"/>
      <c r="E4430" s="2" t="str">
        <f>HYPERLINK("https://old.ukr-mobil.com/ramka_displeya_motorola_g8_play_xt2015_magenta_red_10003836", "Перейти")</f>
        <v>Перейти</v>
      </c>
      <c r="F4430" s="2">
        <v>10003836</v>
      </c>
      <c r="G4430" s="4" t="s">
        <v>4576</v>
      </c>
      <c r="H4430" s="1">
        <v>5</v>
      </c>
      <c r="I4430" s="1">
        <v>3</v>
      </c>
      <c r="J4430" s="1">
        <v>2</v>
      </c>
      <c r="K4430" s="2">
        <v>3.0</v>
      </c>
    </row>
    <row r="4431" spans="1:12">
      <c r="A4431" s="3" t="s">
        <v>2194</v>
      </c>
      <c r="B4431" s="3" t="s">
        <v>3663</v>
      </c>
      <c r="C4431" s="3" t="s">
        <v>4533</v>
      </c>
      <c r="D4431" s="3"/>
      <c r="E4431" s="2" t="str">
        <f>HYPERLINK("https://old.ukr-mobil.com/ramka_displeya_motorola_g8_plus_xt2019_cosmic_blue_10003837", "Перейти")</f>
        <v>Перейти</v>
      </c>
      <c r="F4431" s="2">
        <v>10003837</v>
      </c>
      <c r="G4431" s="4" t="s">
        <v>4577</v>
      </c>
      <c r="H4431" s="1">
        <v>3</v>
      </c>
      <c r="I4431" s="1">
        <v>2</v>
      </c>
      <c r="J4431" s="1">
        <v>2</v>
      </c>
      <c r="K4431" s="2">
        <v>3.0</v>
      </c>
    </row>
    <row r="4432" spans="1:12">
      <c r="A4432" s="3" t="s">
        <v>2194</v>
      </c>
      <c r="B4432" s="3" t="s">
        <v>3663</v>
      </c>
      <c r="C4432" s="3" t="s">
        <v>4533</v>
      </c>
      <c r="D4432" s="3"/>
      <c r="E4432" s="2" t="str">
        <f>HYPERLINK("https://old.ukr-mobil.com/ramka_displeya_motorola_g8_plus_xt2019_crystal_pink_10003838", "Перейти")</f>
        <v>Перейти</v>
      </c>
      <c r="F4432" s="2">
        <v>10003838</v>
      </c>
      <c r="G4432" s="4" t="s">
        <v>4578</v>
      </c>
      <c r="H4432" s="1">
        <v>5</v>
      </c>
      <c r="I4432" s="1">
        <v>3</v>
      </c>
      <c r="J4432" s="1">
        <v>2</v>
      </c>
      <c r="K4432" s="2">
        <v>3.0</v>
      </c>
    </row>
    <row r="4433" spans="1:12">
      <c r="A4433" s="3" t="s">
        <v>2194</v>
      </c>
      <c r="B4433" s="3" t="s">
        <v>3663</v>
      </c>
      <c r="C4433" s="3" t="s">
        <v>4533</v>
      </c>
      <c r="D4433" s="3"/>
      <c r="E4433" s="2" t="str">
        <f>HYPERLINK("https://old.ukr-mobil.com/ramka_displeya_motorola_g8_power_xt2041-1_xt2041-3_capri_blue_10003840", "Перейти")</f>
        <v>Перейти</v>
      </c>
      <c r="F4433" s="2">
        <v>10003840</v>
      </c>
      <c r="G4433" s="4" t="s">
        <v>4579</v>
      </c>
      <c r="H4433" s="1">
        <v>4</v>
      </c>
      <c r="I4433" s="1">
        <v>1</v>
      </c>
      <c r="J4433" s="1">
        <v>1</v>
      </c>
      <c r="K4433" s="2">
        <v>3.0</v>
      </c>
    </row>
    <row r="4434" spans="1:12">
      <c r="A4434" s="3" t="s">
        <v>2194</v>
      </c>
      <c r="B4434" s="3" t="s">
        <v>3663</v>
      </c>
      <c r="C4434" s="3" t="s">
        <v>4533</v>
      </c>
      <c r="D4434" s="3"/>
      <c r="E4434" s="2" t="str">
        <f>HYPERLINK("https://old.ukr-mobil.com/ramka_displeya_motorola_g8_power_xt2041-1_xt2041-3_smoke_black_10003839", "Перейти")</f>
        <v>Перейти</v>
      </c>
      <c r="F4434" s="2">
        <v>10003839</v>
      </c>
      <c r="G4434" s="4" t="s">
        <v>4580</v>
      </c>
      <c r="H4434" s="1">
        <v>3</v>
      </c>
      <c r="I4434" s="1">
        <v>2</v>
      </c>
      <c r="J4434" s="1">
        <v>1</v>
      </c>
      <c r="K4434" s="2">
        <v>3.0</v>
      </c>
    </row>
    <row r="4435" spans="1:12">
      <c r="A4435" s="3" t="s">
        <v>2194</v>
      </c>
      <c r="B4435" s="3" t="s">
        <v>3663</v>
      </c>
      <c r="C4435" s="3" t="s">
        <v>4533</v>
      </c>
      <c r="D4435" s="3"/>
      <c r="E4435" s="2" t="str">
        <f>HYPERLINK("https://old.ukr-mobil.com/ramka_displeya_motorola_g8_power_lite_xt2055_black_10003843", "Перейти")</f>
        <v>Перейти</v>
      </c>
      <c r="F4435" s="2">
        <v>10003843</v>
      </c>
      <c r="G4435" s="4" t="s">
        <v>4581</v>
      </c>
      <c r="H4435" s="1">
        <v>4</v>
      </c>
      <c r="I4435" s="1">
        <v>3</v>
      </c>
      <c r="J4435" s="1">
        <v>1</v>
      </c>
      <c r="K4435" s="2">
        <v>2.8</v>
      </c>
    </row>
    <row r="4436" spans="1:12">
      <c r="A4436" s="3" t="s">
        <v>2194</v>
      </c>
      <c r="B4436" s="3" t="s">
        <v>3663</v>
      </c>
      <c r="C4436" s="3" t="s">
        <v>4533</v>
      </c>
      <c r="D4436" s="3"/>
      <c r="E4436" s="2" t="str">
        <f>HYPERLINK("https://old.ukr-mobil.com/ramka_displeya_motorola_g9_plus_xt2087_black_10003844", "Перейти")</f>
        <v>Перейти</v>
      </c>
      <c r="F4436" s="2">
        <v>10003844</v>
      </c>
      <c r="G4436" s="4" t="s">
        <v>4582</v>
      </c>
      <c r="H4436" s="1">
        <v>3</v>
      </c>
      <c r="I4436" s="1">
        <v>3</v>
      </c>
      <c r="J4436" s="1">
        <v>2</v>
      </c>
      <c r="K4436" s="2">
        <v>2.8</v>
      </c>
    </row>
    <row r="4437" spans="1:12">
      <c r="A4437" s="3" t="s">
        <v>2194</v>
      </c>
      <c r="B4437" s="3" t="s">
        <v>3663</v>
      </c>
      <c r="C4437" s="3" t="s">
        <v>4533</v>
      </c>
      <c r="D4437" s="3"/>
      <c r="E4437" s="2" t="str">
        <f>HYPERLINK("https://old.ukr-mobil.com/ramka_displeya_motorola_one_action_xt2013-2_blue_10003841", "Перейти")</f>
        <v>Перейти</v>
      </c>
      <c r="F4437" s="2">
        <v>10003841</v>
      </c>
      <c r="G4437" s="4" t="s">
        <v>4583</v>
      </c>
      <c r="H4437" s="1">
        <v>2</v>
      </c>
      <c r="I4437" s="1">
        <v>1</v>
      </c>
      <c r="J4437" s="1">
        <v>1</v>
      </c>
      <c r="K4437" s="2">
        <v>3.0</v>
      </c>
    </row>
    <row r="4438" spans="1:12">
      <c r="A4438" s="3" t="s">
        <v>2194</v>
      </c>
      <c r="B4438" s="3" t="s">
        <v>3663</v>
      </c>
      <c r="C4438" s="3" t="s">
        <v>4533</v>
      </c>
      <c r="D4438" s="3"/>
      <c r="E4438" s="2" t="str">
        <f>HYPERLINK("https://old.ukr-mobil.com/ramka_displeya_motorola_one_action_xt2013-2_white_10003842", "Перейти")</f>
        <v>Перейти</v>
      </c>
      <c r="F4438" s="2">
        <v>10003842</v>
      </c>
      <c r="G4438" s="4" t="s">
        <v>4584</v>
      </c>
      <c r="H4438" s="1">
        <v>1</v>
      </c>
      <c r="I4438" s="1">
        <v>1</v>
      </c>
      <c r="J4438" s="1">
        <v>0</v>
      </c>
      <c r="K4438" s="2">
        <v>3.0</v>
      </c>
    </row>
    <row r="4439" spans="1:12">
      <c r="A4439" s="3" t="s">
        <v>2194</v>
      </c>
      <c r="B4439" s="3" t="s">
        <v>3663</v>
      </c>
      <c r="C4439" s="3" t="s">
        <v>4533</v>
      </c>
      <c r="D4439" s="3"/>
      <c r="E4439" s="2" t="str">
        <f>HYPERLINK("https://old.ukr-mobil.com/ramka_displeya_nokia_2_3_ta-1211_ta-1214_ta-1206_ta-1209_black_10003855", "Перейти")</f>
        <v>Перейти</v>
      </c>
      <c r="F4439" s="2">
        <v>10003855</v>
      </c>
      <c r="G4439" s="4" t="s">
        <v>4585</v>
      </c>
      <c r="H4439" s="1">
        <v>0</v>
      </c>
      <c r="I4439" s="1">
        <v>0</v>
      </c>
      <c r="J4439" s="1">
        <v>0</v>
      </c>
      <c r="K4439" s="2">
        <v>6.5</v>
      </c>
    </row>
    <row r="4440" spans="1:12">
      <c r="A4440" s="3" t="s">
        <v>2194</v>
      </c>
      <c r="B4440" s="3" t="s">
        <v>3663</v>
      </c>
      <c r="C4440" s="3" t="s">
        <v>4533</v>
      </c>
      <c r="D4440" s="3"/>
      <c r="E4440" s="2" t="str">
        <f>HYPERLINK("https://old.ukr-mobil.com/ramka_displeya_nokia_3_1_plus_ta-1104_ta-1113_ta-1117_ta-1118_ta-1124_ta-1125_black_10003857", "Перейти")</f>
        <v>Перейти</v>
      </c>
      <c r="F4440" s="2">
        <v>10003857</v>
      </c>
      <c r="G4440" s="4" t="s">
        <v>4586</v>
      </c>
      <c r="H4440" s="1">
        <v>1</v>
      </c>
      <c r="I4440" s="1">
        <v>2</v>
      </c>
      <c r="J4440" s="1">
        <v>2</v>
      </c>
      <c r="K4440" s="2">
        <v>3.2</v>
      </c>
    </row>
    <row r="4441" spans="1:12">
      <c r="A4441" s="3" t="s">
        <v>2194</v>
      </c>
      <c r="B4441" s="3" t="s">
        <v>3663</v>
      </c>
      <c r="C4441" s="3" t="s">
        <v>4533</v>
      </c>
      <c r="D4441" s="3"/>
      <c r="E4441" s="2" t="str">
        <f>HYPERLINK("https://old.ukr-mobil.com/ramka_displeya_nokia_3_2_ta-1156_ta-1164_black_10003858", "Перейти")</f>
        <v>Перейти</v>
      </c>
      <c r="F4441" s="2">
        <v>10003858</v>
      </c>
      <c r="G4441" s="4" t="s">
        <v>4587</v>
      </c>
      <c r="H4441" s="1">
        <v>0</v>
      </c>
      <c r="I4441" s="1">
        <v>0</v>
      </c>
      <c r="J4441" s="1">
        <v>1</v>
      </c>
      <c r="K4441" s="2">
        <v>5.5</v>
      </c>
    </row>
    <row r="4442" spans="1:12">
      <c r="A4442" s="3" t="s">
        <v>2194</v>
      </c>
      <c r="B4442" s="3" t="s">
        <v>3663</v>
      </c>
      <c r="C4442" s="3" t="s">
        <v>4533</v>
      </c>
      <c r="D4442" s="3"/>
      <c r="E4442" s="2" t="str">
        <f>HYPERLINK("https://old.ukr-mobil.com/ramka_displeya_nokia_3_4_ta-1283_black_10003860", "Перейти")</f>
        <v>Перейти</v>
      </c>
      <c r="F4442" s="2">
        <v>10003860</v>
      </c>
      <c r="G4442" s="4" t="s">
        <v>4588</v>
      </c>
      <c r="H4442" s="1">
        <v>0</v>
      </c>
      <c r="I4442" s="1">
        <v>0</v>
      </c>
      <c r="J4442" s="1">
        <v>0</v>
      </c>
      <c r="K4442" s="2">
        <v>7.0</v>
      </c>
    </row>
    <row r="4443" spans="1:12">
      <c r="A4443" s="3" t="s">
        <v>2194</v>
      </c>
      <c r="B4443" s="3" t="s">
        <v>3663</v>
      </c>
      <c r="C4443" s="3" t="s">
        <v>4533</v>
      </c>
      <c r="D4443" s="3"/>
      <c r="E4443" s="2" t="str">
        <f>HYPERLINK("https://old.ukr-mobil.com/ramka_displeya_nokia_6_2_ta-1187_ta-1198_ta-1200_nokia_7_2_ta-1178_ta-1181_ta-1193_black_10004081", "Перейти")</f>
        <v>Перейти</v>
      </c>
      <c r="F4443" s="2">
        <v>10004081</v>
      </c>
      <c r="G4443" s="4" t="s">
        <v>4589</v>
      </c>
      <c r="H4443" s="1">
        <v>0</v>
      </c>
      <c r="I4443" s="1">
        <v>0</v>
      </c>
      <c r="J4443" s="1">
        <v>0</v>
      </c>
      <c r="K4443" s="2">
        <v>7.0</v>
      </c>
    </row>
    <row r="4444" spans="1:12">
      <c r="A4444" s="3" t="s">
        <v>2194</v>
      </c>
      <c r="B4444" s="3" t="s">
        <v>3663</v>
      </c>
      <c r="C4444" s="3" t="s">
        <v>4533</v>
      </c>
      <c r="D4444" s="3"/>
      <c r="E4444" s="2" t="str">
        <f>HYPERLINK("https://old.ukr-mobil.com/ramka_displeya_nokia_6_2_ta-1187_ta-1198_ta-1200_nokia_7_2_ta-1178_ta-1181_ta-1193_silver_10004082", "Перейти")</f>
        <v>Перейти</v>
      </c>
      <c r="F4444" s="2">
        <v>10004082</v>
      </c>
      <c r="G4444" s="4" t="s">
        <v>4590</v>
      </c>
      <c r="H4444" s="1">
        <v>0</v>
      </c>
      <c r="I4444" s="1">
        <v>0</v>
      </c>
      <c r="J4444" s="1">
        <v>0</v>
      </c>
      <c r="K4444" s="2">
        <v>7.0</v>
      </c>
    </row>
    <row r="4445" spans="1:12">
      <c r="A4445" s="3" t="s">
        <v>2194</v>
      </c>
      <c r="B4445" s="3" t="s">
        <v>3663</v>
      </c>
      <c r="C4445" s="3" t="s">
        <v>4533</v>
      </c>
      <c r="D4445" s="3"/>
      <c r="E4445" s="2" t="str">
        <f>HYPERLINK("https://old.ukr-mobil.com/ramka_displeya_nokia_7_plus_ta-1046_ta-1055_black_10003861", "Перейти")</f>
        <v>Перейти</v>
      </c>
      <c r="F4445" s="2">
        <v>10003861</v>
      </c>
      <c r="G4445" s="4" t="s">
        <v>4591</v>
      </c>
      <c r="H4445" s="1">
        <v>1</v>
      </c>
      <c r="I4445" s="1">
        <v>1</v>
      </c>
      <c r="J4445" s="1">
        <v>0</v>
      </c>
      <c r="K4445" s="2">
        <v>3.0</v>
      </c>
    </row>
    <row r="4446" spans="1:12">
      <c r="A4446" s="3" t="s">
        <v>2194</v>
      </c>
      <c r="B4446" s="3" t="s">
        <v>3663</v>
      </c>
      <c r="C4446" s="3" t="s">
        <v>4533</v>
      </c>
      <c r="D4446" s="3"/>
      <c r="E4446" s="2" t="str">
        <f>HYPERLINK("https://old.ukr-mobil.com/ramka_displeya_nokia_c21_plus_ta-1424_black_10003859", "Перейти")</f>
        <v>Перейти</v>
      </c>
      <c r="F4446" s="2">
        <v>10003859</v>
      </c>
      <c r="G4446" s="4" t="s">
        <v>4592</v>
      </c>
      <c r="H4446" s="1">
        <v>0</v>
      </c>
      <c r="I4446" s="1">
        <v>0</v>
      </c>
      <c r="J4446" s="1">
        <v>0</v>
      </c>
      <c r="K4446" s="2">
        <v>7.5</v>
      </c>
    </row>
    <row r="4447" spans="1:12">
      <c r="A4447" s="3" t="s">
        <v>2194</v>
      </c>
      <c r="B4447" s="3" t="s">
        <v>3663</v>
      </c>
      <c r="C4447" s="3" t="s">
        <v>4533</v>
      </c>
      <c r="D4447" s="3"/>
      <c r="E4447" s="2" t="str">
        <f>HYPERLINK("https://old.ukr-mobil.com/ramka_displeya_nokia_c30_ta-1357_ta-1377_ta-1369_ta-1360_ta-1359_black_10003856", "Перейти")</f>
        <v>Перейти</v>
      </c>
      <c r="F4447" s="2">
        <v>10003856</v>
      </c>
      <c r="G4447" s="4" t="s">
        <v>4593</v>
      </c>
      <c r="H4447" s="1">
        <v>0</v>
      </c>
      <c r="I4447" s="1">
        <v>0</v>
      </c>
      <c r="J4447" s="1">
        <v>0</v>
      </c>
      <c r="K4447" s="2">
        <v>7.0</v>
      </c>
    </row>
    <row r="4448" spans="1:12">
      <c r="A4448" s="3" t="s">
        <v>2194</v>
      </c>
      <c r="B4448" s="3" t="s">
        <v>3663</v>
      </c>
      <c r="C4448" s="3" t="s">
        <v>4533</v>
      </c>
      <c r="D4448" s="3"/>
      <c r="E4448" s="2" t="str">
        <f>HYPERLINK("https://old.ukr-mobil.com/ramka_displeya_oneplus_9_astral_black_10004094", "Перейти")</f>
        <v>Перейти</v>
      </c>
      <c r="F4448" s="2">
        <v>10004094</v>
      </c>
      <c r="G4448" s="4" t="s">
        <v>4594</v>
      </c>
      <c r="H4448" s="1">
        <v>0</v>
      </c>
      <c r="I4448" s="1">
        <v>0</v>
      </c>
      <c r="J4448" s="1">
        <v>0</v>
      </c>
      <c r="K4448" s="2">
        <v>18.0</v>
      </c>
    </row>
    <row r="4449" spans="1:12">
      <c r="A4449" s="3" t="s">
        <v>2194</v>
      </c>
      <c r="B4449" s="3" t="s">
        <v>3663</v>
      </c>
      <c r="C4449" s="3" t="s">
        <v>4533</v>
      </c>
      <c r="D4449" s="3"/>
      <c r="E4449" s="2" t="str">
        <f>HYPERLINK("https://old.ukr-mobil.com/ramka_displeya_oppo_a12_a12s_a5s_a7_realme_3_realme_3i_10004014", "Перейти")</f>
        <v>Перейти</v>
      </c>
      <c r="F4449" s="2">
        <v>10004014</v>
      </c>
      <c r="G4449" s="4" t="s">
        <v>4595</v>
      </c>
      <c r="H4449" s="1">
        <v>0</v>
      </c>
      <c r="I4449" s="1">
        <v>0</v>
      </c>
      <c r="J4449" s="1">
        <v>0</v>
      </c>
      <c r="K4449" s="2">
        <v>2.65</v>
      </c>
    </row>
    <row r="4450" spans="1:12">
      <c r="A4450" s="3" t="s">
        <v>2194</v>
      </c>
      <c r="B4450" s="3" t="s">
        <v>3663</v>
      </c>
      <c r="C4450" s="3" t="s">
        <v>4533</v>
      </c>
      <c r="D4450" s="3"/>
      <c r="E4450" s="2" t="str">
        <f>HYPERLINK("https://old.ukr-mobil.com/ramka_displeya_oppo_a15_2020_a15s_10004013", "Перейти")</f>
        <v>Перейти</v>
      </c>
      <c r="F4450" s="2">
        <v>10004013</v>
      </c>
      <c r="G4450" s="4" t="s">
        <v>4596</v>
      </c>
      <c r="H4450" s="1">
        <v>0</v>
      </c>
      <c r="I4450" s="1">
        <v>0</v>
      </c>
      <c r="J4450" s="1">
        <v>0</v>
      </c>
      <c r="K4450" s="2">
        <v>3.15</v>
      </c>
    </row>
    <row r="4451" spans="1:12">
      <c r="A4451" s="3" t="s">
        <v>2194</v>
      </c>
      <c r="B4451" s="3" t="s">
        <v>3663</v>
      </c>
      <c r="C4451" s="3" t="s">
        <v>4533</v>
      </c>
      <c r="D4451" s="3"/>
      <c r="E4451" s="2" t="str">
        <f>HYPERLINK("https://old.ukr-mobil.com/ramka_displeya_oppo_a31_a31_2020_a8_10004015", "Перейти")</f>
        <v>Перейти</v>
      </c>
      <c r="F4451" s="2">
        <v>10004015</v>
      </c>
      <c r="G4451" s="4" t="s">
        <v>4597</v>
      </c>
      <c r="H4451" s="1">
        <v>0</v>
      </c>
      <c r="I4451" s="1">
        <v>1</v>
      </c>
      <c r="J4451" s="1">
        <v>0</v>
      </c>
      <c r="K4451" s="2">
        <v>3.35</v>
      </c>
    </row>
    <row r="4452" spans="1:12">
      <c r="A4452" s="3" t="s">
        <v>2194</v>
      </c>
      <c r="B4452" s="3" t="s">
        <v>3663</v>
      </c>
      <c r="C4452" s="3" t="s">
        <v>4533</v>
      </c>
      <c r="D4452" s="3"/>
      <c r="E4452" s="2" t="str">
        <f>HYPERLINK("https://old.ukr-mobil.com/ramka_displeya_oppo_a32_2020_a53_4g_10004016", "Перейти")</f>
        <v>Перейти</v>
      </c>
      <c r="F4452" s="2">
        <v>10004016</v>
      </c>
      <c r="G4452" s="4" t="s">
        <v>4598</v>
      </c>
      <c r="H4452" s="1">
        <v>0</v>
      </c>
      <c r="I4452" s="1">
        <v>0</v>
      </c>
      <c r="J4452" s="1">
        <v>0</v>
      </c>
      <c r="K4452" s="2">
        <v>3.5</v>
      </c>
    </row>
    <row r="4453" spans="1:12">
      <c r="A4453" s="3" t="s">
        <v>2194</v>
      </c>
      <c r="B4453" s="3" t="s">
        <v>3663</v>
      </c>
      <c r="C4453" s="3" t="s">
        <v>4533</v>
      </c>
      <c r="D4453" s="3"/>
      <c r="E4453" s="2" t="str">
        <f>HYPERLINK("https://old.ukr-mobil.com/ramka_displeya_oppo_a5_2020_a9_2020_10004508", "Перейти")</f>
        <v>Перейти</v>
      </c>
      <c r="F4453" s="2">
        <v>10004508</v>
      </c>
      <c r="G4453" s="4" t="s">
        <v>4599</v>
      </c>
      <c r="H4453" s="1">
        <v>5</v>
      </c>
      <c r="I4453" s="1">
        <v>2</v>
      </c>
      <c r="J4453" s="1">
        <v>0</v>
      </c>
      <c r="K4453" s="2">
        <v>2.5</v>
      </c>
    </row>
    <row r="4454" spans="1:12">
      <c r="A4454" s="3" t="s">
        <v>2194</v>
      </c>
      <c r="B4454" s="3" t="s">
        <v>3663</v>
      </c>
      <c r="C4454" s="3" t="s">
        <v>4533</v>
      </c>
      <c r="D4454" s="3"/>
      <c r="E4454" s="2" t="str">
        <f>HYPERLINK("https://old.ukr-mobil.com/ramka_displeya_oppo_a52_a72_a92_10003991", "Перейти")</f>
        <v>Перейти</v>
      </c>
      <c r="F4454" s="2">
        <v>10003991</v>
      </c>
      <c r="G4454" s="4" t="s">
        <v>4600</v>
      </c>
      <c r="H4454" s="1">
        <v>1</v>
      </c>
      <c r="I4454" s="1">
        <v>0</v>
      </c>
      <c r="J4454" s="1">
        <v>0</v>
      </c>
      <c r="K4454" s="2">
        <v>4.35</v>
      </c>
    </row>
    <row r="4455" spans="1:12">
      <c r="A4455" s="3" t="s">
        <v>2194</v>
      </c>
      <c r="B4455" s="3" t="s">
        <v>3663</v>
      </c>
      <c r="C4455" s="3" t="s">
        <v>4533</v>
      </c>
      <c r="D4455" s="3"/>
      <c r="E4455" s="2" t="str">
        <f>HYPERLINK("https://old.ukr-mobil.com/ramka_displeya_oppo_a54_4g_10003997", "Перейти")</f>
        <v>Перейти</v>
      </c>
      <c r="F4455" s="2">
        <v>10003997</v>
      </c>
      <c r="G4455" s="4" t="s">
        <v>4601</v>
      </c>
      <c r="H4455" s="1">
        <v>2</v>
      </c>
      <c r="I4455" s="1">
        <v>0</v>
      </c>
      <c r="J4455" s="1">
        <v>1</v>
      </c>
      <c r="K4455" s="2">
        <v>4.35</v>
      </c>
    </row>
    <row r="4456" spans="1:12">
      <c r="A4456" s="3" t="s">
        <v>2194</v>
      </c>
      <c r="B4456" s="3" t="s">
        <v>3663</v>
      </c>
      <c r="C4456" s="3" t="s">
        <v>4533</v>
      </c>
      <c r="D4456" s="3"/>
      <c r="E4456" s="2" t="str">
        <f>HYPERLINK("https://old.ukr-mobil.com/ramka_displeya_oppo_a55_5g_10004507", "Перейти")</f>
        <v>Перейти</v>
      </c>
      <c r="F4456" s="2">
        <v>10004507</v>
      </c>
      <c r="G4456" s="4" t="s">
        <v>4602</v>
      </c>
      <c r="H4456" s="1">
        <v>7</v>
      </c>
      <c r="I4456" s="1">
        <v>3</v>
      </c>
      <c r="J4456" s="1">
        <v>0</v>
      </c>
      <c r="K4456" s="2">
        <v>4.35</v>
      </c>
    </row>
    <row r="4457" spans="1:12">
      <c r="A4457" s="3" t="s">
        <v>2194</v>
      </c>
      <c r="B4457" s="3" t="s">
        <v>3663</v>
      </c>
      <c r="C4457" s="3" t="s">
        <v>4533</v>
      </c>
      <c r="D4457" s="3"/>
      <c r="E4457" s="2" t="str">
        <f>HYPERLINK("https://old.ukr-mobil.com/ramka_displeya_oppo_realme_8_realme_8_pro_10004020", "Перейти")</f>
        <v>Перейти</v>
      </c>
      <c r="F4457" s="2">
        <v>10004020</v>
      </c>
      <c r="G4457" s="4" t="s">
        <v>4603</v>
      </c>
      <c r="H4457" s="1">
        <v>25</v>
      </c>
      <c r="I4457" s="1">
        <v>0</v>
      </c>
      <c r="J4457" s="1">
        <v>2</v>
      </c>
      <c r="K4457" s="2">
        <v>2.5</v>
      </c>
    </row>
    <row r="4458" spans="1:12">
      <c r="A4458" s="3" t="s">
        <v>2194</v>
      </c>
      <c r="B4458" s="3" t="s">
        <v>3663</v>
      </c>
      <c r="C4458" s="3" t="s">
        <v>4533</v>
      </c>
      <c r="D4458" s="3"/>
      <c r="E4458" s="2" t="str">
        <f>HYPERLINK("https://old.ukr-mobil.com/ramka_displeya_oppo_realme_8i_10003959", "Перейти")</f>
        <v>Перейти</v>
      </c>
      <c r="F4458" s="2">
        <v>10003959</v>
      </c>
      <c r="G4458" s="4" t="s">
        <v>4604</v>
      </c>
      <c r="H4458" s="1">
        <v>3</v>
      </c>
      <c r="I4458" s="1">
        <v>2</v>
      </c>
      <c r="J4458" s="1">
        <v>2</v>
      </c>
      <c r="K4458" s="2">
        <v>2.8</v>
      </c>
    </row>
    <row r="4459" spans="1:12">
      <c r="A4459" s="3" t="s">
        <v>2194</v>
      </c>
      <c r="B4459" s="3" t="s">
        <v>3663</v>
      </c>
      <c r="C4459" s="3" t="s">
        <v>4533</v>
      </c>
      <c r="D4459" s="3"/>
      <c r="E4459" s="2" t="str">
        <f>HYPERLINK("https://old.ukr-mobil.com/ramka_displeya_oppo_realme_c11_2021_realme_c20_realme_c20a_realme_c21_10003977", "Перейти")</f>
        <v>Перейти</v>
      </c>
      <c r="F4459" s="2">
        <v>10003977</v>
      </c>
      <c r="G4459" s="4" t="s">
        <v>4605</v>
      </c>
      <c r="H4459" s="1">
        <v>0</v>
      </c>
      <c r="I4459" s="1">
        <v>0</v>
      </c>
      <c r="J4459" s="1">
        <v>0</v>
      </c>
      <c r="K4459" s="2">
        <v>3.85</v>
      </c>
    </row>
    <row r="4460" spans="1:12">
      <c r="A4460" s="3" t="s">
        <v>2194</v>
      </c>
      <c r="B4460" s="3" t="s">
        <v>3663</v>
      </c>
      <c r="C4460" s="3" t="s">
        <v>4533</v>
      </c>
      <c r="D4460" s="3"/>
      <c r="E4460" s="2" t="str">
        <f>HYPERLINK("https://old.ukr-mobil.com/ramka_displeya_oppo_reno_5_lite_10004303", "Перейти")</f>
        <v>Перейти</v>
      </c>
      <c r="F4460" s="2">
        <v>10004303</v>
      </c>
      <c r="G4460" s="4" t="s">
        <v>4606</v>
      </c>
      <c r="H4460" s="1">
        <v>0</v>
      </c>
      <c r="I4460" s="1">
        <v>0</v>
      </c>
      <c r="J4460" s="1">
        <v>0</v>
      </c>
      <c r="K4460" s="2">
        <v>4.0</v>
      </c>
    </row>
    <row r="4461" spans="1:12">
      <c r="A4461" s="3" t="s">
        <v>2194</v>
      </c>
      <c r="B4461" s="3" t="s">
        <v>3663</v>
      </c>
      <c r="C4461" s="3" t="s">
        <v>4533</v>
      </c>
      <c r="D4461" s="3"/>
      <c r="E4461" s="2" t="str">
        <f>HYPERLINK("https://old.ukr-mobil.com/ramka_displeya_realme_c21y_realme_c25y_10004001", "Перейти")</f>
        <v>Перейти</v>
      </c>
      <c r="F4461" s="2">
        <v>10004001</v>
      </c>
      <c r="G4461" s="4" t="s">
        <v>4607</v>
      </c>
      <c r="H4461" s="1">
        <v>0</v>
      </c>
      <c r="I4461" s="1">
        <v>0</v>
      </c>
      <c r="J4461" s="1">
        <v>0</v>
      </c>
      <c r="K4461" s="2">
        <v>3.75</v>
      </c>
    </row>
    <row r="4462" spans="1:12">
      <c r="A4462" s="3" t="s">
        <v>2194</v>
      </c>
      <c r="B4462" s="3" t="s">
        <v>3663</v>
      </c>
      <c r="C4462" s="3" t="s">
        <v>4533</v>
      </c>
      <c r="D4462" s="3"/>
      <c r="E4462" s="2" t="str">
        <f>HYPERLINK("https://old.ukr-mobil.com/ramka_displeya_samsung_a022_galaxy_a02_10004114", "Перейти")</f>
        <v>Перейти</v>
      </c>
      <c r="F4462" s="2">
        <v>10004114</v>
      </c>
      <c r="G4462" s="4" t="s">
        <v>4608</v>
      </c>
      <c r="H4462" s="1">
        <v>0</v>
      </c>
      <c r="I4462" s="1">
        <v>3</v>
      </c>
      <c r="J4462" s="1">
        <v>1</v>
      </c>
      <c r="K4462" s="2">
        <v>2.5</v>
      </c>
    </row>
    <row r="4463" spans="1:12">
      <c r="A4463" s="3" t="s">
        <v>2194</v>
      </c>
      <c r="B4463" s="3" t="s">
        <v>3663</v>
      </c>
      <c r="C4463" s="3" t="s">
        <v>4533</v>
      </c>
      <c r="D4463" s="3"/>
      <c r="E4463" s="2" t="str">
        <f>HYPERLINK("https://old.ukr-mobil.com/ramka_displeya_samsung_a025_galaxy_a02s_a035_galaxy_a03_vysota_160_5_mm_10004026", "Перейти")</f>
        <v>Перейти</v>
      </c>
      <c r="F4463" s="2">
        <v>10004026</v>
      </c>
      <c r="G4463" s="4" t="s">
        <v>4609</v>
      </c>
      <c r="H4463" s="1">
        <v>0</v>
      </c>
      <c r="I4463" s="1">
        <v>0</v>
      </c>
      <c r="J4463" s="1">
        <v>0</v>
      </c>
      <c r="K4463" s="2">
        <v>3.75</v>
      </c>
    </row>
    <row r="4464" spans="1:12">
      <c r="A4464" s="3" t="s">
        <v>2194</v>
      </c>
      <c r="B4464" s="3" t="s">
        <v>3663</v>
      </c>
      <c r="C4464" s="3" t="s">
        <v>4533</v>
      </c>
      <c r="D4464" s="3"/>
      <c r="E4464" s="2" t="str">
        <f>HYPERLINK("https://old.ukr-mobil.com/ramka_displeya_samsung_a032_galaxy_a03_core_10004091", "Перейти")</f>
        <v>Перейти</v>
      </c>
      <c r="F4464" s="2">
        <v>10004091</v>
      </c>
      <c r="G4464" s="4" t="s">
        <v>4610</v>
      </c>
      <c r="H4464" s="1">
        <v>0</v>
      </c>
      <c r="I4464" s="1">
        <v>0</v>
      </c>
      <c r="J4464" s="1">
        <v>0</v>
      </c>
      <c r="K4464" s="2">
        <v>5.0</v>
      </c>
    </row>
    <row r="4465" spans="1:12">
      <c r="A4465" s="3" t="s">
        <v>2194</v>
      </c>
      <c r="B4465" s="3" t="s">
        <v>3663</v>
      </c>
      <c r="C4465" s="3" t="s">
        <v>4533</v>
      </c>
      <c r="D4465" s="3"/>
      <c r="E4465" s="2" t="str">
        <f>HYPERLINK("https://old.ukr-mobil.com/ramka_displeya_samsung_a037_galaxy_a03s_10004100", "Перейти")</f>
        <v>Перейти</v>
      </c>
      <c r="F4465" s="2">
        <v>10004100</v>
      </c>
      <c r="G4465" s="4" t="s">
        <v>4611</v>
      </c>
      <c r="H4465" s="1">
        <v>0</v>
      </c>
      <c r="I4465" s="1">
        <v>0</v>
      </c>
      <c r="J4465" s="1">
        <v>0</v>
      </c>
      <c r="K4465" s="2">
        <v>4.5</v>
      </c>
    </row>
    <row r="4466" spans="1:12">
      <c r="A4466" s="3" t="s">
        <v>2194</v>
      </c>
      <c r="B4466" s="3" t="s">
        <v>3663</v>
      </c>
      <c r="C4466" s="3" t="s">
        <v>4533</v>
      </c>
      <c r="D4466" s="3"/>
      <c r="E4466" s="2" t="str">
        <f>HYPERLINK("https://old.ukr-mobil.com/ramka_displeya_samsung_a042_galaxy_a04e_10003957", "Перейти")</f>
        <v>Перейти</v>
      </c>
      <c r="F4466" s="2">
        <v>10003957</v>
      </c>
      <c r="G4466" s="4" t="s">
        <v>4612</v>
      </c>
      <c r="H4466" s="1">
        <v>7</v>
      </c>
      <c r="I4466" s="1">
        <v>1</v>
      </c>
      <c r="J4466" s="1">
        <v>3</v>
      </c>
      <c r="K4466" s="2">
        <v>2.5</v>
      </c>
    </row>
    <row r="4467" spans="1:12">
      <c r="A4467" s="3" t="s">
        <v>2194</v>
      </c>
      <c r="B4467" s="3" t="s">
        <v>3663</v>
      </c>
      <c r="C4467" s="3" t="s">
        <v>4533</v>
      </c>
      <c r="D4467" s="3"/>
      <c r="E4467" s="2" t="str">
        <f>HYPERLINK("https://old.ukr-mobil.com/ramka_displeya_samsung_a045_galaxy_a04_10004101", "Перейти")</f>
        <v>Перейти</v>
      </c>
      <c r="F4467" s="2">
        <v>10004101</v>
      </c>
      <c r="G4467" s="4" t="s">
        <v>4613</v>
      </c>
      <c r="H4467" s="1">
        <v>6</v>
      </c>
      <c r="I4467" s="1">
        <v>2</v>
      </c>
      <c r="J4467" s="1">
        <v>3</v>
      </c>
      <c r="K4467" s="2">
        <v>3.5</v>
      </c>
    </row>
    <row r="4468" spans="1:12">
      <c r="A4468" s="3" t="s">
        <v>2194</v>
      </c>
      <c r="B4468" s="3" t="s">
        <v>3663</v>
      </c>
      <c r="C4468" s="3" t="s">
        <v>4533</v>
      </c>
      <c r="D4468" s="3"/>
      <c r="E4468" s="2" t="str">
        <f>HYPERLINK("https://old.ukr-mobil.com/ramka_displeya_samsung_a047_galaxy_a04s_10004198", "Перейти")</f>
        <v>Перейти</v>
      </c>
      <c r="F4468" s="2">
        <v>10004198</v>
      </c>
      <c r="G4468" s="4" t="s">
        <v>4614</v>
      </c>
      <c r="H4468" s="1">
        <v>1</v>
      </c>
      <c r="I4468" s="1">
        <v>2</v>
      </c>
      <c r="J4468" s="1">
        <v>2</v>
      </c>
      <c r="K4468" s="2">
        <v>3.0</v>
      </c>
    </row>
    <row r="4469" spans="1:12">
      <c r="A4469" s="3" t="s">
        <v>2194</v>
      </c>
      <c r="B4469" s="3" t="s">
        <v>3663</v>
      </c>
      <c r="C4469" s="3" t="s">
        <v>4533</v>
      </c>
      <c r="D4469" s="3"/>
      <c r="E4469" s="2" t="str">
        <f>HYPERLINK("https://old.ukr-mobil.com/ramka_displeya_samsung_a105_galaxy_a10_10004124", "Перейти")</f>
        <v>Перейти</v>
      </c>
      <c r="F4469" s="2">
        <v>10004124</v>
      </c>
      <c r="G4469" s="4" t="s">
        <v>4615</v>
      </c>
      <c r="H4469" s="1">
        <v>0</v>
      </c>
      <c r="I4469" s="1">
        <v>0</v>
      </c>
      <c r="J4469" s="1">
        <v>0</v>
      </c>
      <c r="K4469" s="2">
        <v>2.25</v>
      </c>
    </row>
    <row r="4470" spans="1:12">
      <c r="A4470" s="3" t="s">
        <v>2194</v>
      </c>
      <c r="B4470" s="3" t="s">
        <v>3663</v>
      </c>
      <c r="C4470" s="3" t="s">
        <v>4533</v>
      </c>
      <c r="D4470" s="3"/>
      <c r="E4470" s="2" t="str">
        <f>HYPERLINK("https://old.ukr-mobil.com/ramka_displeya_samsung_a107_galaxy_a10s_10004125", "Перейти")</f>
        <v>Перейти</v>
      </c>
      <c r="F4470" s="2">
        <v>10004125</v>
      </c>
      <c r="G4470" s="4" t="s">
        <v>4616</v>
      </c>
      <c r="H4470" s="1">
        <v>0</v>
      </c>
      <c r="I4470" s="1">
        <v>0</v>
      </c>
      <c r="J4470" s="1">
        <v>0</v>
      </c>
      <c r="K4470" s="2">
        <v>2.35</v>
      </c>
    </row>
    <row r="4471" spans="1:12">
      <c r="A4471" s="3" t="s">
        <v>2194</v>
      </c>
      <c r="B4471" s="3" t="s">
        <v>3663</v>
      </c>
      <c r="C4471" s="3" t="s">
        <v>4533</v>
      </c>
      <c r="D4471" s="3"/>
      <c r="E4471" s="2" t="str">
        <f>HYPERLINK("https://old.ukr-mobil.com/ramka_displeya_samsung_a115_galaxy_a11_m115_galaxy_m11_10004200", "Перейти")</f>
        <v>Перейти</v>
      </c>
      <c r="F4471" s="2">
        <v>10004200</v>
      </c>
      <c r="G4471" s="4" t="s">
        <v>4617</v>
      </c>
      <c r="H4471" s="1">
        <v>0</v>
      </c>
      <c r="I4471" s="1">
        <v>0</v>
      </c>
      <c r="J4471" s="1">
        <v>0</v>
      </c>
      <c r="K4471" s="2">
        <v>3.0</v>
      </c>
    </row>
    <row r="4472" spans="1:12">
      <c r="A4472" s="3" t="s">
        <v>2194</v>
      </c>
      <c r="B4472" s="3" t="s">
        <v>3663</v>
      </c>
      <c r="C4472" s="3" t="s">
        <v>4533</v>
      </c>
      <c r="D4472" s="3"/>
      <c r="E4472" s="2" t="str">
        <f>HYPERLINK("https://old.ukr-mobil.com/ramka_displeya_samsung_a125_galaxy_a12_a127_galaxy_a12_10004115", "Перейти")</f>
        <v>Перейти</v>
      </c>
      <c r="F4472" s="2">
        <v>10004115</v>
      </c>
      <c r="G4472" s="4" t="s">
        <v>4618</v>
      </c>
      <c r="H4472" s="1">
        <v>3</v>
      </c>
      <c r="I4472" s="1">
        <v>0</v>
      </c>
      <c r="J4472" s="1">
        <v>0</v>
      </c>
      <c r="K4472" s="2">
        <v>2.5</v>
      </c>
    </row>
    <row r="4473" spans="1:12">
      <c r="A4473" s="3" t="s">
        <v>2194</v>
      </c>
      <c r="B4473" s="3" t="s">
        <v>3663</v>
      </c>
      <c r="C4473" s="3" t="s">
        <v>4533</v>
      </c>
      <c r="D4473" s="3"/>
      <c r="E4473" s="2" t="str">
        <f>HYPERLINK("https://old.ukr-mobil.com/ramka_displeya_samsung_a135_galaxy_a13_black_10004113", "Перейти")</f>
        <v>Перейти</v>
      </c>
      <c r="F4473" s="2">
        <v>10004113</v>
      </c>
      <c r="G4473" s="4" t="s">
        <v>4619</v>
      </c>
      <c r="H4473" s="1">
        <v>0</v>
      </c>
      <c r="I4473" s="1">
        <v>1</v>
      </c>
      <c r="J4473" s="1">
        <v>2</v>
      </c>
      <c r="K4473" s="2">
        <v>2.5</v>
      </c>
    </row>
    <row r="4474" spans="1:12">
      <c r="A4474" s="3" t="s">
        <v>2194</v>
      </c>
      <c r="B4474" s="3" t="s">
        <v>3663</v>
      </c>
      <c r="C4474" s="3" t="s">
        <v>4533</v>
      </c>
      <c r="D4474" s="3"/>
      <c r="E4474" s="2" t="str">
        <f>HYPERLINK("https://old.ukr-mobil.com/index.php?route=product&amp;product_id=10004774", "Перейти")</f>
        <v>Перейти</v>
      </c>
      <c r="F4474" s="2">
        <v>10004774</v>
      </c>
      <c r="G4474" s="4" t="s">
        <v>4620</v>
      </c>
      <c r="H4474" s="1">
        <v>0</v>
      </c>
      <c r="I4474" s="1">
        <v>0</v>
      </c>
      <c r="J4474" s="1">
        <v>0</v>
      </c>
      <c r="K4474" s="2">
        <v>4.35</v>
      </c>
    </row>
    <row r="4475" spans="1:12">
      <c r="A4475" s="3" t="s">
        <v>2194</v>
      </c>
      <c r="B4475" s="3" t="s">
        <v>3663</v>
      </c>
      <c r="C4475" s="3" t="s">
        <v>4533</v>
      </c>
      <c r="D4475" s="3"/>
      <c r="E4475" s="2" t="str">
        <f>HYPERLINK("https://old.ukr-mobil.com/ramka_displeya_samsung_a205_galaxy_a20_black_10004122", "Перейти")</f>
        <v>Перейти</v>
      </c>
      <c r="F4475" s="2">
        <v>10004122</v>
      </c>
      <c r="G4475" s="4" t="s">
        <v>4621</v>
      </c>
      <c r="H4475" s="1">
        <v>2</v>
      </c>
      <c r="I4475" s="1">
        <v>2</v>
      </c>
      <c r="J4475" s="1">
        <v>3</v>
      </c>
      <c r="K4475" s="2">
        <v>2.5</v>
      </c>
    </row>
    <row r="4476" spans="1:12">
      <c r="A4476" s="3" t="s">
        <v>2194</v>
      </c>
      <c r="B4476" s="3" t="s">
        <v>3663</v>
      </c>
      <c r="C4476" s="3" t="s">
        <v>4533</v>
      </c>
      <c r="D4476" s="3"/>
      <c r="E4476" s="2" t="str">
        <f>HYPERLINK("https://old.ukr-mobil.com/ramka_displeya_samsung_a207_galaxy_a20s_10004209", "Перейти")</f>
        <v>Перейти</v>
      </c>
      <c r="F4476" s="2">
        <v>10004209</v>
      </c>
      <c r="G4476" s="4" t="s">
        <v>4622</v>
      </c>
      <c r="H4476" s="1">
        <v>2</v>
      </c>
      <c r="I4476" s="1">
        <v>1</v>
      </c>
      <c r="J4476" s="1">
        <v>1</v>
      </c>
      <c r="K4476" s="2">
        <v>2.5</v>
      </c>
    </row>
    <row r="4477" spans="1:12">
      <c r="A4477" s="3" t="s">
        <v>2194</v>
      </c>
      <c r="B4477" s="3" t="s">
        <v>3663</v>
      </c>
      <c r="C4477" s="3" t="s">
        <v>4533</v>
      </c>
      <c r="D4477" s="3"/>
      <c r="E4477" s="2" t="str">
        <f>HYPERLINK("https://old.ukr-mobil.com/ramka_displeya_samsung_a215_galaxy_a21_10004112", "Перейти")</f>
        <v>Перейти</v>
      </c>
      <c r="F4477" s="2">
        <v>10004112</v>
      </c>
      <c r="G4477" s="4" t="s">
        <v>4623</v>
      </c>
      <c r="H4477" s="1">
        <v>4</v>
      </c>
      <c r="I4477" s="1">
        <v>3</v>
      </c>
      <c r="J4477" s="1">
        <v>3</v>
      </c>
      <c r="K4477" s="2">
        <v>2.5</v>
      </c>
    </row>
    <row r="4478" spans="1:12">
      <c r="A4478" s="3" t="s">
        <v>2194</v>
      </c>
      <c r="B4478" s="3" t="s">
        <v>3663</v>
      </c>
      <c r="C4478" s="3" t="s">
        <v>4533</v>
      </c>
      <c r="D4478" s="3"/>
      <c r="E4478" s="2" t="str">
        <f>HYPERLINK("https://old.ukr-mobil.com/ramka_displeya_samsung_a217_galaxy_a21s_10004210", "Перейти")</f>
        <v>Перейти</v>
      </c>
      <c r="F4478" s="2">
        <v>10004210</v>
      </c>
      <c r="G4478" s="4" t="s">
        <v>4624</v>
      </c>
      <c r="H4478" s="1">
        <v>0</v>
      </c>
      <c r="I4478" s="1">
        <v>1</v>
      </c>
      <c r="J4478" s="1">
        <v>0</v>
      </c>
      <c r="K4478" s="2">
        <v>3.5</v>
      </c>
    </row>
    <row r="4479" spans="1:12">
      <c r="A4479" s="3" t="s">
        <v>2194</v>
      </c>
      <c r="B4479" s="3" t="s">
        <v>3663</v>
      </c>
      <c r="C4479" s="3" t="s">
        <v>4533</v>
      </c>
      <c r="D4479" s="3"/>
      <c r="E4479" s="2" t="str">
        <f>HYPERLINK("https://old.ukr-mobil.com/ramka_displeya_samsung_a225_galaxy_a22_black_10004123", "Перейти")</f>
        <v>Перейти</v>
      </c>
      <c r="F4479" s="2">
        <v>10004123</v>
      </c>
      <c r="G4479" s="4" t="s">
        <v>4625</v>
      </c>
      <c r="H4479" s="1">
        <v>2</v>
      </c>
      <c r="I4479" s="1">
        <v>3</v>
      </c>
      <c r="J4479" s="1">
        <v>2</v>
      </c>
      <c r="K4479" s="2">
        <v>2.5</v>
      </c>
    </row>
    <row r="4480" spans="1:12">
      <c r="A4480" s="3" t="s">
        <v>2194</v>
      </c>
      <c r="B4480" s="3" t="s">
        <v>3663</v>
      </c>
      <c r="C4480" s="3" t="s">
        <v>4533</v>
      </c>
      <c r="D4480" s="3"/>
      <c r="E4480" s="2" t="str">
        <f>HYPERLINK("https://old.ukr-mobil.com/ramka_displeya_samsung_a226_galaxy_a22_5g_black_10004207", "Перейти")</f>
        <v>Перейти</v>
      </c>
      <c r="F4480" s="2">
        <v>10004207</v>
      </c>
      <c r="G4480" s="4" t="s">
        <v>4626</v>
      </c>
      <c r="H4480" s="1">
        <v>1</v>
      </c>
      <c r="I4480" s="1">
        <v>2</v>
      </c>
      <c r="J4480" s="1">
        <v>2</v>
      </c>
      <c r="K4480" s="2">
        <v>3.5</v>
      </c>
    </row>
    <row r="4481" spans="1:12">
      <c r="A4481" s="3" t="s">
        <v>2194</v>
      </c>
      <c r="B4481" s="3" t="s">
        <v>3663</v>
      </c>
      <c r="C4481" s="3" t="s">
        <v>4533</v>
      </c>
      <c r="D4481" s="3"/>
      <c r="E4481" s="2" t="str">
        <f>HYPERLINK("https://old.ukr-mobil.com/ramka_displeya_samsung_a235_galaxy_a23_10004118", "Перейти")</f>
        <v>Перейти</v>
      </c>
      <c r="F4481" s="2">
        <v>10004118</v>
      </c>
      <c r="G4481" s="4" t="s">
        <v>4627</v>
      </c>
      <c r="H4481" s="1">
        <v>0</v>
      </c>
      <c r="I4481" s="1">
        <v>0</v>
      </c>
      <c r="J4481" s="1">
        <v>0</v>
      </c>
      <c r="K4481" s="2">
        <v>4.15</v>
      </c>
    </row>
    <row r="4482" spans="1:12">
      <c r="A4482" s="3" t="s">
        <v>2194</v>
      </c>
      <c r="B4482" s="3" t="s">
        <v>3663</v>
      </c>
      <c r="C4482" s="3" t="s">
        <v>4533</v>
      </c>
      <c r="D4482" s="3"/>
      <c r="E4482" s="2" t="str">
        <f>HYPERLINK("https://old.ukr-mobil.com/ramka_displeya_samsung_a305_galaxy_a30_10004208", "Перейти")</f>
        <v>Перейти</v>
      </c>
      <c r="F4482" s="2">
        <v>10004208</v>
      </c>
      <c r="G4482" s="4" t="s">
        <v>4628</v>
      </c>
      <c r="H4482" s="1">
        <v>0</v>
      </c>
      <c r="I4482" s="1">
        <v>1</v>
      </c>
      <c r="J4482" s="1">
        <v>2</v>
      </c>
      <c r="K4482" s="2">
        <v>2.35</v>
      </c>
    </row>
    <row r="4483" spans="1:12">
      <c r="A4483" s="3" t="s">
        <v>2194</v>
      </c>
      <c r="B4483" s="3" t="s">
        <v>3663</v>
      </c>
      <c r="C4483" s="3" t="s">
        <v>4533</v>
      </c>
      <c r="D4483" s="3"/>
      <c r="E4483" s="2" t="str">
        <f>HYPERLINK("https://old.ukr-mobil.com/ramka_displeya_samsung_a307_galaxy_a30s_10004170", "Перейти")</f>
        <v>Перейти</v>
      </c>
      <c r="F4483" s="2">
        <v>10004170</v>
      </c>
      <c r="G4483" s="4" t="s">
        <v>4629</v>
      </c>
      <c r="H4483" s="1">
        <v>3</v>
      </c>
      <c r="I4483" s="1">
        <v>3</v>
      </c>
      <c r="J4483" s="1">
        <v>2</v>
      </c>
      <c r="K4483" s="2">
        <v>2.7</v>
      </c>
    </row>
    <row r="4484" spans="1:12">
      <c r="A4484" s="3" t="s">
        <v>2194</v>
      </c>
      <c r="B4484" s="3" t="s">
        <v>3663</v>
      </c>
      <c r="C4484" s="3" t="s">
        <v>4533</v>
      </c>
      <c r="D4484" s="3"/>
      <c r="E4484" s="2" t="str">
        <f>HYPERLINK("https://old.ukr-mobil.com/ramka_displeya_samsung_a315_galaxy_a31_10004199", "Перейти")</f>
        <v>Перейти</v>
      </c>
      <c r="F4484" s="2">
        <v>10004199</v>
      </c>
      <c r="G4484" s="4" t="s">
        <v>4630</v>
      </c>
      <c r="H4484" s="1">
        <v>4</v>
      </c>
      <c r="I4484" s="1">
        <v>3</v>
      </c>
      <c r="J4484" s="1">
        <v>2</v>
      </c>
      <c r="K4484" s="2">
        <v>2.65</v>
      </c>
    </row>
    <row r="4485" spans="1:12">
      <c r="A4485" s="3" t="s">
        <v>2194</v>
      </c>
      <c r="B4485" s="3" t="s">
        <v>3663</v>
      </c>
      <c r="C4485" s="3" t="s">
        <v>4533</v>
      </c>
      <c r="D4485" s="3"/>
      <c r="E4485" s="2" t="str">
        <f>HYPERLINK("https://old.ukr-mobil.com/ramka_displeya_samsung_a325_galaxy_a32_10004197", "Перейти")</f>
        <v>Перейти</v>
      </c>
      <c r="F4485" s="2">
        <v>10004197</v>
      </c>
      <c r="G4485" s="4" t="s">
        <v>4631</v>
      </c>
      <c r="H4485" s="1">
        <v>5</v>
      </c>
      <c r="I4485" s="1">
        <v>3</v>
      </c>
      <c r="J4485" s="1">
        <v>0</v>
      </c>
      <c r="K4485" s="2">
        <v>2.65</v>
      </c>
    </row>
    <row r="4486" spans="1:12">
      <c r="A4486" s="3" t="s">
        <v>2194</v>
      </c>
      <c r="B4486" s="3" t="s">
        <v>3663</v>
      </c>
      <c r="C4486" s="3" t="s">
        <v>4533</v>
      </c>
      <c r="D4486" s="3"/>
      <c r="E4486" s="2" t="str">
        <f>HYPERLINK("https://old.ukr-mobil.com/ramka_displeya_samsung_a326_galaxy_a32_5g_10004117", "Перейти")</f>
        <v>Перейти</v>
      </c>
      <c r="F4486" s="2">
        <v>10004117</v>
      </c>
      <c r="G4486" s="4" t="s">
        <v>4632</v>
      </c>
      <c r="H4486" s="1">
        <v>0</v>
      </c>
      <c r="I4486" s="1">
        <v>2</v>
      </c>
      <c r="J4486" s="1">
        <v>0</v>
      </c>
      <c r="K4486" s="2">
        <v>3.0</v>
      </c>
    </row>
    <row r="4487" spans="1:12">
      <c r="A4487" s="3" t="s">
        <v>2194</v>
      </c>
      <c r="B4487" s="3" t="s">
        <v>3663</v>
      </c>
      <c r="C4487" s="3" t="s">
        <v>4533</v>
      </c>
      <c r="D4487" s="3"/>
      <c r="E4487" s="2" t="str">
        <f>HYPERLINK("https://old.ukr-mobil.com/ramka_displeya_samsung_a336_galaxy_a33_black_10004169", "Перейти")</f>
        <v>Перейти</v>
      </c>
      <c r="F4487" s="2">
        <v>10004169</v>
      </c>
      <c r="G4487" s="4" t="s">
        <v>4633</v>
      </c>
      <c r="H4487" s="1">
        <v>8</v>
      </c>
      <c r="I4487" s="1">
        <v>4</v>
      </c>
      <c r="J4487" s="1">
        <v>5</v>
      </c>
      <c r="K4487" s="2">
        <v>6.5</v>
      </c>
    </row>
    <row r="4488" spans="1:12">
      <c r="A4488" s="3" t="s">
        <v>2194</v>
      </c>
      <c r="B4488" s="3" t="s">
        <v>3663</v>
      </c>
      <c r="C4488" s="3" t="s">
        <v>4533</v>
      </c>
      <c r="D4488" s="3"/>
      <c r="E4488" s="2" t="str">
        <f>HYPERLINK("https://old.ukr-mobil.com/index.php?route=product&amp;product_id=10004778", "Перейти")</f>
        <v>Перейти</v>
      </c>
      <c r="F4488" s="2">
        <v>10004778</v>
      </c>
      <c r="G4488" s="4" t="s">
        <v>4634</v>
      </c>
      <c r="H4488" s="1">
        <v>2</v>
      </c>
      <c r="I4488" s="1">
        <v>3</v>
      </c>
      <c r="J4488" s="1">
        <v>3</v>
      </c>
      <c r="K4488" s="2">
        <v>4.0</v>
      </c>
    </row>
    <row r="4489" spans="1:12">
      <c r="A4489" s="3" t="s">
        <v>2194</v>
      </c>
      <c r="B4489" s="3" t="s">
        <v>3663</v>
      </c>
      <c r="C4489" s="3" t="s">
        <v>4533</v>
      </c>
      <c r="D4489" s="3"/>
      <c r="E4489" s="2" t="str">
        <f>HYPERLINK("https://old.ukr-mobil.com/ramka_displeya_samsung_a505_galaxy_a50_black_10004120", "Перейти")</f>
        <v>Перейти</v>
      </c>
      <c r="F4489" s="2">
        <v>10004120</v>
      </c>
      <c r="G4489" s="4" t="s">
        <v>4635</v>
      </c>
      <c r="H4489" s="1">
        <v>0</v>
      </c>
      <c r="I4489" s="1">
        <v>0</v>
      </c>
      <c r="J4489" s="1">
        <v>0</v>
      </c>
      <c r="K4489" s="2">
        <v>2.65</v>
      </c>
    </row>
    <row r="4490" spans="1:12">
      <c r="A4490" s="3" t="s">
        <v>2194</v>
      </c>
      <c r="B4490" s="3" t="s">
        <v>3663</v>
      </c>
      <c r="C4490" s="3" t="s">
        <v>4533</v>
      </c>
      <c r="D4490" s="3"/>
      <c r="E4490" s="2" t="str">
        <f>HYPERLINK("https://old.ukr-mobil.com/ramka_displeya_samsung_a515_galaxy_a51_10004111", "Перейти")</f>
        <v>Перейти</v>
      </c>
      <c r="F4490" s="2">
        <v>10004111</v>
      </c>
      <c r="G4490" s="4" t="s">
        <v>4636</v>
      </c>
      <c r="H4490" s="1">
        <v>0</v>
      </c>
      <c r="I4490" s="1">
        <v>0</v>
      </c>
      <c r="J4490" s="1">
        <v>3</v>
      </c>
      <c r="K4490" s="2">
        <v>3.35</v>
      </c>
    </row>
    <row r="4491" spans="1:12">
      <c r="A4491" s="3" t="s">
        <v>2194</v>
      </c>
      <c r="B4491" s="3" t="s">
        <v>3663</v>
      </c>
      <c r="C4491" s="3" t="s">
        <v>4533</v>
      </c>
      <c r="D4491" s="3"/>
      <c r="E4491" s="2" t="str">
        <f>HYPERLINK("https://old.ukr-mobil.com/ramka_displeya_samsung_a525_galaxy_a52_black_10004107", "Перейти")</f>
        <v>Перейти</v>
      </c>
      <c r="F4491" s="2">
        <v>10004107</v>
      </c>
      <c r="G4491" s="4" t="s">
        <v>4637</v>
      </c>
      <c r="H4491" s="1">
        <v>0</v>
      </c>
      <c r="I4491" s="1">
        <v>1</v>
      </c>
      <c r="J4491" s="1">
        <v>2</v>
      </c>
      <c r="K4491" s="2">
        <v>4.35</v>
      </c>
    </row>
    <row r="4492" spans="1:12">
      <c r="A4492" s="3" t="s">
        <v>2194</v>
      </c>
      <c r="B4492" s="3" t="s">
        <v>3663</v>
      </c>
      <c r="C4492" s="3" t="s">
        <v>4533</v>
      </c>
      <c r="D4492" s="3"/>
      <c r="E4492" s="2" t="str">
        <f>HYPERLINK("https://old.ukr-mobil.com/ramka_displeya_samsung_a525_galaxy_a52_blue_10004106", "Перейти")</f>
        <v>Перейти</v>
      </c>
      <c r="F4492" s="2">
        <v>10004106</v>
      </c>
      <c r="G4492" s="4" t="s">
        <v>4638</v>
      </c>
      <c r="H4492" s="1">
        <v>1</v>
      </c>
      <c r="I4492" s="1">
        <v>3</v>
      </c>
      <c r="J4492" s="1">
        <v>2</v>
      </c>
      <c r="K4492" s="2">
        <v>4.35</v>
      </c>
    </row>
    <row r="4493" spans="1:12">
      <c r="A4493" s="3" t="s">
        <v>2194</v>
      </c>
      <c r="B4493" s="3" t="s">
        <v>3663</v>
      </c>
      <c r="C4493" s="3" t="s">
        <v>4533</v>
      </c>
      <c r="D4493" s="3"/>
      <c r="E4493" s="2" t="str">
        <f>HYPERLINK("https://old.ukr-mobil.com/ramka_displeya_samsung_a525_galaxy_a52_violet_10004109", "Перейти")</f>
        <v>Перейти</v>
      </c>
      <c r="F4493" s="2">
        <v>10004109</v>
      </c>
      <c r="G4493" s="4" t="s">
        <v>4639</v>
      </c>
      <c r="H4493" s="1">
        <v>0</v>
      </c>
      <c r="I4493" s="1">
        <v>3</v>
      </c>
      <c r="J4493" s="1">
        <v>3</v>
      </c>
      <c r="K4493" s="2">
        <v>4.35</v>
      </c>
    </row>
    <row r="4494" spans="1:12">
      <c r="A4494" s="3" t="s">
        <v>2194</v>
      </c>
      <c r="B4494" s="3" t="s">
        <v>3663</v>
      </c>
      <c r="C4494" s="3" t="s">
        <v>4533</v>
      </c>
      <c r="D4494" s="3"/>
      <c r="E4494" s="2" t="str">
        <f>HYPERLINK("https://old.ukr-mobil.com/ramka_displeya_samsung_a525_galaxy_a52_white_10004108", "Перейти")</f>
        <v>Перейти</v>
      </c>
      <c r="F4494" s="2">
        <v>10004108</v>
      </c>
      <c r="G4494" s="4" t="s">
        <v>4640</v>
      </c>
      <c r="H4494" s="1">
        <v>2</v>
      </c>
      <c r="I4494" s="1">
        <v>3</v>
      </c>
      <c r="J4494" s="1">
        <v>2</v>
      </c>
      <c r="K4494" s="2">
        <v>4.35</v>
      </c>
    </row>
    <row r="4495" spans="1:12">
      <c r="A4495" s="3" t="s">
        <v>2194</v>
      </c>
      <c r="B4495" s="3" t="s">
        <v>3663</v>
      </c>
      <c r="C4495" s="3" t="s">
        <v>4533</v>
      </c>
      <c r="D4495" s="3"/>
      <c r="E4495" s="2" t="str">
        <f>HYPERLINK("https://old.ukr-mobil.com/ramka_displeya_samsung_a536_galaxy_a53_5g_black_10004087", "Перейти")</f>
        <v>Перейти</v>
      </c>
      <c r="F4495" s="2">
        <v>10004087</v>
      </c>
      <c r="G4495" s="4" t="s">
        <v>4641</v>
      </c>
      <c r="H4495" s="1">
        <v>1</v>
      </c>
      <c r="I4495" s="1">
        <v>1</v>
      </c>
      <c r="J4495" s="1">
        <v>2</v>
      </c>
      <c r="K4495" s="2">
        <v>10.0</v>
      </c>
    </row>
    <row r="4496" spans="1:12">
      <c r="A4496" s="3" t="s">
        <v>2194</v>
      </c>
      <c r="B4496" s="3" t="s">
        <v>3663</v>
      </c>
      <c r="C4496" s="3" t="s">
        <v>4533</v>
      </c>
      <c r="D4496" s="3"/>
      <c r="E4496" s="2" t="str">
        <f>HYPERLINK("https://old.ukr-mobil.com/ramka_displeya_samsung_a705_galaxy_a70_black_10004119", "Перейти")</f>
        <v>Перейти</v>
      </c>
      <c r="F4496" s="2">
        <v>10004119</v>
      </c>
      <c r="G4496" s="4" t="s">
        <v>4642</v>
      </c>
      <c r="H4496" s="1">
        <v>1</v>
      </c>
      <c r="I4496" s="1">
        <v>1</v>
      </c>
      <c r="J4496" s="1">
        <v>3</v>
      </c>
      <c r="K4496" s="2">
        <v>2.65</v>
      </c>
    </row>
    <row r="4497" spans="1:12">
      <c r="A4497" s="3" t="s">
        <v>2194</v>
      </c>
      <c r="B4497" s="3" t="s">
        <v>3663</v>
      </c>
      <c r="C4497" s="3" t="s">
        <v>4533</v>
      </c>
      <c r="D4497" s="3"/>
      <c r="E4497" s="2" t="str">
        <f>HYPERLINK("https://old.ukr-mobil.com/ramka_displeya_samsung_a715_galaxy_a71_10004211", "Перейти")</f>
        <v>Перейти</v>
      </c>
      <c r="F4497" s="2">
        <v>10004211</v>
      </c>
      <c r="G4497" s="4" t="s">
        <v>4643</v>
      </c>
      <c r="H4497" s="1">
        <v>2</v>
      </c>
      <c r="I4497" s="1">
        <v>2</v>
      </c>
      <c r="J4497" s="1">
        <v>0</v>
      </c>
      <c r="K4497" s="2">
        <v>3.75</v>
      </c>
    </row>
    <row r="4498" spans="1:12">
      <c r="A4498" s="3" t="s">
        <v>2194</v>
      </c>
      <c r="B4498" s="3" t="s">
        <v>3663</v>
      </c>
      <c r="C4498" s="3" t="s">
        <v>4533</v>
      </c>
      <c r="D4498" s="3"/>
      <c r="E4498" s="2" t="str">
        <f>HYPERLINK("https://old.ukr-mobil.com/ramka_displeya_samsung_a725_galaxy_a72_black_10004102", "Перейти")</f>
        <v>Перейти</v>
      </c>
      <c r="F4498" s="2">
        <v>10004102</v>
      </c>
      <c r="G4498" s="4" t="s">
        <v>4644</v>
      </c>
      <c r="H4498" s="1">
        <v>4</v>
      </c>
      <c r="I4498" s="1">
        <v>3</v>
      </c>
      <c r="J4498" s="1">
        <v>3</v>
      </c>
      <c r="K4498" s="2">
        <v>7.75</v>
      </c>
    </row>
    <row r="4499" spans="1:12">
      <c r="A4499" s="3" t="s">
        <v>2194</v>
      </c>
      <c r="B4499" s="3" t="s">
        <v>3663</v>
      </c>
      <c r="C4499" s="3" t="s">
        <v>4533</v>
      </c>
      <c r="D4499" s="3"/>
      <c r="E4499" s="2" t="str">
        <f>HYPERLINK("https://old.ukr-mobil.com/ramka_displeya_samsung_a725_galaxy_a72_blue_10004103", "Перейти")</f>
        <v>Перейти</v>
      </c>
      <c r="F4499" s="2">
        <v>10004103</v>
      </c>
      <c r="G4499" s="4" t="s">
        <v>4645</v>
      </c>
      <c r="H4499" s="1">
        <v>3</v>
      </c>
      <c r="I4499" s="1">
        <v>3</v>
      </c>
      <c r="J4499" s="1">
        <v>3</v>
      </c>
      <c r="K4499" s="2">
        <v>7.75</v>
      </c>
    </row>
    <row r="4500" spans="1:12">
      <c r="A4500" s="3" t="s">
        <v>2194</v>
      </c>
      <c r="B4500" s="3" t="s">
        <v>3663</v>
      </c>
      <c r="C4500" s="3" t="s">
        <v>4533</v>
      </c>
      <c r="D4500" s="3"/>
      <c r="E4500" s="2" t="str">
        <f>HYPERLINK("https://old.ukr-mobil.com/ramka_displeya_samsung_a725_galaxy_a72_violet_10004105", "Перейти")</f>
        <v>Перейти</v>
      </c>
      <c r="F4500" s="2">
        <v>10004105</v>
      </c>
      <c r="G4500" s="4" t="s">
        <v>4646</v>
      </c>
      <c r="H4500" s="1">
        <v>4</v>
      </c>
      <c r="I4500" s="1">
        <v>3</v>
      </c>
      <c r="J4500" s="1">
        <v>3</v>
      </c>
      <c r="K4500" s="2">
        <v>7.75</v>
      </c>
    </row>
    <row r="4501" spans="1:12">
      <c r="A4501" s="3" t="s">
        <v>2194</v>
      </c>
      <c r="B4501" s="3" t="s">
        <v>3663</v>
      </c>
      <c r="C4501" s="3" t="s">
        <v>4533</v>
      </c>
      <c r="D4501" s="3"/>
      <c r="E4501" s="2" t="str">
        <f>HYPERLINK("https://old.ukr-mobil.com/ramka_displeya_samsung_a725_galaxy_a72_white_10004104", "Перейти")</f>
        <v>Перейти</v>
      </c>
      <c r="F4501" s="2">
        <v>10004104</v>
      </c>
      <c r="G4501" s="4" t="s">
        <v>4647</v>
      </c>
      <c r="H4501" s="1">
        <v>4</v>
      </c>
      <c r="I4501" s="1">
        <v>3</v>
      </c>
      <c r="J4501" s="1">
        <v>3</v>
      </c>
      <c r="K4501" s="2">
        <v>7.75</v>
      </c>
    </row>
    <row r="4502" spans="1:12">
      <c r="A4502" s="3" t="s">
        <v>2194</v>
      </c>
      <c r="B4502" s="3" t="s">
        <v>3663</v>
      </c>
      <c r="C4502" s="3" t="s">
        <v>4533</v>
      </c>
      <c r="D4502" s="3"/>
      <c r="E4502" s="2" t="str">
        <f>HYPERLINK("https://old.ukr-mobil.com/ramka_displeya_samsung_a736_galaxy_a73_5g_gray_10004110", "Перейти")</f>
        <v>Перейти</v>
      </c>
      <c r="F4502" s="2">
        <v>10004110</v>
      </c>
      <c r="G4502" s="4" t="s">
        <v>4648</v>
      </c>
      <c r="H4502" s="1">
        <v>2</v>
      </c>
      <c r="I4502" s="1">
        <v>1</v>
      </c>
      <c r="J4502" s="1">
        <v>0</v>
      </c>
      <c r="K4502" s="2">
        <v>8.0</v>
      </c>
    </row>
    <row r="4503" spans="1:12">
      <c r="A4503" s="3" t="s">
        <v>2194</v>
      </c>
      <c r="B4503" s="3" t="s">
        <v>3663</v>
      </c>
      <c r="C4503" s="3" t="s">
        <v>4533</v>
      </c>
      <c r="D4503" s="3"/>
      <c r="E4503" s="2" t="str">
        <f>HYPERLINK("https://old.ukr-mobil.com/ramka_displeya_samsung_g770_galaxy_s10_lite_black_10004027", "Перейти")</f>
        <v>Перейти</v>
      </c>
      <c r="F4503" s="2">
        <v>10004027</v>
      </c>
      <c r="G4503" s="4" t="s">
        <v>4649</v>
      </c>
      <c r="H4503" s="1">
        <v>2</v>
      </c>
      <c r="I4503" s="1">
        <v>2</v>
      </c>
      <c r="J4503" s="1">
        <v>1</v>
      </c>
      <c r="K4503" s="2">
        <v>16.0</v>
      </c>
    </row>
    <row r="4504" spans="1:12">
      <c r="A4504" s="3" t="s">
        <v>2194</v>
      </c>
      <c r="B4504" s="3" t="s">
        <v>3663</v>
      </c>
      <c r="C4504" s="3" t="s">
        <v>4533</v>
      </c>
      <c r="D4504" s="3"/>
      <c r="E4504" s="2" t="str">
        <f>HYPERLINK("https://old.ukr-mobil.com/ramka_displeya_samsung_g780_galaxy_s20_fe_blue_10004146", "Перейти")</f>
        <v>Перейти</v>
      </c>
      <c r="F4504" s="2">
        <v>10004146</v>
      </c>
      <c r="G4504" s="4" t="s">
        <v>4650</v>
      </c>
      <c r="H4504" s="1">
        <v>0</v>
      </c>
      <c r="I4504" s="1">
        <v>0</v>
      </c>
      <c r="J4504" s="1">
        <v>0</v>
      </c>
      <c r="K4504" s="2">
        <v>12.0</v>
      </c>
    </row>
    <row r="4505" spans="1:12">
      <c r="A4505" s="3" t="s">
        <v>2194</v>
      </c>
      <c r="B4505" s="3" t="s">
        <v>3663</v>
      </c>
      <c r="C4505" s="3" t="s">
        <v>4533</v>
      </c>
      <c r="D4505" s="3"/>
      <c r="E4505" s="2" t="str">
        <f>HYPERLINK("https://old.ukr-mobil.com/ramka_displeya_samsung_g950_galaxy_s8_black_10004032", "Перейти")</f>
        <v>Перейти</v>
      </c>
      <c r="F4505" s="2">
        <v>10004032</v>
      </c>
      <c r="G4505" s="4" t="s">
        <v>4651</v>
      </c>
      <c r="H4505" s="1">
        <v>3</v>
      </c>
      <c r="I4505" s="1">
        <v>2</v>
      </c>
      <c r="J4505" s="1">
        <v>2</v>
      </c>
      <c r="K4505" s="2">
        <v>6.0</v>
      </c>
    </row>
    <row r="4506" spans="1:12">
      <c r="A4506" s="3" t="s">
        <v>2194</v>
      </c>
      <c r="B4506" s="3" t="s">
        <v>3663</v>
      </c>
      <c r="C4506" s="3" t="s">
        <v>4533</v>
      </c>
      <c r="D4506" s="3"/>
      <c r="E4506" s="2" t="str">
        <f>HYPERLINK("https://old.ukr-mobil.com/ramka_displeya_samsung_g955_galaxy_s8_plus_black_10004092", "Перейти")</f>
        <v>Перейти</v>
      </c>
      <c r="F4506" s="2">
        <v>10004092</v>
      </c>
      <c r="G4506" s="4" t="s">
        <v>4652</v>
      </c>
      <c r="H4506" s="1">
        <v>3</v>
      </c>
      <c r="I4506" s="1">
        <v>2</v>
      </c>
      <c r="J4506" s="1">
        <v>2</v>
      </c>
      <c r="K4506" s="2">
        <v>6.0</v>
      </c>
    </row>
    <row r="4507" spans="1:12">
      <c r="A4507" s="3" t="s">
        <v>2194</v>
      </c>
      <c r="B4507" s="3" t="s">
        <v>3663</v>
      </c>
      <c r="C4507" s="3" t="s">
        <v>4533</v>
      </c>
      <c r="D4507" s="3"/>
      <c r="E4507" s="2" t="str">
        <f>HYPERLINK("https://old.ukr-mobil.com/ramka_displeya_samsung_g960_galaxy_s9_black_10004083", "Перейти")</f>
        <v>Перейти</v>
      </c>
      <c r="F4507" s="2">
        <v>10004083</v>
      </c>
      <c r="G4507" s="4" t="s">
        <v>4653</v>
      </c>
      <c r="H4507" s="1">
        <v>4</v>
      </c>
      <c r="I4507" s="1">
        <v>2</v>
      </c>
      <c r="J4507" s="1">
        <v>0</v>
      </c>
      <c r="K4507" s="2">
        <v>8.0</v>
      </c>
    </row>
    <row r="4508" spans="1:12">
      <c r="A4508" s="3" t="s">
        <v>2194</v>
      </c>
      <c r="B4508" s="3" t="s">
        <v>3663</v>
      </c>
      <c r="C4508" s="3" t="s">
        <v>4533</v>
      </c>
      <c r="D4508" s="3"/>
      <c r="E4508" s="2" t="str">
        <f>HYPERLINK("https://old.ukr-mobil.com/ramka_displeya_samsung_g965_galaxy_s9_plus_black_10004095", "Перейти")</f>
        <v>Перейти</v>
      </c>
      <c r="F4508" s="2">
        <v>10004095</v>
      </c>
      <c r="G4508" s="4" t="s">
        <v>4654</v>
      </c>
      <c r="H4508" s="1">
        <v>0</v>
      </c>
      <c r="I4508" s="1">
        <v>1</v>
      </c>
      <c r="J4508" s="1">
        <v>0</v>
      </c>
      <c r="K4508" s="2">
        <v>9.0</v>
      </c>
    </row>
    <row r="4509" spans="1:12">
      <c r="A4509" s="3" t="s">
        <v>2194</v>
      </c>
      <c r="B4509" s="3" t="s">
        <v>3663</v>
      </c>
      <c r="C4509" s="3" t="s">
        <v>4533</v>
      </c>
      <c r="D4509" s="3"/>
      <c r="E4509" s="2" t="str">
        <f>HYPERLINK("https://old.ukr-mobil.com/ramka_displeya_samsung_g973_galaxy_s10_black_10004037", "Перейти")</f>
        <v>Перейти</v>
      </c>
      <c r="F4509" s="2">
        <v>10004037</v>
      </c>
      <c r="G4509" s="4" t="s">
        <v>4655</v>
      </c>
      <c r="H4509" s="1">
        <v>3</v>
      </c>
      <c r="I4509" s="1">
        <v>2</v>
      </c>
      <c r="J4509" s="1">
        <v>2</v>
      </c>
      <c r="K4509" s="2">
        <v>11.5</v>
      </c>
    </row>
    <row r="4510" spans="1:12">
      <c r="A4510" s="3" t="s">
        <v>2194</v>
      </c>
      <c r="B4510" s="3" t="s">
        <v>3663</v>
      </c>
      <c r="C4510" s="3" t="s">
        <v>4533</v>
      </c>
      <c r="D4510" s="3"/>
      <c r="E4510" s="2" t="str">
        <f>HYPERLINK("https://old.ukr-mobil.com/ramka_displeya_samsung_g975_galaxy_s10_plus_black_10004090", "Перейти")</f>
        <v>Перейти</v>
      </c>
      <c r="F4510" s="2">
        <v>10004090</v>
      </c>
      <c r="G4510" s="4" t="s">
        <v>4656</v>
      </c>
      <c r="H4510" s="1">
        <v>2</v>
      </c>
      <c r="I4510" s="1">
        <v>2</v>
      </c>
      <c r="J4510" s="1">
        <v>2</v>
      </c>
      <c r="K4510" s="2">
        <v>6.5</v>
      </c>
    </row>
    <row r="4511" spans="1:12">
      <c r="A4511" s="3" t="s">
        <v>2194</v>
      </c>
      <c r="B4511" s="3" t="s">
        <v>3663</v>
      </c>
      <c r="C4511" s="3" t="s">
        <v>4533</v>
      </c>
      <c r="D4511" s="3"/>
      <c r="E4511" s="2" t="str">
        <f>HYPERLINK("https://old.ukr-mobil.com/ramka_displeya_samsung_g980_galaxy_s20_black_10004070", "Перейти")</f>
        <v>Перейти</v>
      </c>
      <c r="F4511" s="2">
        <v>10004070</v>
      </c>
      <c r="G4511" s="4" t="s">
        <v>4657</v>
      </c>
      <c r="H4511" s="1">
        <v>4</v>
      </c>
      <c r="I4511" s="1">
        <v>2</v>
      </c>
      <c r="J4511" s="1">
        <v>2</v>
      </c>
      <c r="K4511" s="2">
        <v>16.0</v>
      </c>
    </row>
    <row r="4512" spans="1:12">
      <c r="A4512" s="3" t="s">
        <v>2194</v>
      </c>
      <c r="B4512" s="3" t="s">
        <v>3663</v>
      </c>
      <c r="C4512" s="3" t="s">
        <v>4533</v>
      </c>
      <c r="D4512" s="3"/>
      <c r="E4512" s="2" t="str">
        <f>HYPERLINK("https://old.ukr-mobil.com/ramka_displeya_samsung_g985_galaxy_s20_plus_black_10004099", "Перейти")</f>
        <v>Перейти</v>
      </c>
      <c r="F4512" s="2">
        <v>10004099</v>
      </c>
      <c r="G4512" s="4" t="s">
        <v>4658</v>
      </c>
      <c r="H4512" s="1">
        <v>4</v>
      </c>
      <c r="I4512" s="1">
        <v>2</v>
      </c>
      <c r="J4512" s="1">
        <v>2</v>
      </c>
      <c r="K4512" s="2">
        <v>11.0</v>
      </c>
    </row>
    <row r="4513" spans="1:12">
      <c r="A4513" s="3" t="s">
        <v>2194</v>
      </c>
      <c r="B4513" s="3" t="s">
        <v>3663</v>
      </c>
      <c r="C4513" s="3" t="s">
        <v>4533</v>
      </c>
      <c r="D4513" s="3"/>
      <c r="E4513" s="2" t="str">
        <f>HYPERLINK("https://old.ukr-mobil.com/ramka_displeya_samsung_g988_galaxy_s20_ultra_black_10004035", "Перейти")</f>
        <v>Перейти</v>
      </c>
      <c r="F4513" s="2">
        <v>10004035</v>
      </c>
      <c r="G4513" s="4" t="s">
        <v>4659</v>
      </c>
      <c r="H4513" s="1">
        <v>4</v>
      </c>
      <c r="I4513" s="1">
        <v>2</v>
      </c>
      <c r="J4513" s="1">
        <v>2</v>
      </c>
      <c r="K4513" s="2">
        <v>14.0</v>
      </c>
    </row>
    <row r="4514" spans="1:12">
      <c r="A4514" s="3" t="s">
        <v>2194</v>
      </c>
      <c r="B4514" s="3" t="s">
        <v>3663</v>
      </c>
      <c r="C4514" s="3" t="s">
        <v>4533</v>
      </c>
      <c r="D4514" s="3"/>
      <c r="E4514" s="2" t="str">
        <f>HYPERLINK("https://old.ukr-mobil.com/ramka_displeya_samsung_g991_galaxy_s21_phantom_grey_10004034", "Перейти")</f>
        <v>Перейти</v>
      </c>
      <c r="F4514" s="2">
        <v>10004034</v>
      </c>
      <c r="G4514" s="4" t="s">
        <v>4660</v>
      </c>
      <c r="H4514" s="1">
        <v>0</v>
      </c>
      <c r="I4514" s="1">
        <v>2</v>
      </c>
      <c r="J4514" s="1">
        <v>1</v>
      </c>
      <c r="K4514" s="2">
        <v>18.0</v>
      </c>
    </row>
    <row r="4515" spans="1:12">
      <c r="A4515" s="3" t="s">
        <v>2194</v>
      </c>
      <c r="B4515" s="3" t="s">
        <v>3663</v>
      </c>
      <c r="C4515" s="3" t="s">
        <v>4533</v>
      </c>
      <c r="D4515" s="3"/>
      <c r="E4515" s="2" t="str">
        <f>HYPERLINK("https://old.ukr-mobil.com/ramka_displeya_samsung_g996_galaxy_s21_plus_phantom_black_10004098", "Перейти")</f>
        <v>Перейти</v>
      </c>
      <c r="F4515" s="2">
        <v>10004098</v>
      </c>
      <c r="G4515" s="4" t="s">
        <v>4661</v>
      </c>
      <c r="H4515" s="1">
        <v>0</v>
      </c>
      <c r="I4515" s="1">
        <v>1</v>
      </c>
      <c r="J4515" s="1">
        <v>1</v>
      </c>
      <c r="K4515" s="2">
        <v>22.0</v>
      </c>
    </row>
    <row r="4516" spans="1:12">
      <c r="A4516" s="3" t="s">
        <v>2194</v>
      </c>
      <c r="B4516" s="3" t="s">
        <v>3663</v>
      </c>
      <c r="C4516" s="3" t="s">
        <v>4533</v>
      </c>
      <c r="D4516" s="3"/>
      <c r="E4516" s="2" t="str">
        <f>HYPERLINK("https://old.ukr-mobil.com/ramka_displeya_samsung_g998_galaxy_s21_ultra_phantom_black_10004069", "Перейти")</f>
        <v>Перейти</v>
      </c>
      <c r="F4516" s="2">
        <v>10004069</v>
      </c>
      <c r="G4516" s="4" t="s">
        <v>4662</v>
      </c>
      <c r="H4516" s="1">
        <v>4</v>
      </c>
      <c r="I4516" s="1">
        <v>1</v>
      </c>
      <c r="J4516" s="1">
        <v>1</v>
      </c>
      <c r="K4516" s="2">
        <v>21.0</v>
      </c>
    </row>
    <row r="4517" spans="1:12">
      <c r="A4517" s="3" t="s">
        <v>2194</v>
      </c>
      <c r="B4517" s="3" t="s">
        <v>3663</v>
      </c>
      <c r="C4517" s="3" t="s">
        <v>4533</v>
      </c>
      <c r="D4517" s="3"/>
      <c r="E4517" s="2" t="str">
        <f>HYPERLINK("https://old.ukr-mobil.com/index.php?route=product&amp;product_id=10004779", "Перейти")</f>
        <v>Перейти</v>
      </c>
      <c r="F4517" s="2">
        <v>10004779</v>
      </c>
      <c r="G4517" s="4" t="s">
        <v>4663</v>
      </c>
      <c r="H4517" s="1">
        <v>0</v>
      </c>
      <c r="I4517" s="1">
        <v>0</v>
      </c>
      <c r="J4517" s="1">
        <v>0</v>
      </c>
      <c r="K4517" s="2">
        <v>4.35</v>
      </c>
    </row>
    <row r="4518" spans="1:12">
      <c r="A4518" s="3" t="s">
        <v>2194</v>
      </c>
      <c r="B4518" s="3" t="s">
        <v>3663</v>
      </c>
      <c r="C4518" s="3" t="s">
        <v>4533</v>
      </c>
      <c r="D4518" s="3"/>
      <c r="E4518" s="2" t="str">
        <f>HYPERLINK("https://old.ukr-mobil.com/ramka_displeya_samsung_m205_galaxy_m20_10003960", "Перейти")</f>
        <v>Перейти</v>
      </c>
      <c r="F4518" s="2">
        <v>10003960</v>
      </c>
      <c r="G4518" s="4" t="s">
        <v>4664</v>
      </c>
      <c r="H4518" s="1">
        <v>0</v>
      </c>
      <c r="I4518" s="1">
        <v>0</v>
      </c>
      <c r="J4518" s="1">
        <v>0</v>
      </c>
      <c r="K4518" s="2">
        <v>3.35</v>
      </c>
    </row>
    <row r="4519" spans="1:12">
      <c r="A4519" s="3" t="s">
        <v>2194</v>
      </c>
      <c r="B4519" s="3" t="s">
        <v>3663</v>
      </c>
      <c r="C4519" s="3" t="s">
        <v>4533</v>
      </c>
      <c r="D4519" s="3"/>
      <c r="E4519" s="2" t="str">
        <f>HYPERLINK("https://old.ukr-mobil.com/ramka_displeya_samsung_m215_galaxy_m21_m307_galaxy_m30s_10004033", "Перейти")</f>
        <v>Перейти</v>
      </c>
      <c r="F4519" s="2">
        <v>10004033</v>
      </c>
      <c r="G4519" s="4" t="s">
        <v>4665</v>
      </c>
      <c r="H4519" s="1">
        <v>5</v>
      </c>
      <c r="I4519" s="1">
        <v>0</v>
      </c>
      <c r="J4519" s="1">
        <v>3</v>
      </c>
      <c r="K4519" s="2">
        <v>3.35</v>
      </c>
    </row>
    <row r="4520" spans="1:12">
      <c r="A4520" s="3" t="s">
        <v>2194</v>
      </c>
      <c r="B4520" s="3" t="s">
        <v>3663</v>
      </c>
      <c r="C4520" s="3" t="s">
        <v>4533</v>
      </c>
      <c r="D4520" s="3"/>
      <c r="E4520" s="2" t="str">
        <f>HYPERLINK("https://old.ukr-mobil.com/ramka_displeya_samsung_m305_galaxy_m30_black_10004116", "Перейти")</f>
        <v>Перейти</v>
      </c>
      <c r="F4520" s="2">
        <v>10004116</v>
      </c>
      <c r="G4520" s="4" t="s">
        <v>4666</v>
      </c>
      <c r="H4520" s="1">
        <v>2</v>
      </c>
      <c r="I4520" s="1">
        <v>3</v>
      </c>
      <c r="J4520" s="1">
        <v>3</v>
      </c>
      <c r="K4520" s="2">
        <v>3.65</v>
      </c>
    </row>
    <row r="4521" spans="1:12">
      <c r="A4521" s="3" t="s">
        <v>2194</v>
      </c>
      <c r="B4521" s="3" t="s">
        <v>3663</v>
      </c>
      <c r="C4521" s="3" t="s">
        <v>4533</v>
      </c>
      <c r="D4521" s="3"/>
      <c r="E4521" s="2" t="str">
        <f>HYPERLINK("https://old.ukr-mobil.com/ramka_displeya_samsung_m325_galaxy_m32_black_10004121", "Перейти")</f>
        <v>Перейти</v>
      </c>
      <c r="F4521" s="2">
        <v>10004121</v>
      </c>
      <c r="G4521" s="4" t="s">
        <v>4667</v>
      </c>
      <c r="H4521" s="1">
        <v>1</v>
      </c>
      <c r="I4521" s="1">
        <v>3</v>
      </c>
      <c r="J4521" s="1">
        <v>2</v>
      </c>
      <c r="K4521" s="2">
        <v>3.5</v>
      </c>
    </row>
    <row r="4522" spans="1:12">
      <c r="A4522" s="3" t="s">
        <v>2194</v>
      </c>
      <c r="B4522" s="3" t="s">
        <v>3663</v>
      </c>
      <c r="C4522" s="3" t="s">
        <v>4533</v>
      </c>
      <c r="D4522" s="3"/>
      <c r="E4522" s="2" t="str">
        <f>HYPERLINK("https://old.ukr-mobil.com/ramka_displeya_samsung_n950_galaxy_note_8_black_10004097", "Перейти")</f>
        <v>Перейти</v>
      </c>
      <c r="F4522" s="2">
        <v>10004097</v>
      </c>
      <c r="G4522" s="4" t="s">
        <v>4668</v>
      </c>
      <c r="H4522" s="1">
        <v>0</v>
      </c>
      <c r="I4522" s="1">
        <v>0</v>
      </c>
      <c r="J4522" s="1">
        <v>1</v>
      </c>
      <c r="K4522" s="2">
        <v>7.5</v>
      </c>
    </row>
    <row r="4523" spans="1:12">
      <c r="A4523" s="3" t="s">
        <v>2194</v>
      </c>
      <c r="B4523" s="3" t="s">
        <v>3663</v>
      </c>
      <c r="C4523" s="3" t="s">
        <v>4533</v>
      </c>
      <c r="D4523" s="3"/>
      <c r="E4523" s="2" t="str">
        <f>HYPERLINK("https://old.ukr-mobil.com/ramka_displeya_samsung_n960_galaxy_note_9_black_10004061", "Перейти")</f>
        <v>Перейти</v>
      </c>
      <c r="F4523" s="2">
        <v>10004061</v>
      </c>
      <c r="G4523" s="4" t="s">
        <v>4669</v>
      </c>
      <c r="H4523" s="1">
        <v>4</v>
      </c>
      <c r="I4523" s="1">
        <v>1</v>
      </c>
      <c r="J4523" s="1">
        <v>1</v>
      </c>
      <c r="K4523" s="2">
        <v>10.0</v>
      </c>
    </row>
    <row r="4524" spans="1:12">
      <c r="A4524" s="3" t="s">
        <v>2194</v>
      </c>
      <c r="B4524" s="3" t="s">
        <v>3663</v>
      </c>
      <c r="C4524" s="3" t="s">
        <v>4533</v>
      </c>
      <c r="D4524" s="3"/>
      <c r="E4524" s="2" t="str">
        <f>HYPERLINK("https://old.ukr-mobil.com/ramka_displeya_samsung_n970_galaxy_note_10_black_10004096", "Перейти")</f>
        <v>Перейти</v>
      </c>
      <c r="F4524" s="2">
        <v>10004096</v>
      </c>
      <c r="G4524" s="4" t="s">
        <v>4670</v>
      </c>
      <c r="H4524" s="1">
        <v>1</v>
      </c>
      <c r="I4524" s="1">
        <v>2</v>
      </c>
      <c r="J4524" s="1">
        <v>1</v>
      </c>
      <c r="K4524" s="2">
        <v>15.0</v>
      </c>
    </row>
    <row r="4525" spans="1:12">
      <c r="A4525" s="3" t="s">
        <v>2194</v>
      </c>
      <c r="B4525" s="3" t="s">
        <v>3663</v>
      </c>
      <c r="C4525" s="3" t="s">
        <v>4533</v>
      </c>
      <c r="D4525" s="3"/>
      <c r="E4525" s="2" t="str">
        <f>HYPERLINK("https://old.ukr-mobil.com/ramka_displeya_samsung_n975_galaxy_note_10_plus_black_10004071", "Перейти")</f>
        <v>Перейти</v>
      </c>
      <c r="F4525" s="2">
        <v>10004071</v>
      </c>
      <c r="G4525" s="4" t="s">
        <v>4671</v>
      </c>
      <c r="H4525" s="1">
        <v>3</v>
      </c>
      <c r="I4525" s="1">
        <v>1</v>
      </c>
      <c r="J4525" s="1">
        <v>1</v>
      </c>
      <c r="K4525" s="2">
        <v>12.25</v>
      </c>
    </row>
    <row r="4526" spans="1:12">
      <c r="A4526" s="3" t="s">
        <v>2194</v>
      </c>
      <c r="B4526" s="3" t="s">
        <v>3663</v>
      </c>
      <c r="C4526" s="3" t="s">
        <v>4533</v>
      </c>
      <c r="D4526" s="3"/>
      <c r="E4526" s="2" t="str">
        <f>HYPERLINK("https://old.ukr-mobil.com/ramka_displeya_samsung_n980_galaxy_note_20_aura_grey_10004031", "Перейти")</f>
        <v>Перейти</v>
      </c>
      <c r="F4526" s="2">
        <v>10004031</v>
      </c>
      <c r="G4526" s="4" t="s">
        <v>4672</v>
      </c>
      <c r="H4526" s="1">
        <v>2</v>
      </c>
      <c r="I4526" s="1">
        <v>1</v>
      </c>
      <c r="J4526" s="1">
        <v>2</v>
      </c>
      <c r="K4526" s="2">
        <v>19.0</v>
      </c>
    </row>
    <row r="4527" spans="1:12">
      <c r="A4527" s="3" t="s">
        <v>2194</v>
      </c>
      <c r="B4527" s="3" t="s">
        <v>3663</v>
      </c>
      <c r="C4527" s="3" t="s">
        <v>4533</v>
      </c>
      <c r="D4527" s="3"/>
      <c r="E4527" s="2" t="str">
        <f>HYPERLINK("https://old.ukr-mobil.com/ramka_displeya_samsung_n985_galaxy_note_20_ultra_aura_black_10004030", "Перейти")</f>
        <v>Перейти</v>
      </c>
      <c r="F4527" s="2">
        <v>10004030</v>
      </c>
      <c r="G4527" s="4" t="s">
        <v>4673</v>
      </c>
      <c r="H4527" s="1">
        <v>2</v>
      </c>
      <c r="I4527" s="1">
        <v>1</v>
      </c>
      <c r="J4527" s="1">
        <v>2</v>
      </c>
      <c r="K4527" s="2">
        <v>17.0</v>
      </c>
    </row>
    <row r="4528" spans="1:12">
      <c r="A4528" s="3" t="s">
        <v>2194</v>
      </c>
      <c r="B4528" s="3" t="s">
        <v>3663</v>
      </c>
      <c r="C4528" s="3" t="s">
        <v>4533</v>
      </c>
      <c r="D4528" s="3"/>
      <c r="E4528" s="2" t="str">
        <f>HYPERLINK("https://old.ukr-mobil.com/ramka_displeya_samsung_s901_galaxy_s22_phantom_black_10004028", "Перейти")</f>
        <v>Перейти</v>
      </c>
      <c r="F4528" s="2">
        <v>10004028</v>
      </c>
      <c r="G4528" s="4" t="s">
        <v>4674</v>
      </c>
      <c r="H4528" s="1">
        <v>0</v>
      </c>
      <c r="I4528" s="1">
        <v>0</v>
      </c>
      <c r="J4528" s="1">
        <v>0</v>
      </c>
      <c r="K4528" s="2">
        <v>28.0</v>
      </c>
    </row>
    <row r="4529" spans="1:12">
      <c r="A4529" s="3" t="s">
        <v>2194</v>
      </c>
      <c r="B4529" s="3" t="s">
        <v>3663</v>
      </c>
      <c r="C4529" s="3" t="s">
        <v>4533</v>
      </c>
      <c r="D4529" s="3"/>
      <c r="E4529" s="2" t="str">
        <f>HYPERLINK("https://old.ukr-mobil.com/ramka_displeya_samsung_s906_galaxy_s22_plus_phantom_black_10004089", "Перейти")</f>
        <v>Перейти</v>
      </c>
      <c r="F4529" s="2">
        <v>10004089</v>
      </c>
      <c r="G4529" s="4" t="s">
        <v>4675</v>
      </c>
      <c r="H4529" s="1">
        <v>0</v>
      </c>
      <c r="I4529" s="1">
        <v>1</v>
      </c>
      <c r="J4529" s="1">
        <v>1</v>
      </c>
      <c r="K4529" s="2">
        <v>34.0</v>
      </c>
    </row>
    <row r="4530" spans="1:12">
      <c r="A4530" s="3" t="s">
        <v>2194</v>
      </c>
      <c r="B4530" s="3" t="s">
        <v>3663</v>
      </c>
      <c r="C4530" s="3" t="s">
        <v>4533</v>
      </c>
      <c r="D4530" s="3"/>
      <c r="E4530" s="2" t="str">
        <f>HYPERLINK("https://old.ukr-mobil.com/ramka_displeya_samsung_s908_galaxy_s22_ultra_phantom_black_10004029", "Перейти")</f>
        <v>Перейти</v>
      </c>
      <c r="F4530" s="2">
        <v>10004029</v>
      </c>
      <c r="G4530" s="4" t="s">
        <v>4676</v>
      </c>
      <c r="H4530" s="1">
        <v>2</v>
      </c>
      <c r="I4530" s="1">
        <v>1</v>
      </c>
      <c r="J4530" s="1">
        <v>2</v>
      </c>
      <c r="K4530" s="2">
        <v>30.0</v>
      </c>
    </row>
    <row r="4531" spans="1:12">
      <c r="A4531" s="3" t="s">
        <v>2194</v>
      </c>
      <c r="B4531" s="3" t="s">
        <v>3663</v>
      </c>
      <c r="C4531" s="3" t="s">
        <v>4533</v>
      </c>
      <c r="D4531" s="3"/>
      <c r="E4531" s="2" t="str">
        <f>HYPERLINK("https://old.ukr-mobil.com/ramka_displeya_tecno_camon_17p_cg7n_10003863", "Перейти")</f>
        <v>Перейти</v>
      </c>
      <c r="F4531" s="2">
        <v>10003863</v>
      </c>
      <c r="G4531" s="4" t="s">
        <v>4677</v>
      </c>
      <c r="H4531" s="1">
        <v>0</v>
      </c>
      <c r="I4531" s="1">
        <v>0</v>
      </c>
      <c r="J4531" s="1">
        <v>0</v>
      </c>
      <c r="K4531" s="2">
        <v>6.0</v>
      </c>
    </row>
    <row r="4532" spans="1:12">
      <c r="A4532" s="3" t="s">
        <v>2194</v>
      </c>
      <c r="B4532" s="3" t="s">
        <v>3663</v>
      </c>
      <c r="C4532" s="3" t="s">
        <v>4533</v>
      </c>
      <c r="D4532" s="3"/>
      <c r="E4532" s="2" t="str">
        <f>HYPERLINK("https://old.ukr-mobil.com/ramka_displeya_tecno_camon_18_ch6_10003864", "Перейти")</f>
        <v>Перейти</v>
      </c>
      <c r="F4532" s="2">
        <v>10003864</v>
      </c>
      <c r="G4532" s="4" t="s">
        <v>4678</v>
      </c>
      <c r="H4532" s="1">
        <v>0</v>
      </c>
      <c r="I4532" s="1">
        <v>0</v>
      </c>
      <c r="J4532" s="1">
        <v>0</v>
      </c>
      <c r="K4532" s="2">
        <v>4.75</v>
      </c>
    </row>
    <row r="4533" spans="1:12">
      <c r="A4533" s="3" t="s">
        <v>2194</v>
      </c>
      <c r="B4533" s="3" t="s">
        <v>3663</v>
      </c>
      <c r="C4533" s="3" t="s">
        <v>4533</v>
      </c>
      <c r="D4533" s="3"/>
      <c r="E4533" s="2" t="str">
        <f>HYPERLINK("https://old.ukr-mobil.com/ramka_displeya_tecno_camon_18p_ch7n_10003865", "Перейти")</f>
        <v>Перейти</v>
      </c>
      <c r="F4533" s="2">
        <v>10003865</v>
      </c>
      <c r="G4533" s="4" t="s">
        <v>4679</v>
      </c>
      <c r="H4533" s="1">
        <v>0</v>
      </c>
      <c r="I4533" s="1">
        <v>0</v>
      </c>
      <c r="J4533" s="1">
        <v>0</v>
      </c>
      <c r="K4533" s="2">
        <v>6.0</v>
      </c>
    </row>
    <row r="4534" spans="1:12">
      <c r="A4534" s="3" t="s">
        <v>2194</v>
      </c>
      <c r="B4534" s="3" t="s">
        <v>3663</v>
      </c>
      <c r="C4534" s="3" t="s">
        <v>4533</v>
      </c>
      <c r="D4534" s="3"/>
      <c r="E4534" s="2" t="str">
        <f>HYPERLINK("https://old.ukr-mobil.com/ramka_displeya_tecno_camon_19_ci6n_black_10003866", "Перейти")</f>
        <v>Перейти</v>
      </c>
      <c r="F4534" s="2">
        <v>10003866</v>
      </c>
      <c r="G4534" s="4" t="s">
        <v>4680</v>
      </c>
      <c r="H4534" s="1">
        <v>0</v>
      </c>
      <c r="I4534" s="1">
        <v>0</v>
      </c>
      <c r="J4534" s="1">
        <v>0</v>
      </c>
      <c r="K4534" s="2">
        <v>6.0</v>
      </c>
    </row>
    <row r="4535" spans="1:12">
      <c r="A4535" s="3" t="s">
        <v>2194</v>
      </c>
      <c r="B4535" s="3" t="s">
        <v>3663</v>
      </c>
      <c r="C4535" s="3" t="s">
        <v>4533</v>
      </c>
      <c r="D4535" s="3"/>
      <c r="E4535" s="2" t="str">
        <f>HYPERLINK("https://old.ukr-mobil.com/index.php?route=product&amp;product_id=10004788", "Перейти")</f>
        <v>Перейти</v>
      </c>
      <c r="F4535" s="2">
        <v>10004788</v>
      </c>
      <c r="G4535" s="4" t="s">
        <v>4681</v>
      </c>
      <c r="H4535" s="1">
        <v>0</v>
      </c>
      <c r="I4535" s="1">
        <v>0</v>
      </c>
      <c r="J4535" s="1">
        <v>0</v>
      </c>
      <c r="K4535" s="2">
        <v>6.0</v>
      </c>
    </row>
    <row r="4536" spans="1:12">
      <c r="A4536" s="3" t="s">
        <v>2194</v>
      </c>
      <c r="B4536" s="3" t="s">
        <v>3663</v>
      </c>
      <c r="C4536" s="3" t="s">
        <v>4533</v>
      </c>
      <c r="D4536" s="3"/>
      <c r="E4536" s="2" t="str">
        <f>HYPERLINK("https://old.ukr-mobil.com/index.php?route=product&amp;product_id=10004789", "Перейти")</f>
        <v>Перейти</v>
      </c>
      <c r="F4536" s="2">
        <v>10004789</v>
      </c>
      <c r="G4536" s="4" t="s">
        <v>4682</v>
      </c>
      <c r="H4536" s="1">
        <v>0</v>
      </c>
      <c r="I4536" s="1">
        <v>0</v>
      </c>
      <c r="J4536" s="1">
        <v>0</v>
      </c>
      <c r="K4536" s="2">
        <v>6.0</v>
      </c>
    </row>
    <row r="4537" spans="1:12">
      <c r="A4537" s="3" t="s">
        <v>2194</v>
      </c>
      <c r="B4537" s="3" t="s">
        <v>3663</v>
      </c>
      <c r="C4537" s="3" t="s">
        <v>4533</v>
      </c>
      <c r="D4537" s="3"/>
      <c r="E4537" s="2" t="str">
        <f>HYPERLINK("https://old.ukr-mobil.com/index.php?route=product&amp;product_id=10004785", "Перейти")</f>
        <v>Перейти</v>
      </c>
      <c r="F4537" s="2">
        <v>10004785</v>
      </c>
      <c r="G4537" s="4" t="s">
        <v>4683</v>
      </c>
      <c r="H4537" s="1">
        <v>0</v>
      </c>
      <c r="I4537" s="1">
        <v>0</v>
      </c>
      <c r="J4537" s="1">
        <v>0</v>
      </c>
      <c r="K4537" s="2">
        <v>6.0</v>
      </c>
    </row>
    <row r="4538" spans="1:12">
      <c r="A4538" s="3" t="s">
        <v>2194</v>
      </c>
      <c r="B4538" s="3" t="s">
        <v>3663</v>
      </c>
      <c r="C4538" s="3" t="s">
        <v>4533</v>
      </c>
      <c r="D4538" s="3"/>
      <c r="E4538" s="2" t="str">
        <f>HYPERLINK("https://old.ukr-mobil.com/index.php?route=product&amp;product_id=10004786", "Перейти")</f>
        <v>Перейти</v>
      </c>
      <c r="F4538" s="2">
        <v>10004786</v>
      </c>
      <c r="G4538" s="4" t="s">
        <v>4684</v>
      </c>
      <c r="H4538" s="1">
        <v>0</v>
      </c>
      <c r="I4538" s="1">
        <v>0</v>
      </c>
      <c r="J4538" s="1">
        <v>0</v>
      </c>
      <c r="K4538" s="2">
        <v>6.0</v>
      </c>
    </row>
    <row r="4539" spans="1:12">
      <c r="A4539" s="3" t="s">
        <v>2194</v>
      </c>
      <c r="B4539" s="3" t="s">
        <v>3663</v>
      </c>
      <c r="C4539" s="3" t="s">
        <v>4533</v>
      </c>
      <c r="D4539" s="3"/>
      <c r="E4539" s="2" t="str">
        <f>HYPERLINK("https://old.ukr-mobil.com/ramka_displeya_tecno_spark_7_kf6n_10003867", "Перейти")</f>
        <v>Перейти</v>
      </c>
      <c r="F4539" s="2">
        <v>10003867</v>
      </c>
      <c r="G4539" s="4" t="s">
        <v>4685</v>
      </c>
      <c r="H4539" s="1">
        <v>0</v>
      </c>
      <c r="I4539" s="1">
        <v>0</v>
      </c>
      <c r="J4539" s="1">
        <v>0</v>
      </c>
      <c r="K4539" s="2">
        <v>4.75</v>
      </c>
    </row>
    <row r="4540" spans="1:12">
      <c r="A4540" s="3" t="s">
        <v>2194</v>
      </c>
      <c r="B4540" s="3" t="s">
        <v>3663</v>
      </c>
      <c r="C4540" s="3" t="s">
        <v>4533</v>
      </c>
      <c r="D4540" s="3"/>
      <c r="E4540" s="2" t="str">
        <f>HYPERLINK("https://old.ukr-mobil.com/ramka_displeya_tecno_spark_8p_kg7n_10003868", "Перейти")</f>
        <v>Перейти</v>
      </c>
      <c r="F4540" s="2">
        <v>10003868</v>
      </c>
      <c r="G4540" s="4" t="s">
        <v>4686</v>
      </c>
      <c r="H4540" s="1">
        <v>0</v>
      </c>
      <c r="I4540" s="1">
        <v>0</v>
      </c>
      <c r="J4540" s="1">
        <v>0</v>
      </c>
      <c r="K4540" s="2">
        <v>5.85</v>
      </c>
    </row>
    <row r="4541" spans="1:12">
      <c r="A4541" s="3" t="s">
        <v>2194</v>
      </c>
      <c r="B4541" s="3" t="s">
        <v>3663</v>
      </c>
      <c r="C4541" s="3" t="s">
        <v>4533</v>
      </c>
      <c r="D4541" s="3"/>
      <c r="E4541" s="2" t="str">
        <f>HYPERLINK("https://old.ukr-mobil.com/index.php?route=product&amp;product_id=10004790", "Перейти")</f>
        <v>Перейти</v>
      </c>
      <c r="F4541" s="2">
        <v>10004790</v>
      </c>
      <c r="G4541" s="4" t="s">
        <v>4687</v>
      </c>
      <c r="H4541" s="1">
        <v>0</v>
      </c>
      <c r="I4541" s="1">
        <v>0</v>
      </c>
      <c r="J4541" s="1">
        <v>0</v>
      </c>
      <c r="K4541" s="2">
        <v>4.0</v>
      </c>
    </row>
    <row r="4542" spans="1:12">
      <c r="A4542" s="3" t="s">
        <v>2194</v>
      </c>
      <c r="B4542" s="3" t="s">
        <v>3663</v>
      </c>
      <c r="C4542" s="3" t="s">
        <v>4533</v>
      </c>
      <c r="D4542" s="3"/>
      <c r="E4542" s="2" t="str">
        <f>HYPERLINK("https://old.ukr-mobil.com/ramka_displeya_tecno_spark_8c_kg5k_kg5j_kg5n_10003869", "Перейти")</f>
        <v>Перейти</v>
      </c>
      <c r="F4542" s="2">
        <v>10003869</v>
      </c>
      <c r="G4542" s="4" t="s">
        <v>4688</v>
      </c>
      <c r="H4542" s="1">
        <v>0</v>
      </c>
      <c r="I4542" s="1">
        <v>0</v>
      </c>
      <c r="J4542" s="1">
        <v>0</v>
      </c>
      <c r="K4542" s="2">
        <v>3.5</v>
      </c>
    </row>
    <row r="4543" spans="1:12">
      <c r="A4543" s="3" t="s">
        <v>2194</v>
      </c>
      <c r="B4543" s="3" t="s">
        <v>3663</v>
      </c>
      <c r="C4543" s="3" t="s">
        <v>4533</v>
      </c>
      <c r="D4543" s="3"/>
      <c r="E4543" s="2" t="str">
        <f>HYPERLINK("https://old.ukr-mobil.com/index.php?route=product&amp;product_id=10004787", "Перейти")</f>
        <v>Перейти</v>
      </c>
      <c r="F4543" s="2">
        <v>10004787</v>
      </c>
      <c r="G4543" s="4" t="s">
        <v>4689</v>
      </c>
      <c r="H4543" s="1">
        <v>2</v>
      </c>
      <c r="I4543" s="1">
        <v>1</v>
      </c>
      <c r="J4543" s="1">
        <v>1</v>
      </c>
      <c r="K4543" s="2">
        <v>5.0</v>
      </c>
    </row>
    <row r="4544" spans="1:12">
      <c r="A4544" s="3" t="s">
        <v>2194</v>
      </c>
      <c r="B4544" s="3" t="s">
        <v>3663</v>
      </c>
      <c r="C4544" s="3" t="s">
        <v>4533</v>
      </c>
      <c r="D4544" s="3"/>
      <c r="E4544" s="2" t="str">
        <f>HYPERLINK("https://old.ukr-mobil.com/ramka_displeya_vivo_y11_2019_y12_2019_y15_2019_y17_2019_10004165", "Перейти")</f>
        <v>Перейти</v>
      </c>
      <c r="F4544" s="2">
        <v>10004165</v>
      </c>
      <c r="G4544" s="4" t="s">
        <v>4690</v>
      </c>
      <c r="H4544" s="1">
        <v>4</v>
      </c>
      <c r="I4544" s="1">
        <v>1</v>
      </c>
      <c r="J4544" s="1">
        <v>2</v>
      </c>
      <c r="K4544" s="2">
        <v>2.85</v>
      </c>
    </row>
    <row r="4545" spans="1:12">
      <c r="A4545" s="3" t="s">
        <v>2194</v>
      </c>
      <c r="B4545" s="3" t="s">
        <v>3663</v>
      </c>
      <c r="C4545" s="3" t="s">
        <v>4533</v>
      </c>
      <c r="D4545" s="3"/>
      <c r="E4545" s="2" t="str">
        <f>HYPERLINK("https://old.ukr-mobil.com/ramka_displeya_vivo_y19_10003996", "Перейти")</f>
        <v>Перейти</v>
      </c>
      <c r="F4545" s="2">
        <v>10003996</v>
      </c>
      <c r="G4545" s="4" t="s">
        <v>4691</v>
      </c>
      <c r="H4545" s="1">
        <v>3</v>
      </c>
      <c r="I4545" s="1">
        <v>2</v>
      </c>
      <c r="J4545" s="1">
        <v>3</v>
      </c>
      <c r="K4545" s="2">
        <v>3.0</v>
      </c>
    </row>
    <row r="4546" spans="1:12">
      <c r="A4546" s="3" t="s">
        <v>2194</v>
      </c>
      <c r="B4546" s="3" t="s">
        <v>3663</v>
      </c>
      <c r="C4546" s="3" t="s">
        <v>4533</v>
      </c>
      <c r="D4546" s="3"/>
      <c r="E4546" s="2" t="str">
        <f>HYPERLINK("https://old.ukr-mobil.com/ramka_displeya_vivo_y20_y20i_y20s_y01_10004017", "Перейти")</f>
        <v>Перейти</v>
      </c>
      <c r="F4546" s="2">
        <v>10004017</v>
      </c>
      <c r="G4546" s="4" t="s">
        <v>4692</v>
      </c>
      <c r="H4546" s="1">
        <v>2</v>
      </c>
      <c r="I4546" s="1">
        <v>2</v>
      </c>
      <c r="J4546" s="1">
        <v>1</v>
      </c>
      <c r="K4546" s="2">
        <v>3.25</v>
      </c>
    </row>
    <row r="4547" spans="1:12">
      <c r="A4547" s="3" t="s">
        <v>2194</v>
      </c>
      <c r="B4547" s="3" t="s">
        <v>3663</v>
      </c>
      <c r="C4547" s="3" t="s">
        <v>4533</v>
      </c>
      <c r="D4547" s="3"/>
      <c r="E4547" s="2" t="str">
        <f>HYPERLINK("https://old.ukr-mobil.com/ramka_displeya_vivo_y21_v2111_y21s_v2110_10004018", "Перейти")</f>
        <v>Перейти</v>
      </c>
      <c r="F4547" s="2">
        <v>10004018</v>
      </c>
      <c r="G4547" s="4" t="s">
        <v>4693</v>
      </c>
      <c r="H4547" s="1">
        <v>0</v>
      </c>
      <c r="I4547" s="1">
        <v>1</v>
      </c>
      <c r="J4547" s="1">
        <v>0</v>
      </c>
      <c r="K4547" s="2">
        <v>3.5</v>
      </c>
    </row>
    <row r="4548" spans="1:12">
      <c r="A4548" s="3" t="s">
        <v>2194</v>
      </c>
      <c r="B4548" s="3" t="s">
        <v>3663</v>
      </c>
      <c r="C4548" s="3" t="s">
        <v>4533</v>
      </c>
      <c r="D4548" s="3"/>
      <c r="E4548" s="2" t="str">
        <f>HYPERLINK("https://old.ukr-mobil.com/ramka_displeya_vivo_y31_v2036_y31s_v2054a_10004019", "Перейти")</f>
        <v>Перейти</v>
      </c>
      <c r="F4548" s="2">
        <v>10004019</v>
      </c>
      <c r="G4548" s="4" t="s">
        <v>4694</v>
      </c>
      <c r="H4548" s="1">
        <v>0</v>
      </c>
      <c r="I4548" s="1">
        <v>0</v>
      </c>
      <c r="J4548" s="1">
        <v>0</v>
      </c>
      <c r="K4548" s="2">
        <v>3.5</v>
      </c>
    </row>
    <row r="4549" spans="1:12">
      <c r="A4549" s="3" t="s">
        <v>2194</v>
      </c>
      <c r="B4549" s="3" t="s">
        <v>3663</v>
      </c>
      <c r="C4549" s="3" t="s">
        <v>4533</v>
      </c>
      <c r="D4549" s="3"/>
      <c r="E4549" s="2" t="str">
        <f>HYPERLINK("https://old.ukr-mobil.com/ramka_displeya_vivo_y53s_v2111a_v2058_10004186", "Перейти")</f>
        <v>Перейти</v>
      </c>
      <c r="F4549" s="2">
        <v>10004186</v>
      </c>
      <c r="G4549" s="4" t="s">
        <v>4695</v>
      </c>
      <c r="H4549" s="1">
        <v>0</v>
      </c>
      <c r="I4549" s="1">
        <v>2</v>
      </c>
      <c r="J4549" s="1">
        <v>0</v>
      </c>
      <c r="K4549" s="2">
        <v>4.0</v>
      </c>
    </row>
    <row r="4550" spans="1:12">
      <c r="A4550" s="3" t="s">
        <v>2194</v>
      </c>
      <c r="B4550" s="3" t="s">
        <v>3663</v>
      </c>
      <c r="C4550" s="3" t="s">
        <v>4533</v>
      </c>
      <c r="D4550" s="3"/>
      <c r="E4550" s="2" t="str">
        <f>HYPERLINK("https://old.ukr-mobil.com/ramka_displeya_vivo_y91_y91c_y91i_y93_y95_10003979", "Перейти")</f>
        <v>Перейти</v>
      </c>
      <c r="F4550" s="2">
        <v>10003979</v>
      </c>
      <c r="G4550" s="4" t="s">
        <v>4696</v>
      </c>
      <c r="H4550" s="1">
        <v>0</v>
      </c>
      <c r="I4550" s="1">
        <v>0</v>
      </c>
      <c r="J4550" s="1">
        <v>1</v>
      </c>
      <c r="K4550" s="2">
        <v>3.75</v>
      </c>
    </row>
    <row r="4551" spans="1:12">
      <c r="A4551" s="3" t="s">
        <v>2194</v>
      </c>
      <c r="B4551" s="3" t="s">
        <v>3663</v>
      </c>
      <c r="C4551" s="3" t="s">
        <v>4533</v>
      </c>
      <c r="D4551" s="3"/>
      <c r="E4551" s="2" t="str">
        <f>HYPERLINK("https://old.ukr-mobil.com/ramka_displeya_xiaomi_11t_11t_pro_black_10003984", "Перейти")</f>
        <v>Перейти</v>
      </c>
      <c r="F4551" s="2">
        <v>10003984</v>
      </c>
      <c r="G4551" s="4" t="s">
        <v>4697</v>
      </c>
      <c r="H4551" s="1">
        <v>0</v>
      </c>
      <c r="I4551" s="1">
        <v>0</v>
      </c>
      <c r="J4551" s="1">
        <v>0</v>
      </c>
      <c r="K4551" s="2">
        <v>10.75</v>
      </c>
    </row>
    <row r="4552" spans="1:12">
      <c r="A4552" s="3" t="s">
        <v>2194</v>
      </c>
      <c r="B4552" s="3" t="s">
        <v>3663</v>
      </c>
      <c r="C4552" s="3" t="s">
        <v>4533</v>
      </c>
      <c r="D4552" s="3"/>
      <c r="E4552" s="2" t="str">
        <f>HYPERLINK("https://old.ukr-mobil.com/ramka_displeya_xiaomi_11t_11t_pro_silver_10003989", "Перейти")</f>
        <v>Перейти</v>
      </c>
      <c r="F4552" s="2">
        <v>10003989</v>
      </c>
      <c r="G4552" s="4" t="s">
        <v>4698</v>
      </c>
      <c r="H4552" s="1">
        <v>0</v>
      </c>
      <c r="I4552" s="1">
        <v>0</v>
      </c>
      <c r="J4552" s="1">
        <v>0</v>
      </c>
      <c r="K4552" s="2">
        <v>8.85</v>
      </c>
    </row>
    <row r="4553" spans="1:12">
      <c r="A4553" s="3" t="s">
        <v>2194</v>
      </c>
      <c r="B4553" s="3" t="s">
        <v>3663</v>
      </c>
      <c r="C4553" s="3" t="s">
        <v>4533</v>
      </c>
      <c r="D4553" s="3"/>
      <c r="E4553" s="2" t="str">
        <f>HYPERLINK("https://old.ukr-mobil.com/index.php?route=product&amp;product_id=10004783", "Перейти")</f>
        <v>Перейти</v>
      </c>
      <c r="F4553" s="2">
        <v>10004783</v>
      </c>
      <c r="G4553" s="4" t="s">
        <v>4699</v>
      </c>
      <c r="H4553" s="1">
        <v>2</v>
      </c>
      <c r="I4553" s="1">
        <v>2</v>
      </c>
      <c r="J4553" s="1">
        <v>0</v>
      </c>
      <c r="K4553" s="2">
        <v>18.0</v>
      </c>
    </row>
    <row r="4554" spans="1:12">
      <c r="A4554" s="3" t="s">
        <v>2194</v>
      </c>
      <c r="B4554" s="3" t="s">
        <v>3663</v>
      </c>
      <c r="C4554" s="3" t="s">
        <v>4533</v>
      </c>
      <c r="D4554" s="3"/>
      <c r="E4554" s="2" t="str">
        <f>HYPERLINK("https://old.ukr-mobil.com/index.php?route=product&amp;product_id=10004907", "Перейти")</f>
        <v>Перейти</v>
      </c>
      <c r="F4554" s="2">
        <v>10004907</v>
      </c>
      <c r="G4554" s="4" t="s">
        <v>4700</v>
      </c>
      <c r="H4554" s="1">
        <v>6</v>
      </c>
      <c r="I4554" s="1">
        <v>2</v>
      </c>
      <c r="J4554" s="1">
        <v>0</v>
      </c>
      <c r="K4554" s="2">
        <v>20.0</v>
      </c>
    </row>
    <row r="4555" spans="1:12">
      <c r="A4555" s="3" t="s">
        <v>2194</v>
      </c>
      <c r="B4555" s="3" t="s">
        <v>3663</v>
      </c>
      <c r="C4555" s="3" t="s">
        <v>4533</v>
      </c>
      <c r="D4555" s="3"/>
      <c r="E4555" s="2" t="str">
        <f>HYPERLINK("https://old.ukr-mobil.com/ramka_displeya_xiaomi_mi_10_lite_aurora_blue_10004060", "Перейти")</f>
        <v>Перейти</v>
      </c>
      <c r="F4555" s="2">
        <v>10004060</v>
      </c>
      <c r="G4555" s="4" t="s">
        <v>4701</v>
      </c>
      <c r="H4555" s="1">
        <v>3</v>
      </c>
      <c r="I4555" s="1">
        <v>1</v>
      </c>
      <c r="J4555" s="1">
        <v>1</v>
      </c>
      <c r="K4555" s="2">
        <v>9.0</v>
      </c>
    </row>
    <row r="4556" spans="1:12">
      <c r="A4556" s="3" t="s">
        <v>2194</v>
      </c>
      <c r="B4556" s="3" t="s">
        <v>3663</v>
      </c>
      <c r="C4556" s="3" t="s">
        <v>4533</v>
      </c>
      <c r="D4556" s="3"/>
      <c r="E4556" s="2" t="str">
        <f>HYPERLINK("https://old.ukr-mobil.com/ramka_displeya_xiaomi_mi_10_lite_cosmic_grey_10004059", "Перейти")</f>
        <v>Перейти</v>
      </c>
      <c r="F4556" s="2">
        <v>10004059</v>
      </c>
      <c r="G4556" s="4" t="s">
        <v>4702</v>
      </c>
      <c r="H4556" s="1">
        <v>3</v>
      </c>
      <c r="I4556" s="1">
        <v>1</v>
      </c>
      <c r="J4556" s="1">
        <v>1</v>
      </c>
      <c r="K4556" s="2">
        <v>9.0</v>
      </c>
    </row>
    <row r="4557" spans="1:12">
      <c r="A4557" s="3" t="s">
        <v>2194</v>
      </c>
      <c r="B4557" s="3" t="s">
        <v>3663</v>
      </c>
      <c r="C4557" s="3" t="s">
        <v>4533</v>
      </c>
      <c r="D4557" s="3"/>
      <c r="E4557" s="2" t="str">
        <f>HYPERLINK("https://old.ukr-mobil.com/ramka_displeya_xiaomi_mi_11_lite_black_10004002", "Перейти")</f>
        <v>Перейти</v>
      </c>
      <c r="F4557" s="2">
        <v>10004002</v>
      </c>
      <c r="G4557" s="4" t="s">
        <v>4703</v>
      </c>
      <c r="H4557" s="1">
        <v>3</v>
      </c>
      <c r="I4557" s="1">
        <v>1</v>
      </c>
      <c r="J4557" s="1">
        <v>1</v>
      </c>
      <c r="K4557" s="2">
        <v>12.5</v>
      </c>
    </row>
    <row r="4558" spans="1:12">
      <c r="A4558" s="3" t="s">
        <v>2194</v>
      </c>
      <c r="B4558" s="3" t="s">
        <v>3663</v>
      </c>
      <c r="C4558" s="3" t="s">
        <v>4533</v>
      </c>
      <c r="D4558" s="3"/>
      <c r="E4558" s="2" t="str">
        <f>HYPERLINK("https://old.ukr-mobil.com/ramka_displeya_xiaomi_mi_11_lite_blue_10004003", "Перейти")</f>
        <v>Перейти</v>
      </c>
      <c r="F4558" s="2">
        <v>10004003</v>
      </c>
      <c r="G4558" s="4" t="s">
        <v>4704</v>
      </c>
      <c r="H4558" s="1">
        <v>1</v>
      </c>
      <c r="I4558" s="1">
        <v>1</v>
      </c>
      <c r="J4558" s="1">
        <v>2</v>
      </c>
      <c r="K4558" s="2">
        <v>12.5</v>
      </c>
    </row>
    <row r="4559" spans="1:12">
      <c r="A4559" s="3" t="s">
        <v>2194</v>
      </c>
      <c r="B4559" s="3" t="s">
        <v>3663</v>
      </c>
      <c r="C4559" s="3" t="s">
        <v>4533</v>
      </c>
      <c r="D4559" s="3"/>
      <c r="E4559" s="2" t="str">
        <f>HYPERLINK("https://old.ukr-mobil.com/ramka_displeya_xiaomi_mi_11_lite_green_10004004", "Перейти")</f>
        <v>Перейти</v>
      </c>
      <c r="F4559" s="2">
        <v>10004004</v>
      </c>
      <c r="G4559" s="4" t="s">
        <v>4705</v>
      </c>
      <c r="H4559" s="1">
        <v>0</v>
      </c>
      <c r="I4559" s="1">
        <v>2</v>
      </c>
      <c r="J4559" s="1">
        <v>1</v>
      </c>
      <c r="K4559" s="2">
        <v>12.5</v>
      </c>
    </row>
    <row r="4560" spans="1:12">
      <c r="A4560" s="3" t="s">
        <v>2194</v>
      </c>
      <c r="B4560" s="3" t="s">
        <v>3663</v>
      </c>
      <c r="C4560" s="3" t="s">
        <v>4533</v>
      </c>
      <c r="D4560" s="3"/>
      <c r="E4560" s="2" t="str">
        <f>HYPERLINK("https://old.ukr-mobil.com/ramka_displeya_xiaomi_mi_11_lite_pink_10003990", "Перейти")</f>
        <v>Перейти</v>
      </c>
      <c r="F4560" s="2">
        <v>10003990</v>
      </c>
      <c r="G4560" s="4" t="s">
        <v>4706</v>
      </c>
      <c r="H4560" s="1">
        <v>1</v>
      </c>
      <c r="I4560" s="1">
        <v>2</v>
      </c>
      <c r="J4560" s="1">
        <v>2</v>
      </c>
      <c r="K4560" s="2">
        <v>12.5</v>
      </c>
    </row>
    <row r="4561" spans="1:12">
      <c r="A4561" s="3" t="s">
        <v>2194</v>
      </c>
      <c r="B4561" s="3" t="s">
        <v>3663</v>
      </c>
      <c r="C4561" s="3" t="s">
        <v>4533</v>
      </c>
      <c r="D4561" s="3"/>
      <c r="E4561" s="2" t="str">
        <f>HYPERLINK("https://old.ukr-mobil.com/ramka_displeya_xiaomi_mi_11i_black_10003813", "Перейти")</f>
        <v>Перейти</v>
      </c>
      <c r="F4561" s="2">
        <v>10003813</v>
      </c>
      <c r="G4561" s="4" t="s">
        <v>4707</v>
      </c>
      <c r="H4561" s="1">
        <v>0</v>
      </c>
      <c r="I4561" s="1">
        <v>0</v>
      </c>
      <c r="J4561" s="1">
        <v>0</v>
      </c>
      <c r="K4561" s="2">
        <v>10.5</v>
      </c>
    </row>
    <row r="4562" spans="1:12">
      <c r="A4562" s="3" t="s">
        <v>2194</v>
      </c>
      <c r="B4562" s="3" t="s">
        <v>3663</v>
      </c>
      <c r="C4562" s="3" t="s">
        <v>4533</v>
      </c>
      <c r="D4562" s="3"/>
      <c r="E4562" s="2" t="str">
        <f>HYPERLINK("https://old.ukr-mobil.com/ramka_displeya_xiaomi_mi_9t_redmi_k20_black_10003814", "Перейти")</f>
        <v>Перейти</v>
      </c>
      <c r="F4562" s="2">
        <v>10003814</v>
      </c>
      <c r="G4562" s="4" t="s">
        <v>4708</v>
      </c>
      <c r="H4562" s="1">
        <v>0</v>
      </c>
      <c r="I4562" s="1">
        <v>0</v>
      </c>
      <c r="J4562" s="1">
        <v>0</v>
      </c>
      <c r="K4562" s="2">
        <v>9.0</v>
      </c>
    </row>
    <row r="4563" spans="1:12">
      <c r="A4563" s="3" t="s">
        <v>2194</v>
      </c>
      <c r="B4563" s="3" t="s">
        <v>3663</v>
      </c>
      <c r="C4563" s="3" t="s">
        <v>4533</v>
      </c>
      <c r="D4563" s="3"/>
      <c r="E4563" s="2" t="str">
        <f>HYPERLINK("https://old.ukr-mobil.com/ramka_displeya_xiaomi_mi_9t_redmi_k20_blue_10003815", "Перейти")</f>
        <v>Перейти</v>
      </c>
      <c r="F4563" s="2">
        <v>10003815</v>
      </c>
      <c r="G4563" s="4" t="s">
        <v>4709</v>
      </c>
      <c r="H4563" s="1">
        <v>0</v>
      </c>
      <c r="I4563" s="1">
        <v>1</v>
      </c>
      <c r="J4563" s="1">
        <v>1</v>
      </c>
      <c r="K4563" s="2">
        <v>6.5</v>
      </c>
    </row>
    <row r="4564" spans="1:12">
      <c r="A4564" s="3" t="s">
        <v>2194</v>
      </c>
      <c r="B4564" s="3" t="s">
        <v>3663</v>
      </c>
      <c r="C4564" s="3" t="s">
        <v>4533</v>
      </c>
      <c r="D4564" s="3"/>
      <c r="E4564" s="2" t="str">
        <f>HYPERLINK("https://old.ukr-mobil.com/ramka_displeya_xiaomi_redmi_10_redmi_note_11_4g_10003994", "Перейти")</f>
        <v>Перейти</v>
      </c>
      <c r="F4564" s="2">
        <v>10003994</v>
      </c>
      <c r="G4564" s="4" t="s">
        <v>4710</v>
      </c>
      <c r="H4564" s="1">
        <v>0</v>
      </c>
      <c r="I4564" s="1">
        <v>0</v>
      </c>
      <c r="J4564" s="1">
        <v>0</v>
      </c>
      <c r="K4564" s="2">
        <v>4.5</v>
      </c>
    </row>
    <row r="4565" spans="1:12">
      <c r="A4565" s="3" t="s">
        <v>2194</v>
      </c>
      <c r="B4565" s="3" t="s">
        <v>3663</v>
      </c>
      <c r="C4565" s="3" t="s">
        <v>4533</v>
      </c>
      <c r="D4565" s="3"/>
      <c r="E4565" s="2" t="str">
        <f>HYPERLINK("https://old.ukr-mobil.com/ramka_displeya_xiaomi_redmi_10c_black_10003817", "Перейти")</f>
        <v>Перейти</v>
      </c>
      <c r="F4565" s="2">
        <v>10003817</v>
      </c>
      <c r="G4565" s="4" t="s">
        <v>4711</v>
      </c>
      <c r="H4565" s="1">
        <v>0</v>
      </c>
      <c r="I4565" s="1">
        <v>0</v>
      </c>
      <c r="J4565" s="1">
        <v>0</v>
      </c>
      <c r="K4565" s="2">
        <v>3.75</v>
      </c>
    </row>
    <row r="4566" spans="1:12">
      <c r="A4566" s="3" t="s">
        <v>2194</v>
      </c>
      <c r="B4566" s="3" t="s">
        <v>3663</v>
      </c>
      <c r="C4566" s="3" t="s">
        <v>4533</v>
      </c>
      <c r="D4566" s="3"/>
      <c r="E4566" s="2" t="str">
        <f>HYPERLINK("https://old.ukr-mobil.com/index.php?route=product&amp;product_id=10004781", "Перейти")</f>
        <v>Перейти</v>
      </c>
      <c r="F4566" s="2">
        <v>10004781</v>
      </c>
      <c r="G4566" s="4" t="s">
        <v>4712</v>
      </c>
      <c r="H4566" s="1">
        <v>0</v>
      </c>
      <c r="I4566" s="1">
        <v>0</v>
      </c>
      <c r="J4566" s="1">
        <v>0</v>
      </c>
      <c r="K4566" s="2">
        <v>4.85</v>
      </c>
    </row>
    <row r="4567" spans="1:12">
      <c r="A4567" s="3" t="s">
        <v>2194</v>
      </c>
      <c r="B4567" s="3" t="s">
        <v>3663</v>
      </c>
      <c r="C4567" s="3" t="s">
        <v>4533</v>
      </c>
      <c r="D4567" s="3"/>
      <c r="E4567" s="2" t="str">
        <f>HYPERLINK("https://old.ukr-mobil.com/ramka_displeya_xiaomi_redmi_12c_10003980", "Перейти")</f>
        <v>Перейти</v>
      </c>
      <c r="F4567" s="2">
        <v>10003980</v>
      </c>
      <c r="G4567" s="4" t="s">
        <v>4713</v>
      </c>
      <c r="H4567" s="1">
        <v>0</v>
      </c>
      <c r="I4567" s="1">
        <v>0</v>
      </c>
      <c r="J4567" s="1">
        <v>0</v>
      </c>
      <c r="K4567" s="2">
        <v>3.75</v>
      </c>
    </row>
    <row r="4568" spans="1:12">
      <c r="A4568" s="3" t="s">
        <v>2194</v>
      </c>
      <c r="B4568" s="3" t="s">
        <v>3663</v>
      </c>
      <c r="C4568" s="3" t="s">
        <v>4533</v>
      </c>
      <c r="D4568" s="3"/>
      <c r="E4568" s="2" t="str">
        <f>HYPERLINK("https://old.ukr-mobil.com/ramka_displeya_xiaomi_redmi_7_blue_10004062", "Перейти")</f>
        <v>Перейти</v>
      </c>
      <c r="F4568" s="2">
        <v>10004062</v>
      </c>
      <c r="G4568" s="4" t="s">
        <v>4714</v>
      </c>
      <c r="H4568" s="1">
        <v>0</v>
      </c>
      <c r="I4568" s="1">
        <v>0</v>
      </c>
      <c r="J4568" s="1">
        <v>0</v>
      </c>
      <c r="K4568" s="2">
        <v>3.5</v>
      </c>
    </row>
    <row r="4569" spans="1:12">
      <c r="A4569" s="3" t="s">
        <v>2194</v>
      </c>
      <c r="B4569" s="3" t="s">
        <v>3663</v>
      </c>
      <c r="C4569" s="3" t="s">
        <v>4533</v>
      </c>
      <c r="D4569" s="3"/>
      <c r="E4569" s="2" t="str">
        <f>HYPERLINK("https://old.ukr-mobil.com/ramka_displeya_xiaomi_redmi_8_redmi_8a_10003998", "Перейти")</f>
        <v>Перейти</v>
      </c>
      <c r="F4569" s="2">
        <v>10003998</v>
      </c>
      <c r="G4569" s="4" t="s">
        <v>4715</v>
      </c>
      <c r="H4569" s="1">
        <v>0</v>
      </c>
      <c r="I4569" s="1">
        <v>0</v>
      </c>
      <c r="J4569" s="1">
        <v>0</v>
      </c>
      <c r="K4569" s="2">
        <v>3.25</v>
      </c>
    </row>
    <row r="4570" spans="1:12">
      <c r="A4570" s="3" t="s">
        <v>2194</v>
      </c>
      <c r="B4570" s="3" t="s">
        <v>3663</v>
      </c>
      <c r="C4570" s="3" t="s">
        <v>4533</v>
      </c>
      <c r="D4570" s="3"/>
      <c r="E4570" s="2" t="str">
        <f>HYPERLINK("https://old.ukr-mobil.com/ramka_displeya_xiaomi_redmi_9_redmi_9_prime_poco_m2_10003999", "Перейти")</f>
        <v>Перейти</v>
      </c>
      <c r="F4570" s="2">
        <v>10003999</v>
      </c>
      <c r="G4570" s="4" t="s">
        <v>4716</v>
      </c>
      <c r="H4570" s="1">
        <v>1</v>
      </c>
      <c r="I4570" s="1">
        <v>1</v>
      </c>
      <c r="J4570" s="1">
        <v>1</v>
      </c>
      <c r="K4570" s="2">
        <v>3.5</v>
      </c>
    </row>
    <row r="4571" spans="1:12">
      <c r="A4571" s="3" t="s">
        <v>2194</v>
      </c>
      <c r="B4571" s="3" t="s">
        <v>3663</v>
      </c>
      <c r="C4571" s="3" t="s">
        <v>4533</v>
      </c>
      <c r="D4571" s="3"/>
      <c r="E4571" s="2" t="str">
        <f>HYPERLINK("https://old.ukr-mobil.com/ramka_displeya_xiaomi_redmi_9a_redmi_9c_redmi_10a_poco_c3_10003985", "Перейти")</f>
        <v>Перейти</v>
      </c>
      <c r="F4571" s="2">
        <v>10003985</v>
      </c>
      <c r="G4571" s="4" t="s">
        <v>4717</v>
      </c>
      <c r="H4571" s="1">
        <v>0</v>
      </c>
      <c r="I4571" s="1">
        <v>0</v>
      </c>
      <c r="J4571" s="1">
        <v>0</v>
      </c>
      <c r="K4571" s="2">
        <v>3.85</v>
      </c>
    </row>
    <row r="4572" spans="1:12">
      <c r="A4572" s="3" t="s">
        <v>2194</v>
      </c>
      <c r="B4572" s="3" t="s">
        <v>3663</v>
      </c>
      <c r="C4572" s="3" t="s">
        <v>4533</v>
      </c>
      <c r="D4572" s="3"/>
      <c r="E4572" s="2" t="str">
        <f>HYPERLINK("https://old.ukr-mobil.com/ramka_displeya_xiaomi_redmi_9t_redmi_9_power_poco_m3_10003993", "Перейти")</f>
        <v>Перейти</v>
      </c>
      <c r="F4572" s="2">
        <v>10003993</v>
      </c>
      <c r="G4572" s="4" t="s">
        <v>4718</v>
      </c>
      <c r="H4572" s="1">
        <v>13</v>
      </c>
      <c r="I4572" s="1">
        <v>5</v>
      </c>
      <c r="J4572" s="1">
        <v>3</v>
      </c>
      <c r="K4572" s="2">
        <v>4.0</v>
      </c>
    </row>
    <row r="4573" spans="1:12">
      <c r="A4573" s="3" t="s">
        <v>2194</v>
      </c>
      <c r="B4573" s="3" t="s">
        <v>3663</v>
      </c>
      <c r="C4573" s="3" t="s">
        <v>4533</v>
      </c>
      <c r="D4573" s="3"/>
      <c r="E4573" s="2" t="str">
        <f>HYPERLINK("https://old.ukr-mobil.com/ramka_displeya_xiaomi_redmi_note_10_5g_poco_m3_pro_poco_m3_pro_5g_10004007", "Перейти")</f>
        <v>Перейти</v>
      </c>
      <c r="F4573" s="2">
        <v>10004007</v>
      </c>
      <c r="G4573" s="4" t="s">
        <v>4719</v>
      </c>
      <c r="H4573" s="1">
        <v>0</v>
      </c>
      <c r="I4573" s="1">
        <v>0</v>
      </c>
      <c r="J4573" s="1">
        <v>0</v>
      </c>
      <c r="K4573" s="2">
        <v>3.95</v>
      </c>
    </row>
    <row r="4574" spans="1:12">
      <c r="A4574" s="3" t="s">
        <v>2194</v>
      </c>
      <c r="B4574" s="3" t="s">
        <v>3663</v>
      </c>
      <c r="C4574" s="3" t="s">
        <v>4533</v>
      </c>
      <c r="D4574" s="3"/>
      <c r="E4574" s="2" t="str">
        <f>HYPERLINK("https://old.ukr-mobil.com/ramka_displeya_xiaomi_redmi_note_10_pro_10003847", "Перейти")</f>
        <v>Перейти</v>
      </c>
      <c r="F4574" s="2">
        <v>10003847</v>
      </c>
      <c r="G4574" s="4" t="s">
        <v>4720</v>
      </c>
      <c r="H4574" s="1">
        <v>7</v>
      </c>
      <c r="I4574" s="1">
        <v>4</v>
      </c>
      <c r="J4574" s="1">
        <v>3</v>
      </c>
      <c r="K4574" s="2">
        <v>3.5</v>
      </c>
    </row>
    <row r="4575" spans="1:12">
      <c r="A4575" s="3" t="s">
        <v>2194</v>
      </c>
      <c r="B4575" s="3" t="s">
        <v>3663</v>
      </c>
      <c r="C4575" s="3" t="s">
        <v>4533</v>
      </c>
      <c r="D4575" s="3"/>
      <c r="E4575" s="2" t="str">
        <f>HYPERLINK("https://old.ukr-mobil.com/ramka_displeya_xiaomi_redmi_note_10_pro_5g_redmi_note_10_pro_china_version_10003981", "Перейти")</f>
        <v>Перейти</v>
      </c>
      <c r="F4575" s="2">
        <v>10003981</v>
      </c>
      <c r="G4575" s="4" t="s">
        <v>4721</v>
      </c>
      <c r="H4575" s="1">
        <v>0</v>
      </c>
      <c r="I4575" s="1">
        <v>0</v>
      </c>
      <c r="J4575" s="1">
        <v>0</v>
      </c>
      <c r="K4575" s="2">
        <v>12.65</v>
      </c>
    </row>
    <row r="4576" spans="1:12">
      <c r="A4576" s="3" t="s">
        <v>2194</v>
      </c>
      <c r="B4576" s="3" t="s">
        <v>3663</v>
      </c>
      <c r="C4576" s="3" t="s">
        <v>4533</v>
      </c>
      <c r="D4576" s="3"/>
      <c r="E4576" s="2" t="str">
        <f>HYPERLINK("https://old.ukr-mobil.com/ramka_displeya_xiaomi_redmi_note_10_redmi_note_10s_10004000", "Перейти")</f>
        <v>Перейти</v>
      </c>
      <c r="F4576" s="2">
        <v>10004000</v>
      </c>
      <c r="G4576" s="4" t="s">
        <v>4722</v>
      </c>
      <c r="H4576" s="1">
        <v>0</v>
      </c>
      <c r="I4576" s="1">
        <v>0</v>
      </c>
      <c r="J4576" s="1">
        <v>0</v>
      </c>
      <c r="K4576" s="2">
        <v>4.25</v>
      </c>
    </row>
    <row r="4577" spans="1:12">
      <c r="A4577" s="3" t="s">
        <v>2194</v>
      </c>
      <c r="B4577" s="3" t="s">
        <v>3663</v>
      </c>
      <c r="C4577" s="3" t="s">
        <v>4533</v>
      </c>
      <c r="D4577" s="3"/>
      <c r="E4577" s="2" t="str">
        <f>HYPERLINK("https://old.ukr-mobil.com/ramka_displeya_xiaomi_redmi_note_11_5g_redmi_note_11t_5g_redmi_note_11s_5g_poco_m4_pro_5g_10003992", "Перейти")</f>
        <v>Перейти</v>
      </c>
      <c r="F4577" s="2">
        <v>10003992</v>
      </c>
      <c r="G4577" s="4" t="s">
        <v>4723</v>
      </c>
      <c r="H4577" s="1">
        <v>0</v>
      </c>
      <c r="I4577" s="1">
        <v>0</v>
      </c>
      <c r="J4577" s="1">
        <v>0</v>
      </c>
      <c r="K4577" s="2">
        <v>4.35</v>
      </c>
    </row>
    <row r="4578" spans="1:12">
      <c r="A4578" s="3" t="s">
        <v>2194</v>
      </c>
      <c r="B4578" s="3" t="s">
        <v>3663</v>
      </c>
      <c r="C4578" s="3" t="s">
        <v>4533</v>
      </c>
      <c r="D4578" s="3"/>
      <c r="E4578" s="2" t="str">
        <f>HYPERLINK("https://old.ukr-mobil.com/ramka_displeya_xiaomi_redmi_note_11_pro_redmi_note_11_pro_5g_poco_x4_pro_5g_10004005", "Перейти")</f>
        <v>Перейти</v>
      </c>
      <c r="F4578" s="2">
        <v>10004005</v>
      </c>
      <c r="G4578" s="4" t="s">
        <v>4724</v>
      </c>
      <c r="H4578" s="1">
        <v>0</v>
      </c>
      <c r="I4578" s="1">
        <v>0</v>
      </c>
      <c r="J4578" s="1">
        <v>0</v>
      </c>
      <c r="K4578" s="2">
        <v>4.25</v>
      </c>
    </row>
    <row r="4579" spans="1:12">
      <c r="A4579" s="3" t="s">
        <v>2194</v>
      </c>
      <c r="B4579" s="3" t="s">
        <v>3663</v>
      </c>
      <c r="C4579" s="3" t="s">
        <v>4533</v>
      </c>
      <c r="D4579" s="3"/>
      <c r="E4579" s="2" t="str">
        <f>HYPERLINK("https://old.ukr-mobil.com/ramka_displeya_xiaomi_redmi_note_11_poco_m4_pro_10003995", "Перейти")</f>
        <v>Перейти</v>
      </c>
      <c r="F4579" s="2">
        <v>10003995</v>
      </c>
      <c r="G4579" s="4" t="s">
        <v>4725</v>
      </c>
      <c r="H4579" s="1">
        <v>0</v>
      </c>
      <c r="I4579" s="1">
        <v>0</v>
      </c>
      <c r="J4579" s="1">
        <v>0</v>
      </c>
      <c r="K4579" s="2">
        <v>4.45</v>
      </c>
    </row>
    <row r="4580" spans="1:12">
      <c r="A4580" s="3" t="s">
        <v>2194</v>
      </c>
      <c r="B4580" s="3" t="s">
        <v>3663</v>
      </c>
      <c r="C4580" s="3" t="s">
        <v>4533</v>
      </c>
      <c r="D4580" s="3"/>
      <c r="E4580" s="2" t="str">
        <f>HYPERLINK("https://old.ukr-mobil.com/index.php?route=product&amp;product_id=10004639", "Перейти")</f>
        <v>Перейти</v>
      </c>
      <c r="F4580" s="2">
        <v>10004639</v>
      </c>
      <c r="G4580" s="4" t="s">
        <v>4726</v>
      </c>
      <c r="H4580" s="1">
        <v>0</v>
      </c>
      <c r="I4580" s="1">
        <v>0</v>
      </c>
      <c r="J4580" s="1">
        <v>0</v>
      </c>
      <c r="K4580" s="2">
        <v>5.0</v>
      </c>
    </row>
    <row r="4581" spans="1:12">
      <c r="A4581" s="3" t="s">
        <v>2194</v>
      </c>
      <c r="B4581" s="3" t="s">
        <v>3663</v>
      </c>
      <c r="C4581" s="3" t="s">
        <v>4533</v>
      </c>
      <c r="D4581" s="3"/>
      <c r="E4581" s="2" t="str">
        <f>HYPERLINK("https://old.ukr-mobil.com/ramka_displeya_xiaomi_redmi_note_11s_10004517", "Перейти")</f>
        <v>Перейти</v>
      </c>
      <c r="F4581" s="2">
        <v>10004517</v>
      </c>
      <c r="G4581" s="4" t="s">
        <v>4727</v>
      </c>
      <c r="H4581" s="1">
        <v>0</v>
      </c>
      <c r="I4581" s="1">
        <v>0</v>
      </c>
      <c r="J4581" s="1">
        <v>0</v>
      </c>
      <c r="K4581" s="2">
        <v>4.25</v>
      </c>
    </row>
    <row r="4582" spans="1:12">
      <c r="A4582" s="3" t="s">
        <v>2194</v>
      </c>
      <c r="B4582" s="3" t="s">
        <v>3663</v>
      </c>
      <c r="C4582" s="3" t="s">
        <v>4533</v>
      </c>
      <c r="D4582" s="3"/>
      <c r="E4582" s="2" t="str">
        <f>HYPERLINK("https://old.ukr-mobil.com/index.php?route=product&amp;product_id=10004782", "Перейти")</f>
        <v>Перейти</v>
      </c>
      <c r="F4582" s="2">
        <v>10004782</v>
      </c>
      <c r="G4582" s="4" t="s">
        <v>4728</v>
      </c>
      <c r="H4582" s="1">
        <v>0</v>
      </c>
      <c r="I4582" s="1">
        <v>0</v>
      </c>
      <c r="J4582" s="1">
        <v>0</v>
      </c>
      <c r="K4582" s="2">
        <v>4.25</v>
      </c>
    </row>
    <row r="4583" spans="1:12">
      <c r="A4583" s="3" t="s">
        <v>2194</v>
      </c>
      <c r="B4583" s="3" t="s">
        <v>3663</v>
      </c>
      <c r="C4583" s="3" t="s">
        <v>4533</v>
      </c>
      <c r="D4583" s="3"/>
      <c r="E4583" s="2" t="str">
        <f>HYPERLINK("https://old.ukr-mobil.com/index.php?route=product&amp;product_id=10004780", "Перейти")</f>
        <v>Перейти</v>
      </c>
      <c r="F4583" s="2">
        <v>10004780</v>
      </c>
      <c r="G4583" s="4" t="s">
        <v>4729</v>
      </c>
      <c r="H4583" s="1">
        <v>0</v>
      </c>
      <c r="I4583" s="1">
        <v>0</v>
      </c>
      <c r="J4583" s="1">
        <v>0</v>
      </c>
      <c r="K4583" s="2">
        <v>4.0</v>
      </c>
    </row>
    <row r="4584" spans="1:12">
      <c r="A4584" s="3" t="s">
        <v>2194</v>
      </c>
      <c r="B4584" s="3" t="s">
        <v>3663</v>
      </c>
      <c r="C4584" s="3" t="s">
        <v>4533</v>
      </c>
      <c r="D4584" s="3"/>
      <c r="E4584" s="2" t="str">
        <f>HYPERLINK("https://old.ukr-mobil.com/ramka_displeya_xiaomi_redmi_note_7_redmi_note_7_pro_black_10003983", "Перейти")</f>
        <v>Перейти</v>
      </c>
      <c r="F4584" s="2">
        <v>10003983</v>
      </c>
      <c r="G4584" s="4" t="s">
        <v>4730</v>
      </c>
      <c r="H4584" s="1">
        <v>0</v>
      </c>
      <c r="I4584" s="1">
        <v>0</v>
      </c>
      <c r="J4584" s="1">
        <v>0</v>
      </c>
      <c r="K4584" s="2">
        <v>4.65</v>
      </c>
    </row>
    <row r="4585" spans="1:12">
      <c r="A4585" s="3" t="s">
        <v>2194</v>
      </c>
      <c r="B4585" s="3" t="s">
        <v>3663</v>
      </c>
      <c r="C4585" s="3" t="s">
        <v>4533</v>
      </c>
      <c r="D4585" s="3"/>
      <c r="E4585" s="2" t="str">
        <f>HYPERLINK("https://old.ukr-mobil.com/ramka_displeya_xiaomi_redmi_note_7_redmi_note_7_pro_blue_10004011", "Перейти")</f>
        <v>Перейти</v>
      </c>
      <c r="F4585" s="2">
        <v>10004011</v>
      </c>
      <c r="G4585" s="4" t="s">
        <v>4731</v>
      </c>
      <c r="H4585" s="1">
        <v>0</v>
      </c>
      <c r="I4585" s="1">
        <v>0</v>
      </c>
      <c r="J4585" s="1">
        <v>0</v>
      </c>
      <c r="K4585" s="2">
        <v>4.5</v>
      </c>
    </row>
    <row r="4586" spans="1:12">
      <c r="A4586" s="3" t="s">
        <v>2194</v>
      </c>
      <c r="B4586" s="3" t="s">
        <v>3663</v>
      </c>
      <c r="C4586" s="3" t="s">
        <v>4533</v>
      </c>
      <c r="D4586" s="3"/>
      <c r="E4586" s="2" t="str">
        <f>HYPERLINK("https://old.ukr-mobil.com/ramka_displeya_xiaomi_redmi_note_8_pro_black_10004022", "Перейти")</f>
        <v>Перейти</v>
      </c>
      <c r="F4586" s="2">
        <v>10004022</v>
      </c>
      <c r="G4586" s="4" t="s">
        <v>4732</v>
      </c>
      <c r="H4586" s="1">
        <v>0</v>
      </c>
      <c r="I4586" s="1">
        <v>0</v>
      </c>
      <c r="J4586" s="1">
        <v>2</v>
      </c>
      <c r="K4586" s="2">
        <v>8.0</v>
      </c>
    </row>
    <row r="4587" spans="1:12">
      <c r="A4587" s="3" t="s">
        <v>2194</v>
      </c>
      <c r="B4587" s="3" t="s">
        <v>3663</v>
      </c>
      <c r="C4587" s="3" t="s">
        <v>4533</v>
      </c>
      <c r="D4587" s="3"/>
      <c r="E4587" s="2" t="str">
        <f>HYPERLINK("https://old.ukr-mobil.com/ramka_displeya_xiaomi_redmi_note_8_black_10004010", "Перейти")</f>
        <v>Перейти</v>
      </c>
      <c r="F4587" s="2">
        <v>10004010</v>
      </c>
      <c r="G4587" s="4" t="s">
        <v>4733</v>
      </c>
      <c r="H4587" s="1">
        <v>2</v>
      </c>
      <c r="I4587" s="1">
        <v>2</v>
      </c>
      <c r="J4587" s="1">
        <v>3</v>
      </c>
      <c r="K4587" s="2">
        <v>6.65</v>
      </c>
    </row>
    <row r="4588" spans="1:12">
      <c r="A4588" s="3" t="s">
        <v>2194</v>
      </c>
      <c r="B4588" s="3" t="s">
        <v>3663</v>
      </c>
      <c r="C4588" s="3" t="s">
        <v>4533</v>
      </c>
      <c r="D4588" s="3"/>
      <c r="E4588" s="2" t="str">
        <f>HYPERLINK("https://old.ukr-mobil.com/ramka_displeya_xiaomi_redmi_note_8_blue_10003986", "Перейти")</f>
        <v>Перейти</v>
      </c>
      <c r="F4588" s="2">
        <v>10003986</v>
      </c>
      <c r="G4588" s="4" t="s">
        <v>4734</v>
      </c>
      <c r="H4588" s="1">
        <v>0</v>
      </c>
      <c r="I4588" s="1">
        <v>2</v>
      </c>
      <c r="J4588" s="1">
        <v>3</v>
      </c>
      <c r="K4588" s="2">
        <v>6.65</v>
      </c>
    </row>
    <row r="4589" spans="1:12">
      <c r="A4589" s="3" t="s">
        <v>2194</v>
      </c>
      <c r="B4589" s="3" t="s">
        <v>3663</v>
      </c>
      <c r="C4589" s="3" t="s">
        <v>4533</v>
      </c>
      <c r="D4589" s="3"/>
      <c r="E4589" s="2" t="str">
        <f>HYPERLINK("https://old.ukr-mobil.com/ramka_displeya_xiaomi_redmi_note_8_silver_10004009", "Перейти")</f>
        <v>Перейти</v>
      </c>
      <c r="F4589" s="2">
        <v>10004009</v>
      </c>
      <c r="G4589" s="4" t="s">
        <v>4735</v>
      </c>
      <c r="H4589" s="1">
        <v>3</v>
      </c>
      <c r="I4589" s="1">
        <v>3</v>
      </c>
      <c r="J4589" s="1">
        <v>3</v>
      </c>
      <c r="K4589" s="2">
        <v>6.65</v>
      </c>
    </row>
    <row r="4590" spans="1:12">
      <c r="A4590" s="3" t="s">
        <v>2194</v>
      </c>
      <c r="B4590" s="3" t="s">
        <v>3663</v>
      </c>
      <c r="C4590" s="3" t="s">
        <v>4533</v>
      </c>
      <c r="D4590" s="3"/>
      <c r="E4590" s="2" t="str">
        <f>HYPERLINK("https://old.ukr-mobil.com/ramka_displeya_xiaomi_redmi_note_8t_black_10003982", "Перейти")</f>
        <v>Перейти</v>
      </c>
      <c r="F4590" s="2">
        <v>10003982</v>
      </c>
      <c r="G4590" s="4" t="s">
        <v>4736</v>
      </c>
      <c r="H4590" s="1">
        <v>0</v>
      </c>
      <c r="I4590" s="1">
        <v>0</v>
      </c>
      <c r="J4590" s="1">
        <v>0</v>
      </c>
      <c r="K4590" s="2">
        <v>4.9</v>
      </c>
    </row>
    <row r="4591" spans="1:12">
      <c r="A4591" s="3" t="s">
        <v>2194</v>
      </c>
      <c r="B4591" s="3" t="s">
        <v>3663</v>
      </c>
      <c r="C4591" s="3" t="s">
        <v>4533</v>
      </c>
      <c r="D4591" s="3"/>
      <c r="E4591" s="2" t="str">
        <f>HYPERLINK("https://old.ukr-mobil.com/ramka_displeya_xiaomi_redmi_note_9_pro_redmi_note_9s_blue_10004006", "Перейти")</f>
        <v>Перейти</v>
      </c>
      <c r="F4591" s="2">
        <v>10004006</v>
      </c>
      <c r="G4591" s="4" t="s">
        <v>4737</v>
      </c>
      <c r="H4591" s="1">
        <v>0</v>
      </c>
      <c r="I4591" s="1">
        <v>0</v>
      </c>
      <c r="J4591" s="1">
        <v>3</v>
      </c>
      <c r="K4591" s="2">
        <v>10.0</v>
      </c>
    </row>
    <row r="4592" spans="1:12">
      <c r="A4592" s="3" t="s">
        <v>2194</v>
      </c>
      <c r="B4592" s="3" t="s">
        <v>3663</v>
      </c>
      <c r="C4592" s="3" t="s">
        <v>4533</v>
      </c>
      <c r="D4592" s="3"/>
      <c r="E4592" s="2" t="str">
        <f>HYPERLINK("https://old.ukr-mobil.com/ramka_displeya_xiaomi_redmi_note_9_pro_redmi_note_9s_interstellar_grey_10003987", "Перейти")</f>
        <v>Перейти</v>
      </c>
      <c r="F4592" s="2">
        <v>10003987</v>
      </c>
      <c r="G4592" s="4" t="s">
        <v>4738</v>
      </c>
      <c r="H4592" s="1">
        <v>1</v>
      </c>
      <c r="I4592" s="1">
        <v>0</v>
      </c>
      <c r="J4592" s="1">
        <v>0</v>
      </c>
      <c r="K4592" s="2">
        <v>9.0</v>
      </c>
    </row>
    <row r="4593" spans="1:12">
      <c r="A4593" s="3" t="s">
        <v>2194</v>
      </c>
      <c r="B4593" s="3" t="s">
        <v>3663</v>
      </c>
      <c r="C4593" s="3" t="s">
        <v>4533</v>
      </c>
      <c r="D4593" s="3"/>
      <c r="E4593" s="2" t="str">
        <f>HYPERLINK("https://old.ukr-mobil.com/ramka_displeya_xiaomi_redmi_note_9_pro_redmi_note_9s_tropical_green_10003988", "Перейти")</f>
        <v>Перейти</v>
      </c>
      <c r="F4593" s="2">
        <v>10003988</v>
      </c>
      <c r="G4593" s="4" t="s">
        <v>4739</v>
      </c>
      <c r="H4593" s="1">
        <v>0</v>
      </c>
      <c r="I4593" s="1">
        <v>0</v>
      </c>
      <c r="J4593" s="1">
        <v>0</v>
      </c>
      <c r="K4593" s="2">
        <v>6.25</v>
      </c>
    </row>
    <row r="4594" spans="1:12">
      <c r="A4594" s="3" t="s">
        <v>2194</v>
      </c>
      <c r="B4594" s="3" t="s">
        <v>3663</v>
      </c>
      <c r="C4594" s="3" t="s">
        <v>4533</v>
      </c>
      <c r="D4594" s="3"/>
      <c r="E4594" s="2" t="str">
        <f>HYPERLINK("https://old.ukr-mobil.com/ramka_displeya_zte_blade_20_smart_v1050_black_10004168", "Перейти")</f>
        <v>Перейти</v>
      </c>
      <c r="F4594" s="2">
        <v>10004168</v>
      </c>
      <c r="G4594" s="4" t="s">
        <v>4740</v>
      </c>
      <c r="H4594" s="1">
        <v>0</v>
      </c>
      <c r="I4594" s="1">
        <v>1</v>
      </c>
      <c r="J4594" s="1">
        <v>1</v>
      </c>
      <c r="K4594" s="2">
        <v>5.0</v>
      </c>
    </row>
    <row r="4595" spans="1:12">
      <c r="A4595" s="3" t="s">
        <v>2194</v>
      </c>
      <c r="B4595" s="3" t="s">
        <v>3663</v>
      </c>
      <c r="C4595" s="3" t="s">
        <v>4533</v>
      </c>
      <c r="D4595" s="3"/>
      <c r="E4595" s="2" t="str">
        <f>HYPERLINK("https://old.ukr-mobil.com/ramka_displeya_zte_blade_20_smart_v2050_black_10004143", "Перейти")</f>
        <v>Перейти</v>
      </c>
      <c r="F4595" s="2">
        <v>10004143</v>
      </c>
      <c r="G4595" s="4" t="s">
        <v>4741</v>
      </c>
      <c r="H4595" s="1">
        <v>0</v>
      </c>
      <c r="I4595" s="1">
        <v>0</v>
      </c>
      <c r="J4595" s="1">
        <v>0</v>
      </c>
      <c r="K4595" s="2">
        <v>5.0</v>
      </c>
    </row>
    <row r="4596" spans="1:12">
      <c r="A4596" s="3" t="s">
        <v>2194</v>
      </c>
      <c r="B4596" s="3" t="s">
        <v>3663</v>
      </c>
      <c r="C4596" s="3" t="s">
        <v>4533</v>
      </c>
      <c r="D4596" s="3"/>
      <c r="E4596" s="2" t="str">
        <f>HYPERLINK("https://old.ukr-mobil.com/ramka_displeya_zte_blade_a5_2020_a7s_2019_a7_2019_a7_2020_black_10004163", "Перейти")</f>
        <v>Перейти</v>
      </c>
      <c r="F4596" s="2">
        <v>10004163</v>
      </c>
      <c r="G4596" s="4" t="s">
        <v>4742</v>
      </c>
      <c r="H4596" s="1">
        <v>2</v>
      </c>
      <c r="I4596" s="1">
        <v>1</v>
      </c>
      <c r="J4596" s="1">
        <v>1</v>
      </c>
      <c r="K4596" s="2">
        <v>5.0</v>
      </c>
    </row>
    <row r="4597" spans="1:12">
      <c r="A4597" s="3" t="s">
        <v>2194</v>
      </c>
      <c r="B4597" s="3" t="s">
        <v>3663</v>
      </c>
      <c r="C4597" s="3" t="s">
        <v>4533</v>
      </c>
      <c r="D4597" s="3"/>
      <c r="E4597" s="2" t="str">
        <f>HYPERLINK("https://old.ukr-mobil.com/ramka_displeya_zte_blade_a51_2021_blade_a71_2021_black_10004164", "Перейти")</f>
        <v>Перейти</v>
      </c>
      <c r="F4597" s="2">
        <v>10004164</v>
      </c>
      <c r="G4597" s="4" t="s">
        <v>4743</v>
      </c>
      <c r="H4597" s="1">
        <v>0</v>
      </c>
      <c r="I4597" s="1">
        <v>0</v>
      </c>
      <c r="J4597" s="1">
        <v>0</v>
      </c>
      <c r="K4597" s="2">
        <v>6.0</v>
      </c>
    </row>
    <row r="4598" spans="1:12">
      <c r="A4598" s="3" t="s">
        <v>2194</v>
      </c>
      <c r="B4598" s="3" t="s">
        <v>3663</v>
      </c>
      <c r="C4598" s="3" t="s">
        <v>4533</v>
      </c>
      <c r="D4598" s="3"/>
      <c r="E4598" s="2" t="str">
        <f>HYPERLINK("https://old.ukr-mobil.com/ramka_displeya_zte_blade_a72_4g_blade_v40_vita_black_10003845", "Перейти")</f>
        <v>Перейти</v>
      </c>
      <c r="F4598" s="2">
        <v>10003845</v>
      </c>
      <c r="G4598" s="4" t="s">
        <v>4744</v>
      </c>
      <c r="H4598" s="1">
        <v>0</v>
      </c>
      <c r="I4598" s="1">
        <v>0</v>
      </c>
      <c r="J4598" s="1">
        <v>0</v>
      </c>
      <c r="K4598" s="2">
        <v>7.5</v>
      </c>
    </row>
    <row r="4599" spans="1:12">
      <c r="A4599" s="3" t="s">
        <v>2194</v>
      </c>
      <c r="B4599" s="3" t="s">
        <v>3663</v>
      </c>
      <c r="C4599" s="3" t="s">
        <v>4533</v>
      </c>
      <c r="D4599" s="3"/>
      <c r="E4599" s="2" t="str">
        <f>HYPERLINK("https://old.ukr-mobil.com/ramka_displeya_zte_blade_a7s_2020_black_10004145", "Перейти")</f>
        <v>Перейти</v>
      </c>
      <c r="F4599" s="2">
        <v>10004145</v>
      </c>
      <c r="G4599" s="4" t="s">
        <v>4745</v>
      </c>
      <c r="H4599" s="1">
        <v>0</v>
      </c>
      <c r="I4599" s="1">
        <v>0</v>
      </c>
      <c r="J4599" s="1">
        <v>0</v>
      </c>
      <c r="K4599" s="2">
        <v>5.0</v>
      </c>
    </row>
    <row r="4600" spans="1:12">
      <c r="A4600" s="3" t="s">
        <v>2194</v>
      </c>
      <c r="B4600" s="3" t="s">
        <v>3663</v>
      </c>
      <c r="C4600" s="3" t="s">
        <v>4533</v>
      </c>
      <c r="D4600" s="3"/>
      <c r="E4600" s="2" t="str">
        <f>HYPERLINK("https://old.ukr-mobil.com/ramka_displeya_zte_blade_v2020_smart_black_10004144", "Перейти")</f>
        <v>Перейти</v>
      </c>
      <c r="F4600" s="2">
        <v>10004144</v>
      </c>
      <c r="G4600" s="4" t="s">
        <v>4746</v>
      </c>
      <c r="H4600" s="1">
        <v>0</v>
      </c>
      <c r="I4600" s="1">
        <v>0</v>
      </c>
      <c r="J4600" s="1">
        <v>0</v>
      </c>
      <c r="K4600" s="2">
        <v>5.5</v>
      </c>
    </row>
    <row r="4601" spans="1:12">
      <c r="A4601" s="3" t="s">
        <v>2194</v>
      </c>
      <c r="B4601" s="3" t="s">
        <v>3663</v>
      </c>
      <c r="C4601" s="3" t="s">
        <v>4747</v>
      </c>
      <c r="D4601" s="3"/>
      <c r="E4601" s="2" t="str">
        <f>HYPERLINK("https://old.ukr-mobil.com/srednyaya_chast_korpusa_oppo_a15_black_10004229", "Перейти")</f>
        <v>Перейти</v>
      </c>
      <c r="F4601" s="2">
        <v>10004229</v>
      </c>
      <c r="G4601" s="4" t="s">
        <v>4748</v>
      </c>
      <c r="H4601" s="1">
        <v>0</v>
      </c>
      <c r="I4601" s="1">
        <v>0</v>
      </c>
      <c r="J4601" s="1">
        <v>0</v>
      </c>
      <c r="K4601" s="2">
        <v>3.95</v>
      </c>
    </row>
    <row r="4602" spans="1:12">
      <c r="A4602" s="3" t="s">
        <v>2194</v>
      </c>
      <c r="B4602" s="3" t="s">
        <v>3663</v>
      </c>
      <c r="C4602" s="3" t="s">
        <v>4747</v>
      </c>
      <c r="D4602" s="3"/>
      <c r="E4602" s="2" t="str">
        <f>HYPERLINK("https://old.ukr-mobil.com/srednyaya_chast_korpusa_oppo_a15_blue_10004230", "Перейти")</f>
        <v>Перейти</v>
      </c>
      <c r="F4602" s="2">
        <v>10004230</v>
      </c>
      <c r="G4602" s="4" t="s">
        <v>4749</v>
      </c>
      <c r="H4602" s="1">
        <v>0</v>
      </c>
      <c r="I4602" s="1">
        <v>0</v>
      </c>
      <c r="J4602" s="1">
        <v>0</v>
      </c>
      <c r="K4602" s="2">
        <v>3.95</v>
      </c>
    </row>
    <row r="4603" spans="1:12">
      <c r="A4603" s="3" t="s">
        <v>2194</v>
      </c>
      <c r="B4603" s="3" t="s">
        <v>3663</v>
      </c>
      <c r="C4603" s="3" t="s">
        <v>4747</v>
      </c>
      <c r="D4603" s="3"/>
      <c r="E4603" s="2" t="str">
        <f>HYPERLINK("https://old.ukr-mobil.com/srednyaya_chast_korpusa_oppo_a15_white_10004231", "Перейти")</f>
        <v>Перейти</v>
      </c>
      <c r="F4603" s="2">
        <v>10004231</v>
      </c>
      <c r="G4603" s="4" t="s">
        <v>4750</v>
      </c>
      <c r="H4603" s="1">
        <v>2</v>
      </c>
      <c r="I4603" s="1">
        <v>1</v>
      </c>
      <c r="J4603" s="1">
        <v>0</v>
      </c>
      <c r="K4603" s="2">
        <v>3.95</v>
      </c>
    </row>
    <row r="4604" spans="1:12">
      <c r="A4604" s="3" t="s">
        <v>2194</v>
      </c>
      <c r="B4604" s="3" t="s">
        <v>3663</v>
      </c>
      <c r="C4604" s="3" t="s">
        <v>4747</v>
      </c>
      <c r="D4604" s="3"/>
      <c r="E4604" s="2" t="str">
        <f>HYPERLINK("https://old.ukr-mobil.com/srednyaya_chast_korpusa_oppo_a32_2020_a33_2020_oppo_a53_oppo_a53s_black_10004256", "Перейти")</f>
        <v>Перейти</v>
      </c>
      <c r="F4604" s="2">
        <v>10004256</v>
      </c>
      <c r="G4604" s="4" t="s">
        <v>4751</v>
      </c>
      <c r="H4604" s="1">
        <v>0</v>
      </c>
      <c r="I4604" s="1">
        <v>0</v>
      </c>
      <c r="J4604" s="1">
        <v>0</v>
      </c>
      <c r="K4604" s="2">
        <v>4.35</v>
      </c>
    </row>
    <row r="4605" spans="1:12">
      <c r="A4605" s="3" t="s">
        <v>2194</v>
      </c>
      <c r="B4605" s="3" t="s">
        <v>3663</v>
      </c>
      <c r="C4605" s="3" t="s">
        <v>4747</v>
      </c>
      <c r="D4605" s="3"/>
      <c r="E4605" s="2" t="str">
        <f>HYPERLINK("https://old.ukr-mobil.com/srednyaya_chast_korpusa_oppo_a32_2020_a33_2020_oppo_a53_oppo_a53s_blue_10004257", "Перейти")</f>
        <v>Перейти</v>
      </c>
      <c r="F4605" s="2">
        <v>10004257</v>
      </c>
      <c r="G4605" s="4" t="s">
        <v>4752</v>
      </c>
      <c r="H4605" s="1">
        <v>0</v>
      </c>
      <c r="I4605" s="1">
        <v>0</v>
      </c>
      <c r="J4605" s="1">
        <v>0</v>
      </c>
      <c r="K4605" s="2">
        <v>4.35</v>
      </c>
    </row>
    <row r="4606" spans="1:12">
      <c r="A4606" s="3" t="s">
        <v>2194</v>
      </c>
      <c r="B4606" s="3" t="s">
        <v>3663</v>
      </c>
      <c r="C4606" s="3" t="s">
        <v>4747</v>
      </c>
      <c r="D4606" s="3"/>
      <c r="E4606" s="2" t="str">
        <f>HYPERLINK("https://old.ukr-mobil.com/srednyaya_chast_korpusa_oppo_a32_2020_a33_2020_oppo_a53_oppo_a53s_green_10004258", "Перейти")</f>
        <v>Перейти</v>
      </c>
      <c r="F4606" s="2">
        <v>10004258</v>
      </c>
      <c r="G4606" s="4" t="s">
        <v>4753</v>
      </c>
      <c r="H4606" s="1">
        <v>0</v>
      </c>
      <c r="I4606" s="1">
        <v>0</v>
      </c>
      <c r="J4606" s="1">
        <v>0</v>
      </c>
      <c r="K4606" s="2">
        <v>4.35</v>
      </c>
    </row>
    <row r="4607" spans="1:12">
      <c r="A4607" s="3" t="s">
        <v>2194</v>
      </c>
      <c r="B4607" s="3" t="s">
        <v>3663</v>
      </c>
      <c r="C4607" s="3" t="s">
        <v>4747</v>
      </c>
      <c r="D4607" s="3"/>
      <c r="E4607" s="2" t="str">
        <f>HYPERLINK("https://old.ukr-mobil.com/srednyaya_chast_korpusa_oppo_a5_2020_black_10004174", "Перейти")</f>
        <v>Перейти</v>
      </c>
      <c r="F4607" s="2">
        <v>10004174</v>
      </c>
      <c r="G4607" s="4" t="s">
        <v>4754</v>
      </c>
      <c r="H4607" s="1">
        <v>2</v>
      </c>
      <c r="I4607" s="1">
        <v>2</v>
      </c>
      <c r="J4607" s="1">
        <v>2</v>
      </c>
      <c r="K4607" s="2">
        <v>3.5</v>
      </c>
    </row>
    <row r="4608" spans="1:12">
      <c r="A4608" s="3" t="s">
        <v>2194</v>
      </c>
      <c r="B4608" s="3" t="s">
        <v>3663</v>
      </c>
      <c r="C4608" s="3" t="s">
        <v>4747</v>
      </c>
      <c r="D4608" s="3"/>
      <c r="E4608" s="2" t="str">
        <f>HYPERLINK("https://old.ukr-mobil.com/srednyaya_chast_korpusa_oppo_a5_2020_blue_10004176", "Перейти")</f>
        <v>Перейти</v>
      </c>
      <c r="F4608" s="2">
        <v>10004176</v>
      </c>
      <c r="G4608" s="4" t="s">
        <v>4755</v>
      </c>
      <c r="H4608" s="1">
        <v>2</v>
      </c>
      <c r="I4608" s="1">
        <v>3</v>
      </c>
      <c r="J4608" s="1">
        <v>2</v>
      </c>
      <c r="K4608" s="2">
        <v>3.5</v>
      </c>
    </row>
    <row r="4609" spans="1:12">
      <c r="A4609" s="3" t="s">
        <v>2194</v>
      </c>
      <c r="B4609" s="3" t="s">
        <v>3663</v>
      </c>
      <c r="C4609" s="3" t="s">
        <v>4747</v>
      </c>
      <c r="D4609" s="3"/>
      <c r="E4609" s="2" t="str">
        <f>HYPERLINK("https://old.ukr-mobil.com/srednyaya_chast_korpusa_oppo_a5_2020_green_10004177", "Перейти")</f>
        <v>Перейти</v>
      </c>
      <c r="F4609" s="2">
        <v>10004177</v>
      </c>
      <c r="G4609" s="4" t="s">
        <v>4756</v>
      </c>
      <c r="H4609" s="1">
        <v>5</v>
      </c>
      <c r="I4609" s="1">
        <v>3</v>
      </c>
      <c r="J4609" s="1">
        <v>2</v>
      </c>
      <c r="K4609" s="2">
        <v>3.5</v>
      </c>
    </row>
    <row r="4610" spans="1:12">
      <c r="A4610" s="3" t="s">
        <v>2194</v>
      </c>
      <c r="B4610" s="3" t="s">
        <v>3663</v>
      </c>
      <c r="C4610" s="3" t="s">
        <v>4747</v>
      </c>
      <c r="D4610" s="3"/>
      <c r="E4610" s="2" t="str">
        <f>HYPERLINK("https://old.ukr-mobil.com/srednyaya_chast_korpusa_oppo_a5_2020_white_10004175", "Перейти")</f>
        <v>Перейти</v>
      </c>
      <c r="F4610" s="2">
        <v>10004175</v>
      </c>
      <c r="G4610" s="4" t="s">
        <v>4757</v>
      </c>
      <c r="H4610" s="1">
        <v>2</v>
      </c>
      <c r="I4610" s="1">
        <v>2</v>
      </c>
      <c r="J4610" s="1">
        <v>2</v>
      </c>
      <c r="K4610" s="2">
        <v>3.5</v>
      </c>
    </row>
    <row r="4611" spans="1:12">
      <c r="A4611" s="3" t="s">
        <v>2194</v>
      </c>
      <c r="B4611" s="3" t="s">
        <v>3663</v>
      </c>
      <c r="C4611" s="3" t="s">
        <v>4747</v>
      </c>
      <c r="D4611" s="3"/>
      <c r="E4611" s="2" t="str">
        <f>HYPERLINK("https://old.ukr-mobil.com/srednyaya_chast_korpusa_oppo_a52_a72_a92_black_10004260", "Перейти")</f>
        <v>Перейти</v>
      </c>
      <c r="F4611" s="2">
        <v>10004260</v>
      </c>
      <c r="G4611" s="4" t="s">
        <v>4758</v>
      </c>
      <c r="H4611" s="1">
        <v>0</v>
      </c>
      <c r="I4611" s="1">
        <v>0</v>
      </c>
      <c r="J4611" s="1">
        <v>0</v>
      </c>
      <c r="K4611" s="2">
        <v>4.35</v>
      </c>
    </row>
    <row r="4612" spans="1:12">
      <c r="A4612" s="3" t="s">
        <v>2194</v>
      </c>
      <c r="B4612" s="3" t="s">
        <v>3663</v>
      </c>
      <c r="C4612" s="3" t="s">
        <v>4747</v>
      </c>
      <c r="D4612" s="3"/>
      <c r="E4612" s="2" t="str">
        <f>HYPERLINK("https://old.ukr-mobil.com/srednyaya_chast_korpusa_oppo_a52_a72_a92_purple_10004261", "Перейти")</f>
        <v>Перейти</v>
      </c>
      <c r="F4612" s="2">
        <v>10004261</v>
      </c>
      <c r="G4612" s="4" t="s">
        <v>4759</v>
      </c>
      <c r="H4612" s="1">
        <v>1</v>
      </c>
      <c r="I4612" s="1">
        <v>0</v>
      </c>
      <c r="J4612" s="1">
        <v>0</v>
      </c>
      <c r="K4612" s="2">
        <v>4.35</v>
      </c>
    </row>
    <row r="4613" spans="1:12">
      <c r="A4613" s="3" t="s">
        <v>2194</v>
      </c>
      <c r="B4613" s="3" t="s">
        <v>3663</v>
      </c>
      <c r="C4613" s="3" t="s">
        <v>4747</v>
      </c>
      <c r="D4613" s="3"/>
      <c r="E4613" s="2" t="str">
        <f>HYPERLINK("https://old.ukr-mobil.com/srednyaya_chast_korpusa_oppo_a52_a72_a92_stream_white_10004259", "Перейти")</f>
        <v>Перейти</v>
      </c>
      <c r="F4613" s="2">
        <v>10004259</v>
      </c>
      <c r="G4613" s="4" t="s">
        <v>4760</v>
      </c>
      <c r="H4613" s="1">
        <v>1</v>
      </c>
      <c r="I4613" s="1">
        <v>0</v>
      </c>
      <c r="J4613" s="1">
        <v>0</v>
      </c>
      <c r="K4613" s="2">
        <v>4.35</v>
      </c>
    </row>
    <row r="4614" spans="1:12">
      <c r="A4614" s="3" t="s">
        <v>2194</v>
      </c>
      <c r="B4614" s="3" t="s">
        <v>3663</v>
      </c>
      <c r="C4614" s="3" t="s">
        <v>4747</v>
      </c>
      <c r="D4614" s="3"/>
      <c r="E4614" s="2" t="str">
        <f>HYPERLINK("https://old.ukr-mobil.com/srednyaya_chast_korpusa_oppo_a54_4g_black_10004250", "Перейти")</f>
        <v>Перейти</v>
      </c>
      <c r="F4614" s="2">
        <v>10004250</v>
      </c>
      <c r="G4614" s="4" t="s">
        <v>4761</v>
      </c>
      <c r="H4614" s="1">
        <v>0</v>
      </c>
      <c r="I4614" s="1">
        <v>0</v>
      </c>
      <c r="J4614" s="1">
        <v>0</v>
      </c>
      <c r="K4614" s="2">
        <v>4.25</v>
      </c>
    </row>
    <row r="4615" spans="1:12">
      <c r="A4615" s="3" t="s">
        <v>2194</v>
      </c>
      <c r="B4615" s="3" t="s">
        <v>3663</v>
      </c>
      <c r="C4615" s="3" t="s">
        <v>4747</v>
      </c>
      <c r="D4615" s="3"/>
      <c r="E4615" s="2" t="str">
        <f>HYPERLINK("https://old.ukr-mobil.com/srednyaya_chast_korpusa_oppo_a54_4g_gold_10004248", "Перейти")</f>
        <v>Перейти</v>
      </c>
      <c r="F4615" s="2">
        <v>10004248</v>
      </c>
      <c r="G4615" s="4" t="s">
        <v>4762</v>
      </c>
      <c r="H4615" s="1">
        <v>4</v>
      </c>
      <c r="I4615" s="1">
        <v>3</v>
      </c>
      <c r="J4615" s="1">
        <v>2</v>
      </c>
      <c r="K4615" s="2">
        <v>4.25</v>
      </c>
    </row>
    <row r="4616" spans="1:12">
      <c r="A4616" s="3" t="s">
        <v>2194</v>
      </c>
      <c r="B4616" s="3" t="s">
        <v>3663</v>
      </c>
      <c r="C4616" s="3" t="s">
        <v>4747</v>
      </c>
      <c r="D4616" s="3"/>
      <c r="E4616" s="2" t="str">
        <f>HYPERLINK("https://old.ukr-mobil.com/srednyaya_chast_korpusa_oppo_a54_4g_starry_blue_10004249", "Перейти")</f>
        <v>Перейти</v>
      </c>
      <c r="F4616" s="2">
        <v>10004249</v>
      </c>
      <c r="G4616" s="4" t="s">
        <v>4763</v>
      </c>
      <c r="H4616" s="1">
        <v>0</v>
      </c>
      <c r="I4616" s="1">
        <v>1</v>
      </c>
      <c r="J4616" s="1">
        <v>0</v>
      </c>
      <c r="K4616" s="2">
        <v>4.25</v>
      </c>
    </row>
    <row r="4617" spans="1:12">
      <c r="A4617" s="3" t="s">
        <v>2194</v>
      </c>
      <c r="B4617" s="3" t="s">
        <v>3663</v>
      </c>
      <c r="C4617" s="3" t="s">
        <v>4747</v>
      </c>
      <c r="D4617" s="3"/>
      <c r="E4617" s="2" t="str">
        <f>HYPERLINK("https://old.ukr-mobil.com/srednyaya_chast_korpusa_oppo_a54_5g_a74_5g_a93_5g_blue_10004247", "Перейти")</f>
        <v>Перейти</v>
      </c>
      <c r="F4617" s="2">
        <v>10004247</v>
      </c>
      <c r="G4617" s="4" t="s">
        <v>4764</v>
      </c>
      <c r="H4617" s="1">
        <v>2</v>
      </c>
      <c r="I4617" s="1">
        <v>1</v>
      </c>
      <c r="J4617" s="1">
        <v>2</v>
      </c>
      <c r="K4617" s="2">
        <v>4.75</v>
      </c>
    </row>
    <row r="4618" spans="1:12">
      <c r="A4618" s="3" t="s">
        <v>2194</v>
      </c>
      <c r="B4618" s="3" t="s">
        <v>3663</v>
      </c>
      <c r="C4618" s="3" t="s">
        <v>4747</v>
      </c>
      <c r="D4618" s="3"/>
      <c r="E4618" s="2" t="str">
        <f>HYPERLINK("https://old.ukr-mobil.com/srednyaya_chast_korpusa_oppo_a54_5g_a74_5g_a93_5g_fantastic_purple_10004246", "Перейти")</f>
        <v>Перейти</v>
      </c>
      <c r="F4618" s="2">
        <v>10004246</v>
      </c>
      <c r="G4618" s="4" t="s">
        <v>4765</v>
      </c>
      <c r="H4618" s="1">
        <v>4</v>
      </c>
      <c r="I4618" s="1">
        <v>1</v>
      </c>
      <c r="J4618" s="1">
        <v>2</v>
      </c>
      <c r="K4618" s="2">
        <v>4.75</v>
      </c>
    </row>
    <row r="4619" spans="1:12">
      <c r="A4619" s="3" t="s">
        <v>2194</v>
      </c>
      <c r="B4619" s="3" t="s">
        <v>3663</v>
      </c>
      <c r="C4619" s="3" t="s">
        <v>4747</v>
      </c>
      <c r="D4619" s="3"/>
      <c r="E4619" s="2" t="str">
        <f>HYPERLINK("https://old.ukr-mobil.com/srednyaya_chast_korpusa_oppo_a54_5g_a74_5g_a93_5g_silver_10004255", "Перейти")</f>
        <v>Перейти</v>
      </c>
      <c r="F4619" s="2">
        <v>10004255</v>
      </c>
      <c r="G4619" s="4" t="s">
        <v>4766</v>
      </c>
      <c r="H4619" s="1">
        <v>5</v>
      </c>
      <c r="I4619" s="1">
        <v>2</v>
      </c>
      <c r="J4619" s="1">
        <v>2</v>
      </c>
      <c r="K4619" s="2">
        <v>4.75</v>
      </c>
    </row>
    <row r="4620" spans="1:12">
      <c r="A4620" s="3" t="s">
        <v>2194</v>
      </c>
      <c r="B4620" s="3" t="s">
        <v>3663</v>
      </c>
      <c r="C4620" s="3" t="s">
        <v>4747</v>
      </c>
      <c r="D4620" s="3"/>
      <c r="E4620" s="2" t="str">
        <f>HYPERLINK("https://old.ukr-mobil.com/srednyaya_chast_korpusa_oppo_realme_8i_black_10004251", "Перейти")</f>
        <v>Перейти</v>
      </c>
      <c r="F4620" s="2">
        <v>10004251</v>
      </c>
      <c r="G4620" s="4" t="s">
        <v>4767</v>
      </c>
      <c r="H4620" s="1">
        <v>4</v>
      </c>
      <c r="I4620" s="1">
        <v>1</v>
      </c>
      <c r="J4620" s="1">
        <v>0</v>
      </c>
      <c r="K4620" s="2">
        <v>4.35</v>
      </c>
    </row>
    <row r="4621" spans="1:12">
      <c r="A4621" s="3" t="s">
        <v>2194</v>
      </c>
      <c r="B4621" s="3" t="s">
        <v>3663</v>
      </c>
      <c r="C4621" s="3" t="s">
        <v>4747</v>
      </c>
      <c r="D4621" s="3"/>
      <c r="E4621" s="2" t="str">
        <f>HYPERLINK("https://old.ukr-mobil.com/srednyaya_chast_korpusa_oppo_realme_8i_gold_10004252", "Перейти")</f>
        <v>Перейти</v>
      </c>
      <c r="F4621" s="2">
        <v>10004252</v>
      </c>
      <c r="G4621" s="4" t="s">
        <v>4768</v>
      </c>
      <c r="H4621" s="1">
        <v>5</v>
      </c>
      <c r="I4621" s="1">
        <v>2</v>
      </c>
      <c r="J4621" s="1">
        <v>1</v>
      </c>
      <c r="K4621" s="2">
        <v>4.35</v>
      </c>
    </row>
    <row r="4622" spans="1:12">
      <c r="A4622" s="3" t="s">
        <v>2194</v>
      </c>
      <c r="B4622" s="3" t="s">
        <v>3663</v>
      </c>
      <c r="C4622" s="3" t="s">
        <v>4747</v>
      </c>
      <c r="D4622" s="3"/>
      <c r="E4622" s="2" t="str">
        <f>HYPERLINK("https://old.ukr-mobil.com/srednyaya_chast_korpusa_oppo_realme_8i_purple_10004253", "Перейти")</f>
        <v>Перейти</v>
      </c>
      <c r="F4622" s="2">
        <v>10004253</v>
      </c>
      <c r="G4622" s="4" t="s">
        <v>4769</v>
      </c>
      <c r="H4622" s="1">
        <v>0</v>
      </c>
      <c r="I4622" s="1">
        <v>0</v>
      </c>
      <c r="J4622" s="1">
        <v>2</v>
      </c>
      <c r="K4622" s="2">
        <v>4.35</v>
      </c>
    </row>
    <row r="4623" spans="1:12">
      <c r="A4623" s="3" t="s">
        <v>2194</v>
      </c>
      <c r="B4623" s="3" t="s">
        <v>3663</v>
      </c>
      <c r="C4623" s="3" t="s">
        <v>4747</v>
      </c>
      <c r="D4623" s="3"/>
      <c r="E4623" s="2" t="str">
        <f>HYPERLINK("https://old.ukr-mobil.com/srednyaya_chast_korpusa_oppo_realme_8i_silver_10004254", "Перейти")</f>
        <v>Перейти</v>
      </c>
      <c r="F4623" s="2">
        <v>10004254</v>
      </c>
      <c r="G4623" s="4" t="s">
        <v>4770</v>
      </c>
      <c r="H4623" s="1">
        <v>4</v>
      </c>
      <c r="I4623" s="1">
        <v>2</v>
      </c>
      <c r="J4623" s="1">
        <v>0</v>
      </c>
      <c r="K4623" s="2">
        <v>4.35</v>
      </c>
    </row>
    <row r="4624" spans="1:12">
      <c r="A4624" s="3" t="s">
        <v>2194</v>
      </c>
      <c r="B4624" s="3" t="s">
        <v>3663</v>
      </c>
      <c r="C4624" s="3" t="s">
        <v>4747</v>
      </c>
      <c r="D4624" s="3"/>
      <c r="E4624" s="2" t="str">
        <f>HYPERLINK("https://old.ukr-mobil.com/srednyaya_chast_korpusa_samsung_a205_galaxy_a20_black_10004242", "Перейти")</f>
        <v>Перейти</v>
      </c>
      <c r="F4624" s="2">
        <v>10004242</v>
      </c>
      <c r="G4624" s="4" t="s">
        <v>4771</v>
      </c>
      <c r="H4624" s="1">
        <v>3</v>
      </c>
      <c r="I4624" s="1">
        <v>2</v>
      </c>
      <c r="J4624" s="1">
        <v>2</v>
      </c>
      <c r="K4624" s="2">
        <v>3.5</v>
      </c>
    </row>
    <row r="4625" spans="1:12">
      <c r="A4625" s="3" t="s">
        <v>2194</v>
      </c>
      <c r="B4625" s="3" t="s">
        <v>3663</v>
      </c>
      <c r="C4625" s="3" t="s">
        <v>4747</v>
      </c>
      <c r="D4625" s="3"/>
      <c r="E4625" s="2" t="str">
        <f>HYPERLINK("https://old.ukr-mobil.com/srednyaya_chast_korpusa_samsung_a205_galaxy_a20_blue_10004243", "Перейти")</f>
        <v>Перейти</v>
      </c>
      <c r="F4625" s="2">
        <v>10004243</v>
      </c>
      <c r="G4625" s="4" t="s">
        <v>4772</v>
      </c>
      <c r="H4625" s="1">
        <v>2</v>
      </c>
      <c r="I4625" s="1">
        <v>2</v>
      </c>
      <c r="J4625" s="1">
        <v>2</v>
      </c>
      <c r="K4625" s="2">
        <v>3.5</v>
      </c>
    </row>
    <row r="4626" spans="1:12">
      <c r="A4626" s="3" t="s">
        <v>2194</v>
      </c>
      <c r="B4626" s="3" t="s">
        <v>3663</v>
      </c>
      <c r="C4626" s="3" t="s">
        <v>4747</v>
      </c>
      <c r="D4626" s="3"/>
      <c r="E4626" s="2" t="str">
        <f>HYPERLINK("https://old.ukr-mobil.com/srednyaya_chast_korpusa_samsung_a205_galaxy_a20_red_10004244", "Перейти")</f>
        <v>Перейти</v>
      </c>
      <c r="F4626" s="2">
        <v>10004244</v>
      </c>
      <c r="G4626" s="4" t="s">
        <v>4773</v>
      </c>
      <c r="H4626" s="1">
        <v>4</v>
      </c>
      <c r="I4626" s="1">
        <v>3</v>
      </c>
      <c r="J4626" s="1">
        <v>2</v>
      </c>
      <c r="K4626" s="2">
        <v>3.5</v>
      </c>
    </row>
    <row r="4627" spans="1:12">
      <c r="A4627" s="3" t="s">
        <v>2194</v>
      </c>
      <c r="B4627" s="3" t="s">
        <v>3663</v>
      </c>
      <c r="C4627" s="3" t="s">
        <v>4747</v>
      </c>
      <c r="D4627" s="3"/>
      <c r="E4627" s="2" t="str">
        <f>HYPERLINK("https://old.ukr-mobil.com/srednyaya_chast_korpusa_samsung_a207_galaxy_a20s_black_10004235", "Перейти")</f>
        <v>Перейти</v>
      </c>
      <c r="F4627" s="2">
        <v>10004235</v>
      </c>
      <c r="G4627" s="4" t="s">
        <v>4774</v>
      </c>
      <c r="H4627" s="1">
        <v>0</v>
      </c>
      <c r="I4627" s="1">
        <v>0</v>
      </c>
      <c r="J4627" s="1">
        <v>0</v>
      </c>
      <c r="K4627" s="2">
        <v>4.25</v>
      </c>
    </row>
    <row r="4628" spans="1:12">
      <c r="A4628" s="3" t="s">
        <v>2194</v>
      </c>
      <c r="B4628" s="3" t="s">
        <v>3663</v>
      </c>
      <c r="C4628" s="3" t="s">
        <v>4747</v>
      </c>
      <c r="D4628" s="3"/>
      <c r="E4628" s="2" t="str">
        <f>HYPERLINK("https://old.ukr-mobil.com/srednyaya_chast_korpusa_samsung_a207_galaxy_a20s_blue_10004236", "Перейти")</f>
        <v>Перейти</v>
      </c>
      <c r="F4628" s="2">
        <v>10004236</v>
      </c>
      <c r="G4628" s="4" t="s">
        <v>4775</v>
      </c>
      <c r="H4628" s="1">
        <v>0</v>
      </c>
      <c r="I4628" s="1">
        <v>0</v>
      </c>
      <c r="J4628" s="1">
        <v>0</v>
      </c>
      <c r="K4628" s="2">
        <v>4.25</v>
      </c>
    </row>
    <row r="4629" spans="1:12">
      <c r="A4629" s="3" t="s">
        <v>2194</v>
      </c>
      <c r="B4629" s="3" t="s">
        <v>3663</v>
      </c>
      <c r="C4629" s="3" t="s">
        <v>4747</v>
      </c>
      <c r="D4629" s="3"/>
      <c r="E4629" s="2" t="str">
        <f>HYPERLINK("https://old.ukr-mobil.com/srednyaya_chast_korpusa_samsung_a207_galaxy_a20s_green_10004238", "Перейти")</f>
        <v>Перейти</v>
      </c>
      <c r="F4629" s="2">
        <v>10004238</v>
      </c>
      <c r="G4629" s="4" t="s">
        <v>4776</v>
      </c>
      <c r="H4629" s="1">
        <v>2</v>
      </c>
      <c r="I4629" s="1">
        <v>2</v>
      </c>
      <c r="J4629" s="1">
        <v>2</v>
      </c>
      <c r="K4629" s="2">
        <v>4.25</v>
      </c>
    </row>
    <row r="4630" spans="1:12">
      <c r="A4630" s="3" t="s">
        <v>2194</v>
      </c>
      <c r="B4630" s="3" t="s">
        <v>3663</v>
      </c>
      <c r="C4630" s="3" t="s">
        <v>4747</v>
      </c>
      <c r="D4630" s="3"/>
      <c r="E4630" s="2" t="str">
        <f>HYPERLINK("https://old.ukr-mobil.com/srednyaya_chast_korpusa_samsung_a207_galaxy_a20s_red_10004237", "Перейти")</f>
        <v>Перейти</v>
      </c>
      <c r="F4630" s="2">
        <v>10004237</v>
      </c>
      <c r="G4630" s="4" t="s">
        <v>4777</v>
      </c>
      <c r="H4630" s="1">
        <v>0</v>
      </c>
      <c r="I4630" s="1">
        <v>0</v>
      </c>
      <c r="J4630" s="1">
        <v>1</v>
      </c>
      <c r="K4630" s="2">
        <v>4.25</v>
      </c>
    </row>
    <row r="4631" spans="1:12">
      <c r="A4631" s="3" t="s">
        <v>2194</v>
      </c>
      <c r="B4631" s="3" t="s">
        <v>3663</v>
      </c>
      <c r="C4631" s="3" t="s">
        <v>4747</v>
      </c>
      <c r="D4631" s="3"/>
      <c r="E4631" s="2" t="str">
        <f>HYPERLINK("https://old.ukr-mobil.com/srednyaya_chast_korpusa_samsung_a215_galaxy_a21_black_10004245", "Перейти")</f>
        <v>Перейти</v>
      </c>
      <c r="F4631" s="2">
        <v>10004245</v>
      </c>
      <c r="G4631" s="4" t="s">
        <v>4778</v>
      </c>
      <c r="H4631" s="1">
        <v>4</v>
      </c>
      <c r="I4631" s="1">
        <v>3</v>
      </c>
      <c r="J4631" s="1">
        <v>2</v>
      </c>
      <c r="K4631" s="2">
        <v>5.0</v>
      </c>
    </row>
    <row r="4632" spans="1:12">
      <c r="A4632" s="3" t="s">
        <v>2194</v>
      </c>
      <c r="B4632" s="3" t="s">
        <v>3663</v>
      </c>
      <c r="C4632" s="3" t="s">
        <v>4747</v>
      </c>
      <c r="D4632" s="3"/>
      <c r="E4632" s="2" t="str">
        <f>HYPERLINK("https://old.ukr-mobil.com/srednyaya_chast_korpusa_samsung_a217_galaxy_a21s_black_10004232", "Перейти")</f>
        <v>Перейти</v>
      </c>
      <c r="F4632" s="2">
        <v>10004232</v>
      </c>
      <c r="G4632" s="4" t="s">
        <v>4779</v>
      </c>
      <c r="H4632" s="1">
        <v>0</v>
      </c>
      <c r="I4632" s="1">
        <v>0</v>
      </c>
      <c r="J4632" s="1">
        <v>0</v>
      </c>
      <c r="K4632" s="2">
        <v>3.85</v>
      </c>
    </row>
    <row r="4633" spans="1:12">
      <c r="A4633" s="3" t="s">
        <v>2194</v>
      </c>
      <c r="B4633" s="3" t="s">
        <v>3663</v>
      </c>
      <c r="C4633" s="3" t="s">
        <v>4747</v>
      </c>
      <c r="D4633" s="3"/>
      <c r="E4633" s="2" t="str">
        <f>HYPERLINK("https://old.ukr-mobil.com/srednyaya_chast_korpusa_samsung_a225_galaxy_a22_black_10004217", "Перейти")</f>
        <v>Перейти</v>
      </c>
      <c r="F4633" s="2">
        <v>10004217</v>
      </c>
      <c r="G4633" s="4" t="s">
        <v>4780</v>
      </c>
      <c r="H4633" s="1">
        <v>0</v>
      </c>
      <c r="I4633" s="1">
        <v>0</v>
      </c>
      <c r="J4633" s="1">
        <v>0</v>
      </c>
      <c r="K4633" s="2">
        <v>3.75</v>
      </c>
    </row>
    <row r="4634" spans="1:12">
      <c r="A4634" s="3" t="s">
        <v>2194</v>
      </c>
      <c r="B4634" s="3" t="s">
        <v>3663</v>
      </c>
      <c r="C4634" s="3" t="s">
        <v>4747</v>
      </c>
      <c r="D4634" s="3"/>
      <c r="E4634" s="2" t="str">
        <f>HYPERLINK("https://old.ukr-mobil.com/srednyaya_chast_korpusa_samsung_a225_galaxy_a22_light_green_10004218", "Перейти")</f>
        <v>Перейти</v>
      </c>
      <c r="F4634" s="2">
        <v>10004218</v>
      </c>
      <c r="G4634" s="4" t="s">
        <v>4781</v>
      </c>
      <c r="H4634" s="1">
        <v>1</v>
      </c>
      <c r="I4634" s="1">
        <v>0</v>
      </c>
      <c r="J4634" s="1">
        <v>1</v>
      </c>
      <c r="K4634" s="2">
        <v>4.0</v>
      </c>
    </row>
    <row r="4635" spans="1:12">
      <c r="A4635" s="3" t="s">
        <v>2194</v>
      </c>
      <c r="B4635" s="3" t="s">
        <v>3663</v>
      </c>
      <c r="C4635" s="3" t="s">
        <v>4747</v>
      </c>
      <c r="D4635" s="3"/>
      <c r="E4635" s="2" t="str">
        <f>HYPERLINK("https://old.ukr-mobil.com/srednyaya_chast_korpusa_samsung_a225_galaxy_a22_violet_10004220", "Перейти")</f>
        <v>Перейти</v>
      </c>
      <c r="F4635" s="2">
        <v>10004220</v>
      </c>
      <c r="G4635" s="4" t="s">
        <v>4782</v>
      </c>
      <c r="H4635" s="1">
        <v>3</v>
      </c>
      <c r="I4635" s="1">
        <v>3</v>
      </c>
      <c r="J4635" s="1">
        <v>2</v>
      </c>
      <c r="K4635" s="2">
        <v>4.0</v>
      </c>
    </row>
    <row r="4636" spans="1:12">
      <c r="A4636" s="3" t="s">
        <v>2194</v>
      </c>
      <c r="B4636" s="3" t="s">
        <v>3663</v>
      </c>
      <c r="C4636" s="3" t="s">
        <v>4747</v>
      </c>
      <c r="D4636" s="3"/>
      <c r="E4636" s="2" t="str">
        <f>HYPERLINK("https://old.ukr-mobil.com/srednyaya_chast_korpusa_samsung_a225_galaxy_a22_white_10004219", "Перейти")</f>
        <v>Перейти</v>
      </c>
      <c r="F4636" s="2">
        <v>10004219</v>
      </c>
      <c r="G4636" s="4" t="s">
        <v>4783</v>
      </c>
      <c r="H4636" s="1">
        <v>1</v>
      </c>
      <c r="I4636" s="1">
        <v>0</v>
      </c>
      <c r="J4636" s="1">
        <v>0</v>
      </c>
      <c r="K4636" s="2">
        <v>4.0</v>
      </c>
    </row>
    <row r="4637" spans="1:12">
      <c r="A4637" s="3" t="s">
        <v>2194</v>
      </c>
      <c r="B4637" s="3" t="s">
        <v>3663</v>
      </c>
      <c r="C4637" s="3" t="s">
        <v>4747</v>
      </c>
      <c r="D4637" s="3"/>
      <c r="E4637" s="2" t="str">
        <f>HYPERLINK("https://old.ukr-mobil.com/srednyaya_chast_korpusa_samsung_a226_galaxy_a22_5g_gray_10004139", "Перейти")</f>
        <v>Перейти</v>
      </c>
      <c r="F4637" s="2">
        <v>10004139</v>
      </c>
      <c r="G4637" s="4" t="s">
        <v>4784</v>
      </c>
      <c r="H4637" s="1">
        <v>0</v>
      </c>
      <c r="I4637" s="1">
        <v>0</v>
      </c>
      <c r="J4637" s="1">
        <v>1</v>
      </c>
      <c r="K4637" s="2">
        <v>3.85</v>
      </c>
    </row>
    <row r="4638" spans="1:12">
      <c r="A4638" s="3" t="s">
        <v>2194</v>
      </c>
      <c r="B4638" s="3" t="s">
        <v>3663</v>
      </c>
      <c r="C4638" s="3" t="s">
        <v>4747</v>
      </c>
      <c r="D4638" s="3"/>
      <c r="E4638" s="2" t="str">
        <f>HYPERLINK("https://old.ukr-mobil.com/srednyaya_chast_korpusa_samsung_a226_galaxy_a22_5g_green_10004142", "Перейти")</f>
        <v>Перейти</v>
      </c>
      <c r="F4638" s="2">
        <v>10004142</v>
      </c>
      <c r="G4638" s="4" t="s">
        <v>4785</v>
      </c>
      <c r="H4638" s="1">
        <v>4</v>
      </c>
      <c r="I4638" s="1">
        <v>3</v>
      </c>
      <c r="J4638" s="1">
        <v>2</v>
      </c>
      <c r="K4638" s="2">
        <v>3.85</v>
      </c>
    </row>
    <row r="4639" spans="1:12">
      <c r="A4639" s="3" t="s">
        <v>2194</v>
      </c>
      <c r="B4639" s="3" t="s">
        <v>3663</v>
      </c>
      <c r="C4639" s="3" t="s">
        <v>4747</v>
      </c>
      <c r="D4639" s="3"/>
      <c r="E4639" s="2" t="str">
        <f>HYPERLINK("https://old.ukr-mobil.com/srednyaya_chast_korpusa_samsung_a226_galaxy_a22_5g_violet_10004140", "Перейти")</f>
        <v>Перейти</v>
      </c>
      <c r="F4639" s="2">
        <v>10004140</v>
      </c>
      <c r="G4639" s="4" t="s">
        <v>4786</v>
      </c>
      <c r="H4639" s="1">
        <v>5</v>
      </c>
      <c r="I4639" s="1">
        <v>3</v>
      </c>
      <c r="J4639" s="1">
        <v>2</v>
      </c>
      <c r="K4639" s="2">
        <v>3.85</v>
      </c>
    </row>
    <row r="4640" spans="1:12">
      <c r="A4640" s="3" t="s">
        <v>2194</v>
      </c>
      <c r="B4640" s="3" t="s">
        <v>3663</v>
      </c>
      <c r="C4640" s="3" t="s">
        <v>4747</v>
      </c>
      <c r="D4640" s="3"/>
      <c r="E4640" s="2" t="str">
        <f>HYPERLINK("https://old.ukr-mobil.com/srednyaya_chast_korpusa_samsung_a226_galaxy_a22_5g_white_10004141", "Перейти")</f>
        <v>Перейти</v>
      </c>
      <c r="F4640" s="2">
        <v>10004141</v>
      </c>
      <c r="G4640" s="4" t="s">
        <v>4787</v>
      </c>
      <c r="H4640" s="1">
        <v>3</v>
      </c>
      <c r="I4640" s="1">
        <v>3</v>
      </c>
      <c r="J4640" s="1">
        <v>2</v>
      </c>
      <c r="K4640" s="2">
        <v>3.85</v>
      </c>
    </row>
    <row r="4641" spans="1:12">
      <c r="A4641" s="3" t="s">
        <v>2194</v>
      </c>
      <c r="B4641" s="3" t="s">
        <v>3663</v>
      </c>
      <c r="C4641" s="3" t="s">
        <v>4747</v>
      </c>
      <c r="D4641" s="3"/>
      <c r="E4641" s="2" t="str">
        <f>HYPERLINK("https://old.ukr-mobil.com/srednyaya_chast_korpusa_samsung_a235_galaxy_a23_black_10004133", "Перейти")</f>
        <v>Перейти</v>
      </c>
      <c r="F4641" s="2">
        <v>10004133</v>
      </c>
      <c r="G4641" s="4" t="s">
        <v>4788</v>
      </c>
      <c r="H4641" s="1">
        <v>0</v>
      </c>
      <c r="I4641" s="1">
        <v>0</v>
      </c>
      <c r="J4641" s="1">
        <v>0</v>
      </c>
      <c r="K4641" s="2">
        <v>4.25</v>
      </c>
    </row>
    <row r="4642" spans="1:12">
      <c r="A4642" s="3" t="s">
        <v>2194</v>
      </c>
      <c r="B4642" s="3" t="s">
        <v>3663</v>
      </c>
      <c r="C4642" s="3" t="s">
        <v>4747</v>
      </c>
      <c r="D4642" s="3"/>
      <c r="E4642" s="2" t="str">
        <f>HYPERLINK("https://old.ukr-mobil.com/srednyaya_chast_korpusa_samsung_a235_galaxy_a23_blue_10004132", "Перейти")</f>
        <v>Перейти</v>
      </c>
      <c r="F4642" s="2">
        <v>10004132</v>
      </c>
      <c r="G4642" s="4" t="s">
        <v>4789</v>
      </c>
      <c r="H4642" s="1">
        <v>4</v>
      </c>
      <c r="I4642" s="1">
        <v>3</v>
      </c>
      <c r="J4642" s="1">
        <v>2</v>
      </c>
      <c r="K4642" s="2">
        <v>4.25</v>
      </c>
    </row>
    <row r="4643" spans="1:12">
      <c r="A4643" s="3" t="s">
        <v>2194</v>
      </c>
      <c r="B4643" s="3" t="s">
        <v>3663</v>
      </c>
      <c r="C4643" s="3" t="s">
        <v>4747</v>
      </c>
      <c r="D4643" s="3"/>
      <c r="E4643" s="2" t="str">
        <f>HYPERLINK("https://old.ukr-mobil.com/srednyaya_chast_korpusa_samsung_a235_galaxy_a23_white_10004131", "Перейти")</f>
        <v>Перейти</v>
      </c>
      <c r="F4643" s="2">
        <v>10004131</v>
      </c>
      <c r="G4643" s="4" t="s">
        <v>4790</v>
      </c>
      <c r="H4643" s="1">
        <v>1</v>
      </c>
      <c r="I4643" s="1">
        <v>3</v>
      </c>
      <c r="J4643" s="1">
        <v>1</v>
      </c>
      <c r="K4643" s="2">
        <v>4.25</v>
      </c>
    </row>
    <row r="4644" spans="1:12">
      <c r="A4644" s="3" t="s">
        <v>2194</v>
      </c>
      <c r="B4644" s="3" t="s">
        <v>3663</v>
      </c>
      <c r="C4644" s="3" t="s">
        <v>4747</v>
      </c>
      <c r="D4644" s="3"/>
      <c r="E4644" s="2" t="str">
        <f>HYPERLINK("https://old.ukr-mobil.com/srednyaya_chast_korpusa_samsung_a305_galaxy_a30_black_10004155", "Перейти")</f>
        <v>Перейти</v>
      </c>
      <c r="F4644" s="2">
        <v>10004155</v>
      </c>
      <c r="G4644" s="4" t="s">
        <v>4791</v>
      </c>
      <c r="H4644" s="1">
        <v>0</v>
      </c>
      <c r="I4644" s="1">
        <v>0</v>
      </c>
      <c r="J4644" s="1">
        <v>0</v>
      </c>
      <c r="K4644" s="2">
        <v>3.0</v>
      </c>
    </row>
    <row r="4645" spans="1:12">
      <c r="A4645" s="3" t="s">
        <v>2194</v>
      </c>
      <c r="B4645" s="3" t="s">
        <v>3663</v>
      </c>
      <c r="C4645" s="3" t="s">
        <v>4747</v>
      </c>
      <c r="D4645" s="3"/>
      <c r="E4645" s="2" t="str">
        <f>HYPERLINK("https://old.ukr-mobil.com/srednyaya_chast_korpusa_samsung_a305_galaxy_a30_blue_10004157", "Перейти")</f>
        <v>Перейти</v>
      </c>
      <c r="F4645" s="2">
        <v>10004157</v>
      </c>
      <c r="G4645" s="4" t="s">
        <v>4792</v>
      </c>
      <c r="H4645" s="1">
        <v>0</v>
      </c>
      <c r="I4645" s="1">
        <v>1</v>
      </c>
      <c r="J4645" s="1">
        <v>1</v>
      </c>
      <c r="K4645" s="2">
        <v>3.0</v>
      </c>
    </row>
    <row r="4646" spans="1:12">
      <c r="A4646" s="3" t="s">
        <v>2194</v>
      </c>
      <c r="B4646" s="3" t="s">
        <v>3663</v>
      </c>
      <c r="C4646" s="3" t="s">
        <v>4747</v>
      </c>
      <c r="D4646" s="3"/>
      <c r="E4646" s="2" t="str">
        <f>HYPERLINK("https://old.ukr-mobil.com/srednyaya_chast_korpusa_samsung_a305_galaxy_a30_red_10004158", "Перейти")</f>
        <v>Перейти</v>
      </c>
      <c r="F4646" s="2">
        <v>10004158</v>
      </c>
      <c r="G4646" s="4" t="s">
        <v>4793</v>
      </c>
      <c r="H4646" s="1">
        <v>2</v>
      </c>
      <c r="I4646" s="1">
        <v>3</v>
      </c>
      <c r="J4646" s="1">
        <v>2</v>
      </c>
      <c r="K4646" s="2">
        <v>3.0</v>
      </c>
    </row>
    <row r="4647" spans="1:12">
      <c r="A4647" s="3" t="s">
        <v>2194</v>
      </c>
      <c r="B4647" s="3" t="s">
        <v>3663</v>
      </c>
      <c r="C4647" s="3" t="s">
        <v>4747</v>
      </c>
      <c r="D4647" s="3"/>
      <c r="E4647" s="2" t="str">
        <f>HYPERLINK("https://old.ukr-mobil.com/srednyaya_chast_korpusa_samsung_a305_galaxy_a30_white_10004156", "Перейти")</f>
        <v>Перейти</v>
      </c>
      <c r="F4647" s="2">
        <v>10004156</v>
      </c>
      <c r="G4647" s="4" t="s">
        <v>4794</v>
      </c>
      <c r="H4647" s="1">
        <v>3</v>
      </c>
      <c r="I4647" s="1">
        <v>3</v>
      </c>
      <c r="J4647" s="1">
        <v>2</v>
      </c>
      <c r="K4647" s="2">
        <v>3.0</v>
      </c>
    </row>
    <row r="4648" spans="1:12">
      <c r="A4648" s="3" t="s">
        <v>2194</v>
      </c>
      <c r="B4648" s="3" t="s">
        <v>3663</v>
      </c>
      <c r="C4648" s="3" t="s">
        <v>4747</v>
      </c>
      <c r="D4648" s="3"/>
      <c r="E4648" s="2" t="str">
        <f>HYPERLINK("https://old.ukr-mobil.com/srednyaya_chast_korpusa_samsung_a307_galaxy_a30s_black_10004151", "Перейти")</f>
        <v>Перейти</v>
      </c>
      <c r="F4648" s="2">
        <v>10004151</v>
      </c>
      <c r="G4648" s="4" t="s">
        <v>4795</v>
      </c>
      <c r="H4648" s="1">
        <v>0</v>
      </c>
      <c r="I4648" s="1">
        <v>0</v>
      </c>
      <c r="J4648" s="1">
        <v>0</v>
      </c>
      <c r="K4648" s="2">
        <v>3.0</v>
      </c>
    </row>
    <row r="4649" spans="1:12">
      <c r="A4649" s="3" t="s">
        <v>2194</v>
      </c>
      <c r="B4649" s="3" t="s">
        <v>3663</v>
      </c>
      <c r="C4649" s="3" t="s">
        <v>4747</v>
      </c>
      <c r="D4649" s="3"/>
      <c r="E4649" s="2" t="str">
        <f>HYPERLINK("https://old.ukr-mobil.com/srednyaya_chast_korpusa_samsung_a307_galaxy_a30s_green_10004154", "Перейти")</f>
        <v>Перейти</v>
      </c>
      <c r="F4649" s="2">
        <v>10004154</v>
      </c>
      <c r="G4649" s="4" t="s">
        <v>4796</v>
      </c>
      <c r="H4649" s="1">
        <v>0</v>
      </c>
      <c r="I4649" s="1">
        <v>0</v>
      </c>
      <c r="J4649" s="1">
        <v>0</v>
      </c>
      <c r="K4649" s="2">
        <v>3.0</v>
      </c>
    </row>
    <row r="4650" spans="1:12">
      <c r="A4650" s="3" t="s">
        <v>2194</v>
      </c>
      <c r="B4650" s="3" t="s">
        <v>3663</v>
      </c>
      <c r="C4650" s="3" t="s">
        <v>4747</v>
      </c>
      <c r="D4650" s="3"/>
      <c r="E4650" s="2" t="str">
        <f>HYPERLINK("https://old.ukr-mobil.com/srednyaya_chast_korpusa_samsung_a307_galaxy_a30s_violet_10004153", "Перейти")</f>
        <v>Перейти</v>
      </c>
      <c r="F4650" s="2">
        <v>10004153</v>
      </c>
      <c r="G4650" s="4" t="s">
        <v>4797</v>
      </c>
      <c r="H4650" s="1">
        <v>0</v>
      </c>
      <c r="I4650" s="1">
        <v>0</v>
      </c>
      <c r="J4650" s="1">
        <v>0</v>
      </c>
      <c r="K4650" s="2">
        <v>3.0</v>
      </c>
    </row>
    <row r="4651" spans="1:12">
      <c r="A4651" s="3" t="s">
        <v>2194</v>
      </c>
      <c r="B4651" s="3" t="s">
        <v>3663</v>
      </c>
      <c r="C4651" s="3" t="s">
        <v>4747</v>
      </c>
      <c r="D4651" s="3"/>
      <c r="E4651" s="2" t="str">
        <f>HYPERLINK("https://old.ukr-mobil.com/srednyaya_chast_korpusa_samsung_a307_galaxy_a30s_white_10004152", "Перейти")</f>
        <v>Перейти</v>
      </c>
      <c r="F4651" s="2">
        <v>10004152</v>
      </c>
      <c r="G4651" s="4" t="s">
        <v>4798</v>
      </c>
      <c r="H4651" s="1">
        <v>1</v>
      </c>
      <c r="I4651" s="1">
        <v>0</v>
      </c>
      <c r="J4651" s="1">
        <v>0</v>
      </c>
      <c r="K4651" s="2">
        <v>3.0</v>
      </c>
    </row>
    <row r="4652" spans="1:12">
      <c r="A4652" s="3" t="s">
        <v>2194</v>
      </c>
      <c r="B4652" s="3" t="s">
        <v>3663</v>
      </c>
      <c r="C4652" s="3" t="s">
        <v>4747</v>
      </c>
      <c r="D4652" s="3"/>
      <c r="E4652" s="2" t="str">
        <f>HYPERLINK("https://old.ukr-mobil.com/srednyaya_chast_korpusa_samsung_a315_galaxy_a31_black_10004134", "Перейти")</f>
        <v>Перейти</v>
      </c>
      <c r="F4652" s="2">
        <v>10004134</v>
      </c>
      <c r="G4652" s="4" t="s">
        <v>4799</v>
      </c>
      <c r="H4652" s="1">
        <v>0</v>
      </c>
      <c r="I4652" s="1">
        <v>0</v>
      </c>
      <c r="J4652" s="1">
        <v>0</v>
      </c>
      <c r="K4652" s="2">
        <v>3.75</v>
      </c>
    </row>
    <row r="4653" spans="1:12">
      <c r="A4653" s="3" t="s">
        <v>2194</v>
      </c>
      <c r="B4653" s="3" t="s">
        <v>3663</v>
      </c>
      <c r="C4653" s="3" t="s">
        <v>4747</v>
      </c>
      <c r="D4653" s="3"/>
      <c r="E4653" s="2" t="str">
        <f>HYPERLINK("https://old.ukr-mobil.com/srednyaya_chast_korpusa_samsung_a315_galaxy_a31_blue_10004216", "Перейти")</f>
        <v>Перейти</v>
      </c>
      <c r="F4653" s="2">
        <v>10004216</v>
      </c>
      <c r="G4653" s="4" t="s">
        <v>4800</v>
      </c>
      <c r="H4653" s="1">
        <v>0</v>
      </c>
      <c r="I4653" s="1">
        <v>0</v>
      </c>
      <c r="J4653" s="1">
        <v>0</v>
      </c>
      <c r="K4653" s="2">
        <v>3.75</v>
      </c>
    </row>
    <row r="4654" spans="1:12">
      <c r="A4654" s="3" t="s">
        <v>2194</v>
      </c>
      <c r="B4654" s="3" t="s">
        <v>3663</v>
      </c>
      <c r="C4654" s="3" t="s">
        <v>4747</v>
      </c>
      <c r="D4654" s="3"/>
      <c r="E4654" s="2" t="str">
        <f>HYPERLINK("https://old.ukr-mobil.com/srednyaya_chast_korpusa_samsung_a315_galaxy_a31_red_10004130", "Перейти")</f>
        <v>Перейти</v>
      </c>
      <c r="F4654" s="2">
        <v>10004130</v>
      </c>
      <c r="G4654" s="4" t="s">
        <v>4801</v>
      </c>
      <c r="H4654" s="1">
        <v>0</v>
      </c>
      <c r="I4654" s="1">
        <v>0</v>
      </c>
      <c r="J4654" s="1">
        <v>0</v>
      </c>
      <c r="K4654" s="2">
        <v>3.75</v>
      </c>
    </row>
    <row r="4655" spans="1:12">
      <c r="A4655" s="3" t="s">
        <v>2194</v>
      </c>
      <c r="B4655" s="3" t="s">
        <v>3663</v>
      </c>
      <c r="C4655" s="3" t="s">
        <v>4747</v>
      </c>
      <c r="D4655" s="3"/>
      <c r="E4655" s="2" t="str">
        <f>HYPERLINK("https://old.ukr-mobil.com/srednyaya_chast_korpusa_samsung_a315_galaxy_a31_white_10004129", "Перейти")</f>
        <v>Перейти</v>
      </c>
      <c r="F4655" s="2">
        <v>10004129</v>
      </c>
      <c r="G4655" s="4" t="s">
        <v>4802</v>
      </c>
      <c r="H4655" s="1">
        <v>0</v>
      </c>
      <c r="I4655" s="1">
        <v>0</v>
      </c>
      <c r="J4655" s="1">
        <v>0</v>
      </c>
      <c r="K4655" s="2">
        <v>3.75</v>
      </c>
    </row>
    <row r="4656" spans="1:12">
      <c r="A4656" s="3" t="s">
        <v>2194</v>
      </c>
      <c r="B4656" s="3" t="s">
        <v>3663</v>
      </c>
      <c r="C4656" s="3" t="s">
        <v>4747</v>
      </c>
      <c r="D4656" s="3"/>
      <c r="E4656" s="2" t="str">
        <f>HYPERLINK("https://old.ukr-mobil.com/srednyaya_chast_korpusa_samsung_a325_galaxy_a32_black_10004147", "Перейти")</f>
        <v>Перейти</v>
      </c>
      <c r="F4656" s="2">
        <v>10004147</v>
      </c>
      <c r="G4656" s="4" t="s">
        <v>4803</v>
      </c>
      <c r="H4656" s="1">
        <v>0</v>
      </c>
      <c r="I4656" s="1">
        <v>0</v>
      </c>
      <c r="J4656" s="1">
        <v>0</v>
      </c>
      <c r="K4656" s="2">
        <v>3.85</v>
      </c>
    </row>
    <row r="4657" spans="1:12">
      <c r="A4657" s="3" t="s">
        <v>2194</v>
      </c>
      <c r="B4657" s="3" t="s">
        <v>3663</v>
      </c>
      <c r="C4657" s="3" t="s">
        <v>4747</v>
      </c>
      <c r="D4657" s="3"/>
      <c r="E4657" s="2" t="str">
        <f>HYPERLINK("https://old.ukr-mobil.com/srednyaya_chast_korpusa_samsung_a325_galaxy_a32_blue_10004149", "Перейти")</f>
        <v>Перейти</v>
      </c>
      <c r="F4657" s="2">
        <v>10004149</v>
      </c>
      <c r="G4657" s="4" t="s">
        <v>4804</v>
      </c>
      <c r="H4657" s="1">
        <v>1</v>
      </c>
      <c r="I4657" s="1">
        <v>0</v>
      </c>
      <c r="J4657" s="1">
        <v>0</v>
      </c>
      <c r="K4657" s="2">
        <v>3.85</v>
      </c>
    </row>
    <row r="4658" spans="1:12">
      <c r="A4658" s="3" t="s">
        <v>2194</v>
      </c>
      <c r="B4658" s="3" t="s">
        <v>3663</v>
      </c>
      <c r="C4658" s="3" t="s">
        <v>4747</v>
      </c>
      <c r="D4658" s="3"/>
      <c r="E4658" s="2" t="str">
        <f>HYPERLINK("https://old.ukr-mobil.com/srednyaya_chast_korpusa_samsung_a325_galaxy_a32_violet_10004150", "Перейти")</f>
        <v>Перейти</v>
      </c>
      <c r="F4658" s="2">
        <v>10004150</v>
      </c>
      <c r="G4658" s="4" t="s">
        <v>4805</v>
      </c>
      <c r="H4658" s="1">
        <v>0</v>
      </c>
      <c r="I4658" s="1">
        <v>3</v>
      </c>
      <c r="J4658" s="1">
        <v>0</v>
      </c>
      <c r="K4658" s="2">
        <v>3.85</v>
      </c>
    </row>
    <row r="4659" spans="1:12">
      <c r="A4659" s="3" t="s">
        <v>2194</v>
      </c>
      <c r="B4659" s="3" t="s">
        <v>3663</v>
      </c>
      <c r="C4659" s="3" t="s">
        <v>4747</v>
      </c>
      <c r="D4659" s="3"/>
      <c r="E4659" s="2" t="str">
        <f>HYPERLINK("https://old.ukr-mobil.com/srednyaya_chast_korpusa_samsung_a325_galaxy_a32_white_10004148", "Перейти")</f>
        <v>Перейти</v>
      </c>
      <c r="F4659" s="2">
        <v>10004148</v>
      </c>
      <c r="G4659" s="4" t="s">
        <v>4806</v>
      </c>
      <c r="H4659" s="1">
        <v>2</v>
      </c>
      <c r="I4659" s="1">
        <v>1</v>
      </c>
      <c r="J4659" s="1">
        <v>0</v>
      </c>
      <c r="K4659" s="2">
        <v>3.85</v>
      </c>
    </row>
    <row r="4660" spans="1:12">
      <c r="A4660" s="3" t="s">
        <v>2194</v>
      </c>
      <c r="B4660" s="3" t="s">
        <v>3663</v>
      </c>
      <c r="C4660" s="3" t="s">
        <v>4747</v>
      </c>
      <c r="D4660" s="3"/>
      <c r="E4660" s="2" t="str">
        <f>HYPERLINK("https://old.ukr-mobil.com/srednyaya_chast_korpusa_samsung_a326_galaxy_a32_5g_black_10004233", "Перейти")</f>
        <v>Перейти</v>
      </c>
      <c r="F4660" s="2">
        <v>10004233</v>
      </c>
      <c r="G4660" s="4" t="s">
        <v>4807</v>
      </c>
      <c r="H4660" s="1">
        <v>1</v>
      </c>
      <c r="I4660" s="1">
        <v>3</v>
      </c>
      <c r="J4660" s="1">
        <v>1</v>
      </c>
      <c r="K4660" s="2">
        <v>5.5</v>
      </c>
    </row>
    <row r="4661" spans="1:12">
      <c r="A4661" s="3" t="s">
        <v>2194</v>
      </c>
      <c r="B4661" s="3" t="s">
        <v>3663</v>
      </c>
      <c r="C4661" s="3" t="s">
        <v>4747</v>
      </c>
      <c r="D4661" s="3"/>
      <c r="E4661" s="2" t="str">
        <f>HYPERLINK("https://old.ukr-mobil.com/srednyaya_chast_korpusa_samsung_a326_galaxy_a32_5g_white_10004234", "Перейти")</f>
        <v>Перейти</v>
      </c>
      <c r="F4661" s="2">
        <v>10004234</v>
      </c>
      <c r="G4661" s="4" t="s">
        <v>4808</v>
      </c>
      <c r="H4661" s="1">
        <v>3</v>
      </c>
      <c r="I4661" s="1">
        <v>3</v>
      </c>
      <c r="J4661" s="1">
        <v>2</v>
      </c>
      <c r="K4661" s="2">
        <v>5.5</v>
      </c>
    </row>
    <row r="4662" spans="1:12">
      <c r="A4662" s="3" t="s">
        <v>2194</v>
      </c>
      <c r="B4662" s="3" t="s">
        <v>3663</v>
      </c>
      <c r="C4662" s="3" t="s">
        <v>4747</v>
      </c>
      <c r="D4662" s="3"/>
      <c r="E4662" s="2" t="str">
        <f>HYPERLINK("https://old.ukr-mobil.com/srednyaya_chast_korpusa_samsung_a505_galaxy_a50_black_10004212", "Перейти")</f>
        <v>Перейти</v>
      </c>
      <c r="F4662" s="2">
        <v>10004212</v>
      </c>
      <c r="G4662" s="4" t="s">
        <v>4809</v>
      </c>
      <c r="H4662" s="1">
        <v>0</v>
      </c>
      <c r="I4662" s="1">
        <v>0</v>
      </c>
      <c r="J4662" s="1">
        <v>0</v>
      </c>
      <c r="K4662" s="2">
        <v>4.25</v>
      </c>
    </row>
    <row r="4663" spans="1:12">
      <c r="A4663" s="3" t="s">
        <v>2194</v>
      </c>
      <c r="B4663" s="3" t="s">
        <v>3663</v>
      </c>
      <c r="C4663" s="3" t="s">
        <v>4747</v>
      </c>
      <c r="D4663" s="3"/>
      <c r="E4663" s="2" t="str">
        <f>HYPERLINK("https://old.ukr-mobil.com/srednyaya_chast_korpusa_samsung_a505_galaxy_a50_blue_10004213", "Перейти")</f>
        <v>Перейти</v>
      </c>
      <c r="F4663" s="2">
        <v>10004213</v>
      </c>
      <c r="G4663" s="4" t="s">
        <v>4810</v>
      </c>
      <c r="H4663" s="1">
        <v>0</v>
      </c>
      <c r="I4663" s="1">
        <v>0</v>
      </c>
      <c r="J4663" s="1">
        <v>0</v>
      </c>
      <c r="K4663" s="2">
        <v>4.25</v>
      </c>
    </row>
    <row r="4664" spans="1:12">
      <c r="A4664" s="3" t="s">
        <v>2194</v>
      </c>
      <c r="B4664" s="3" t="s">
        <v>3663</v>
      </c>
      <c r="C4664" s="3" t="s">
        <v>4747</v>
      </c>
      <c r="D4664" s="3"/>
      <c r="E4664" s="2" t="str">
        <f>HYPERLINK("https://old.ukr-mobil.com/srednyaya_chast_korpusa_samsung_a505_galaxy_a50_gold_10004215", "Перейти")</f>
        <v>Перейти</v>
      </c>
      <c r="F4664" s="2">
        <v>10004215</v>
      </c>
      <c r="G4664" s="4" t="s">
        <v>4811</v>
      </c>
      <c r="H4664" s="1">
        <v>1</v>
      </c>
      <c r="I4664" s="1">
        <v>3</v>
      </c>
      <c r="J4664" s="1">
        <v>2</v>
      </c>
      <c r="K4664" s="2">
        <v>4.25</v>
      </c>
    </row>
    <row r="4665" spans="1:12">
      <c r="A4665" s="3" t="s">
        <v>2194</v>
      </c>
      <c r="B4665" s="3" t="s">
        <v>3663</v>
      </c>
      <c r="C4665" s="3" t="s">
        <v>4747</v>
      </c>
      <c r="D4665" s="3"/>
      <c r="E4665" s="2" t="str">
        <f>HYPERLINK("https://old.ukr-mobil.com/srednyaya_chast_korpusa_samsung_a505_galaxy_a50_white_10004214", "Перейти")</f>
        <v>Перейти</v>
      </c>
      <c r="F4665" s="2">
        <v>10004214</v>
      </c>
      <c r="G4665" s="4" t="s">
        <v>4812</v>
      </c>
      <c r="H4665" s="1">
        <v>0</v>
      </c>
      <c r="I4665" s="1">
        <v>0</v>
      </c>
      <c r="J4665" s="1">
        <v>0</v>
      </c>
      <c r="K4665" s="2">
        <v>4.25</v>
      </c>
    </row>
    <row r="4666" spans="1:12">
      <c r="A4666" s="3" t="s">
        <v>2194</v>
      </c>
      <c r="B4666" s="3" t="s">
        <v>3663</v>
      </c>
      <c r="C4666" s="3" t="s">
        <v>4747</v>
      </c>
      <c r="D4666" s="3"/>
      <c r="E4666" s="2" t="str">
        <f>HYPERLINK("https://old.ukr-mobil.com/srednyaya_chast_korpusa_samsung_a515_galaxy_a51_black_10004222", "Перейти")</f>
        <v>Перейти</v>
      </c>
      <c r="F4666" s="2">
        <v>10004222</v>
      </c>
      <c r="G4666" s="4" t="s">
        <v>4813</v>
      </c>
      <c r="H4666" s="1">
        <v>0</v>
      </c>
      <c r="I4666" s="1">
        <v>0</v>
      </c>
      <c r="J4666" s="1">
        <v>0</v>
      </c>
      <c r="K4666" s="2">
        <v>4.25</v>
      </c>
    </row>
    <row r="4667" spans="1:12">
      <c r="A4667" s="3" t="s">
        <v>2194</v>
      </c>
      <c r="B4667" s="3" t="s">
        <v>3663</v>
      </c>
      <c r="C4667" s="3" t="s">
        <v>4747</v>
      </c>
      <c r="D4667" s="3"/>
      <c r="E4667" s="2" t="str">
        <f>HYPERLINK("https://old.ukr-mobil.com/srednyaya_chast_korpusa_samsung_a515_galaxy_a51_blue_10004224", "Перейти")</f>
        <v>Перейти</v>
      </c>
      <c r="F4667" s="2">
        <v>10004224</v>
      </c>
      <c r="G4667" s="4" t="s">
        <v>4814</v>
      </c>
      <c r="H4667" s="1">
        <v>0</v>
      </c>
      <c r="I4667" s="1">
        <v>0</v>
      </c>
      <c r="J4667" s="1">
        <v>0</v>
      </c>
      <c r="K4667" s="2">
        <v>4.25</v>
      </c>
    </row>
    <row r="4668" spans="1:12">
      <c r="A4668" s="3" t="s">
        <v>2194</v>
      </c>
      <c r="B4668" s="3" t="s">
        <v>3663</v>
      </c>
      <c r="C4668" s="3" t="s">
        <v>4747</v>
      </c>
      <c r="D4668" s="3"/>
      <c r="E4668" s="2" t="str">
        <f>HYPERLINK("https://old.ukr-mobil.com/srednyaya_chast_korpusa_samsung_a515_galaxy_a51_pink_10004225", "Перейти")</f>
        <v>Перейти</v>
      </c>
      <c r="F4668" s="2">
        <v>10004225</v>
      </c>
      <c r="G4668" s="4" t="s">
        <v>4815</v>
      </c>
      <c r="H4668" s="1">
        <v>3</v>
      </c>
      <c r="I4668" s="1">
        <v>3</v>
      </c>
      <c r="J4668" s="1">
        <v>1</v>
      </c>
      <c r="K4668" s="2">
        <v>4.25</v>
      </c>
    </row>
    <row r="4669" spans="1:12">
      <c r="A4669" s="3" t="s">
        <v>2194</v>
      </c>
      <c r="B4669" s="3" t="s">
        <v>3663</v>
      </c>
      <c r="C4669" s="3" t="s">
        <v>4747</v>
      </c>
      <c r="D4669" s="3"/>
      <c r="E4669" s="2" t="str">
        <f>HYPERLINK("https://old.ukr-mobil.com/srednyaya_chast_korpusa_samsung_a515_galaxy_a51_white_10004223", "Перейти")</f>
        <v>Перейти</v>
      </c>
      <c r="F4669" s="2">
        <v>10004223</v>
      </c>
      <c r="G4669" s="4" t="s">
        <v>4816</v>
      </c>
      <c r="H4669" s="1">
        <v>0</v>
      </c>
      <c r="I4669" s="1">
        <v>0</v>
      </c>
      <c r="J4669" s="1">
        <v>0</v>
      </c>
      <c r="K4669" s="2">
        <v>4.25</v>
      </c>
    </row>
    <row r="4670" spans="1:12">
      <c r="A4670" s="3" t="s">
        <v>2194</v>
      </c>
      <c r="B4670" s="3" t="s">
        <v>3663</v>
      </c>
      <c r="C4670" s="3" t="s">
        <v>4747</v>
      </c>
      <c r="D4670" s="3"/>
      <c r="E4670" s="2" t="str">
        <f>HYPERLINK("https://old.ukr-mobil.com/srednyaya_chast_korpusa_samsung_a705_galaxy_a70_black_10004159", "Перейти")</f>
        <v>Перейти</v>
      </c>
      <c r="F4670" s="2">
        <v>10004159</v>
      </c>
      <c r="G4670" s="4" t="s">
        <v>4817</v>
      </c>
      <c r="H4670" s="1">
        <v>0</v>
      </c>
      <c r="I4670" s="1">
        <v>0</v>
      </c>
      <c r="J4670" s="1">
        <v>0</v>
      </c>
      <c r="K4670" s="2">
        <v>3.35</v>
      </c>
    </row>
    <row r="4671" spans="1:12">
      <c r="A4671" s="3" t="s">
        <v>2194</v>
      </c>
      <c r="B4671" s="3" t="s">
        <v>3663</v>
      </c>
      <c r="C4671" s="3" t="s">
        <v>4747</v>
      </c>
      <c r="D4671" s="3"/>
      <c r="E4671" s="2" t="str">
        <f>HYPERLINK("https://old.ukr-mobil.com/srednyaya_chast_korpusa_samsung_a705_galaxy_a70_blue_10004160", "Перейти")</f>
        <v>Перейти</v>
      </c>
      <c r="F4671" s="2">
        <v>10004160</v>
      </c>
      <c r="G4671" s="4" t="s">
        <v>4818</v>
      </c>
      <c r="H4671" s="1">
        <v>0</v>
      </c>
      <c r="I4671" s="1">
        <v>0</v>
      </c>
      <c r="J4671" s="1">
        <v>0</v>
      </c>
      <c r="K4671" s="2">
        <v>3.35</v>
      </c>
    </row>
    <row r="4672" spans="1:12">
      <c r="A4672" s="3" t="s">
        <v>2194</v>
      </c>
      <c r="B4672" s="3" t="s">
        <v>3663</v>
      </c>
      <c r="C4672" s="3" t="s">
        <v>4747</v>
      </c>
      <c r="D4672" s="3"/>
      <c r="E4672" s="2" t="str">
        <f>HYPERLINK("https://old.ukr-mobil.com/srednyaya_chast_korpusa_samsung_a705_galaxy_a70_coral_10004162", "Перейти")</f>
        <v>Перейти</v>
      </c>
      <c r="F4672" s="2">
        <v>10004162</v>
      </c>
      <c r="G4672" s="4" t="s">
        <v>4819</v>
      </c>
      <c r="H4672" s="1">
        <v>6</v>
      </c>
      <c r="I4672" s="1">
        <v>3</v>
      </c>
      <c r="J4672" s="1">
        <v>1</v>
      </c>
      <c r="K4672" s="2">
        <v>3.35</v>
      </c>
    </row>
    <row r="4673" spans="1:12">
      <c r="A4673" s="3" t="s">
        <v>2194</v>
      </c>
      <c r="B4673" s="3" t="s">
        <v>3663</v>
      </c>
      <c r="C4673" s="3" t="s">
        <v>4747</v>
      </c>
      <c r="D4673" s="3"/>
      <c r="E4673" s="2" t="str">
        <f>HYPERLINK("https://old.ukr-mobil.com/srednyaya_chast_korpusa_samsung_a705_galaxy_a70_white_10004161", "Перейти")</f>
        <v>Перейти</v>
      </c>
      <c r="F4673" s="2">
        <v>10004161</v>
      </c>
      <c r="G4673" s="4" t="s">
        <v>4820</v>
      </c>
      <c r="H4673" s="1">
        <v>0</v>
      </c>
      <c r="I4673" s="1">
        <v>0</v>
      </c>
      <c r="J4673" s="1">
        <v>0</v>
      </c>
      <c r="K4673" s="2">
        <v>3.35</v>
      </c>
    </row>
    <row r="4674" spans="1:12">
      <c r="A4674" s="3" t="s">
        <v>2194</v>
      </c>
      <c r="B4674" s="3" t="s">
        <v>3663</v>
      </c>
      <c r="C4674" s="3" t="s">
        <v>4747</v>
      </c>
      <c r="D4674" s="3"/>
      <c r="E4674" s="2" t="str">
        <f>HYPERLINK("https://old.ukr-mobil.com/srednyaya_chast_korpusa_samsung_a715_galaxy_a71_black_10004226", "Перейти")</f>
        <v>Перейти</v>
      </c>
      <c r="F4674" s="2">
        <v>10004226</v>
      </c>
      <c r="G4674" s="4" t="s">
        <v>4821</v>
      </c>
      <c r="H4674" s="1">
        <v>0</v>
      </c>
      <c r="I4674" s="1">
        <v>0</v>
      </c>
      <c r="J4674" s="1">
        <v>0</v>
      </c>
      <c r="K4674" s="2">
        <v>4.25</v>
      </c>
    </row>
    <row r="4675" spans="1:12">
      <c r="A4675" s="3" t="s">
        <v>2194</v>
      </c>
      <c r="B4675" s="3" t="s">
        <v>3663</v>
      </c>
      <c r="C4675" s="3" t="s">
        <v>4747</v>
      </c>
      <c r="D4675" s="3"/>
      <c r="E4675" s="2" t="str">
        <f>HYPERLINK("https://old.ukr-mobil.com/srednyaya_chast_korpusa_samsung_a715_galaxy_a71_blue_10004228", "Перейти")</f>
        <v>Перейти</v>
      </c>
      <c r="F4675" s="2">
        <v>10004228</v>
      </c>
      <c r="G4675" s="4" t="s">
        <v>4822</v>
      </c>
      <c r="H4675" s="1">
        <v>0</v>
      </c>
      <c r="I4675" s="1">
        <v>1</v>
      </c>
      <c r="J4675" s="1">
        <v>0</v>
      </c>
      <c r="K4675" s="2">
        <v>4.25</v>
      </c>
    </row>
    <row r="4676" spans="1:12">
      <c r="A4676" s="3" t="s">
        <v>2194</v>
      </c>
      <c r="B4676" s="3" t="s">
        <v>3663</v>
      </c>
      <c r="C4676" s="3" t="s">
        <v>4747</v>
      </c>
      <c r="D4676" s="3"/>
      <c r="E4676" s="2" t="str">
        <f>HYPERLINK("https://old.ukr-mobil.com/srednyaya_chast_korpusa_samsung_a715_galaxy_a71_silver_10004227", "Перейти")</f>
        <v>Перейти</v>
      </c>
      <c r="F4676" s="2">
        <v>10004227</v>
      </c>
      <c r="G4676" s="4" t="s">
        <v>4823</v>
      </c>
      <c r="H4676" s="1">
        <v>0</v>
      </c>
      <c r="I4676" s="1">
        <v>0</v>
      </c>
      <c r="J4676" s="1">
        <v>1</v>
      </c>
      <c r="K4676" s="2">
        <v>4.25</v>
      </c>
    </row>
    <row r="4677" spans="1:12">
      <c r="A4677" s="3" t="s">
        <v>2194</v>
      </c>
      <c r="B4677" s="3" t="s">
        <v>3663</v>
      </c>
      <c r="C4677" s="3" t="s">
        <v>4747</v>
      </c>
      <c r="D4677" s="3"/>
      <c r="E4677" s="2" t="str">
        <f>HYPERLINK("https://old.ukr-mobil.com/index.php?route=product&amp;product_id=10004902", "Перейти")</f>
        <v>Перейти</v>
      </c>
      <c r="F4677" s="2">
        <v>10004902</v>
      </c>
      <c r="G4677" s="4" t="s">
        <v>4824</v>
      </c>
      <c r="H4677" s="1">
        <v>0</v>
      </c>
      <c r="I4677" s="1">
        <v>0</v>
      </c>
      <c r="J4677" s="1">
        <v>0</v>
      </c>
      <c r="K4677" s="2">
        <v>6.0</v>
      </c>
    </row>
    <row r="4678" spans="1:12">
      <c r="A4678" s="3" t="s">
        <v>2194</v>
      </c>
      <c r="B4678" s="3" t="s">
        <v>3663</v>
      </c>
      <c r="C4678" s="3" t="s">
        <v>4747</v>
      </c>
      <c r="D4678" s="3"/>
      <c r="E4678" s="2" t="str">
        <f>HYPERLINK("https://old.ukr-mobil.com/srednyaya_chast_korpusa_vivo_y20_nebula_blue_10004195", "Перейти")</f>
        <v>Перейти</v>
      </c>
      <c r="F4678" s="2">
        <v>10004195</v>
      </c>
      <c r="G4678" s="4" t="s">
        <v>4825</v>
      </c>
      <c r="H4678" s="1">
        <v>1</v>
      </c>
      <c r="I4678" s="1">
        <v>2</v>
      </c>
      <c r="J4678" s="1">
        <v>1</v>
      </c>
      <c r="K4678" s="2">
        <v>5.25</v>
      </c>
    </row>
    <row r="4679" spans="1:12">
      <c r="A4679" s="3" t="s">
        <v>2194</v>
      </c>
      <c r="B4679" s="3" t="s">
        <v>3663</v>
      </c>
      <c r="C4679" s="3" t="s">
        <v>4747</v>
      </c>
      <c r="D4679" s="3"/>
      <c r="E4679" s="2" t="str">
        <f>HYPERLINK("https://old.ukr-mobil.com/srednyaya_chast_korpusa_vivo_y20_obsidian_black_10004194", "Перейти")</f>
        <v>Перейти</v>
      </c>
      <c r="F4679" s="2">
        <v>10004194</v>
      </c>
      <c r="G4679" s="4" t="s">
        <v>4826</v>
      </c>
      <c r="H4679" s="1">
        <v>0</v>
      </c>
      <c r="I4679" s="1">
        <v>1</v>
      </c>
      <c r="J4679" s="1">
        <v>0</v>
      </c>
      <c r="K4679" s="2">
        <v>5.25</v>
      </c>
    </row>
    <row r="4680" spans="1:12">
      <c r="A4680" s="3" t="s">
        <v>2194</v>
      </c>
      <c r="B4680" s="3" t="s">
        <v>3663</v>
      </c>
      <c r="C4680" s="3" t="s">
        <v>4747</v>
      </c>
      <c r="D4680" s="3"/>
      <c r="E4680" s="2" t="str">
        <f>HYPERLINK("https://old.ukr-mobil.com/srednyaya_chast_korpusa_vivo_y20_white_10004196", "Перейти")</f>
        <v>Перейти</v>
      </c>
      <c r="F4680" s="2">
        <v>10004196</v>
      </c>
      <c r="G4680" s="4" t="s">
        <v>4827</v>
      </c>
      <c r="H4680" s="1">
        <v>5</v>
      </c>
      <c r="I4680" s="1">
        <v>3</v>
      </c>
      <c r="J4680" s="1">
        <v>2</v>
      </c>
      <c r="K4680" s="2">
        <v>5.25</v>
      </c>
    </row>
    <row r="4681" spans="1:12">
      <c r="A4681" s="3" t="s">
        <v>2194</v>
      </c>
      <c r="B4681" s="3" t="s">
        <v>3663</v>
      </c>
      <c r="C4681" s="3" t="s">
        <v>4747</v>
      </c>
      <c r="D4681" s="3"/>
      <c r="E4681" s="2" t="str">
        <f>HYPERLINK("https://old.ukr-mobil.com/srednyaya_chast_korpusa_vivo_y21_diamond_glow_10004182", "Перейти")</f>
        <v>Перейти</v>
      </c>
      <c r="F4681" s="2">
        <v>10004182</v>
      </c>
      <c r="G4681" s="4" t="s">
        <v>4828</v>
      </c>
      <c r="H4681" s="1">
        <v>3</v>
      </c>
      <c r="I4681" s="1">
        <v>2</v>
      </c>
      <c r="J4681" s="1">
        <v>2</v>
      </c>
      <c r="K4681" s="2">
        <v>5.5</v>
      </c>
    </row>
    <row r="4682" spans="1:12">
      <c r="A4682" s="3" t="s">
        <v>2194</v>
      </c>
      <c r="B4682" s="3" t="s">
        <v>3663</v>
      </c>
      <c r="C4682" s="3" t="s">
        <v>4747</v>
      </c>
      <c r="D4682" s="3"/>
      <c r="E4682" s="2" t="str">
        <f>HYPERLINK("https://old.ukr-mobil.com/srednyaya_chast_korpusa_vivo_y21_metallic_blue_10004183", "Перейти")</f>
        <v>Перейти</v>
      </c>
      <c r="F4682" s="2">
        <v>10004183</v>
      </c>
      <c r="G4682" s="4" t="s">
        <v>4829</v>
      </c>
      <c r="H4682" s="1">
        <v>2</v>
      </c>
      <c r="I4682" s="1">
        <v>2</v>
      </c>
      <c r="J4682" s="1">
        <v>2</v>
      </c>
      <c r="K4682" s="2">
        <v>5.5</v>
      </c>
    </row>
    <row r="4683" spans="1:12">
      <c r="A4683" s="3" t="s">
        <v>2194</v>
      </c>
      <c r="B4683" s="3" t="s">
        <v>3663</v>
      </c>
      <c r="C4683" s="3" t="s">
        <v>4747</v>
      </c>
      <c r="D4683" s="3"/>
      <c r="E4683" s="2" t="str">
        <f>HYPERLINK("https://old.ukr-mobil.com/srednyaya_chast_korpusa_vivo_y31_v2036_y31s_v2054a_black_10004193", "Перейти")</f>
        <v>Перейти</v>
      </c>
      <c r="F4683" s="2">
        <v>10004193</v>
      </c>
      <c r="G4683" s="4" t="s">
        <v>4830</v>
      </c>
      <c r="H4683" s="1">
        <v>0</v>
      </c>
      <c r="I4683" s="1">
        <v>0</v>
      </c>
      <c r="J4683" s="1">
        <v>0</v>
      </c>
      <c r="K4683" s="2">
        <v>5.5</v>
      </c>
    </row>
    <row r="4684" spans="1:12">
      <c r="A4684" s="3" t="s">
        <v>2194</v>
      </c>
      <c r="B4684" s="3" t="s">
        <v>3663</v>
      </c>
      <c r="C4684" s="3" t="s">
        <v>4747</v>
      </c>
      <c r="D4684" s="3"/>
      <c r="E4684" s="2" t="str">
        <f>HYPERLINK("https://old.ukr-mobil.com/srednyaya_chast_korpusa_vivo_y31_v2036_y31s_v2054a_blue_10004190", "Перейти")</f>
        <v>Перейти</v>
      </c>
      <c r="F4684" s="2">
        <v>10004190</v>
      </c>
      <c r="G4684" s="4" t="s">
        <v>4831</v>
      </c>
      <c r="H4684" s="1">
        <v>0</v>
      </c>
      <c r="I4684" s="1">
        <v>0</v>
      </c>
      <c r="J4684" s="1">
        <v>0</v>
      </c>
      <c r="K4684" s="2">
        <v>5.5</v>
      </c>
    </row>
    <row r="4685" spans="1:12">
      <c r="A4685" s="3" t="s">
        <v>2194</v>
      </c>
      <c r="B4685" s="3" t="s">
        <v>3663</v>
      </c>
      <c r="C4685" s="3" t="s">
        <v>4747</v>
      </c>
      <c r="D4685" s="3"/>
      <c r="E4685" s="2" t="str">
        <f>HYPERLINK("https://old.ukr-mobil.com/srednyaya_chast_korpusa_vivo_y31_v2036_y31s_v2054a_light_blue_10004192", "Перейти")</f>
        <v>Перейти</v>
      </c>
      <c r="F4685" s="2">
        <v>10004192</v>
      </c>
      <c r="G4685" s="4" t="s">
        <v>4832</v>
      </c>
      <c r="H4685" s="1">
        <v>0</v>
      </c>
      <c r="I4685" s="1">
        <v>0</v>
      </c>
      <c r="J4685" s="1">
        <v>0</v>
      </c>
      <c r="K4685" s="2">
        <v>5.5</v>
      </c>
    </row>
    <row r="4686" spans="1:12">
      <c r="A4686" s="3" t="s">
        <v>2194</v>
      </c>
      <c r="B4686" s="3" t="s">
        <v>3663</v>
      </c>
      <c r="C4686" s="3" t="s">
        <v>4747</v>
      </c>
      <c r="D4686" s="3"/>
      <c r="E4686" s="2" t="str">
        <f>HYPERLINK("https://old.ukr-mobil.com/srednyaya_chast_korpusa_vivo_y31_v2036_y31s_v2054a_ocean_blue_10004191", "Перейти")</f>
        <v>Перейти</v>
      </c>
      <c r="F4686" s="2">
        <v>10004191</v>
      </c>
      <c r="G4686" s="4" t="s">
        <v>4833</v>
      </c>
      <c r="H4686" s="1">
        <v>0</v>
      </c>
      <c r="I4686" s="1">
        <v>0</v>
      </c>
      <c r="J4686" s="1">
        <v>0</v>
      </c>
      <c r="K4686" s="2">
        <v>5.5</v>
      </c>
    </row>
    <row r="4687" spans="1:12">
      <c r="A4687" s="3" t="s">
        <v>2194</v>
      </c>
      <c r="B4687" s="3" t="s">
        <v>3663</v>
      </c>
      <c r="C4687" s="3" t="s">
        <v>4747</v>
      </c>
      <c r="D4687" s="3"/>
      <c r="E4687" s="2" t="str">
        <f>HYPERLINK("https://old.ukr-mobil.com/srednyaya_chast_korpusa_vivo_y33s_midday_dream_10004184", "Перейти")</f>
        <v>Перейти</v>
      </c>
      <c r="F4687" s="2">
        <v>10004184</v>
      </c>
      <c r="G4687" s="4" t="s">
        <v>4834</v>
      </c>
      <c r="H4687" s="1">
        <v>4</v>
      </c>
      <c r="I4687" s="1">
        <v>3</v>
      </c>
      <c r="J4687" s="1">
        <v>0</v>
      </c>
      <c r="K4687" s="2">
        <v>5.5</v>
      </c>
    </row>
    <row r="4688" spans="1:12">
      <c r="A4688" s="3" t="s">
        <v>2194</v>
      </c>
      <c r="B4688" s="3" t="s">
        <v>3663</v>
      </c>
      <c r="C4688" s="3" t="s">
        <v>4747</v>
      </c>
      <c r="D4688" s="3"/>
      <c r="E4688" s="2" t="str">
        <f>HYPERLINK("https://old.ukr-mobil.com/srednyaya_chast_korpusa_vivo_y33s_mirror_black_10004185", "Перейти")</f>
        <v>Перейти</v>
      </c>
      <c r="F4688" s="2">
        <v>10004185</v>
      </c>
      <c r="G4688" s="4" t="s">
        <v>4835</v>
      </c>
      <c r="H4688" s="1">
        <v>1</v>
      </c>
      <c r="I4688" s="1">
        <v>2</v>
      </c>
      <c r="J4688" s="1">
        <v>0</v>
      </c>
      <c r="K4688" s="2">
        <v>5.5</v>
      </c>
    </row>
    <row r="4689" spans="1:12">
      <c r="A4689" s="3" t="s">
        <v>2194</v>
      </c>
      <c r="B4689" s="3" t="s">
        <v>3663</v>
      </c>
      <c r="C4689" s="3" t="s">
        <v>4747</v>
      </c>
      <c r="D4689" s="3"/>
      <c r="E4689" s="2" t="str">
        <f>HYPERLINK("https://old.ukr-mobil.com/srednyaya_chast_korpusa_vivo_y53s_v2111a_v2058_black_10004189", "Перейти")</f>
        <v>Перейти</v>
      </c>
      <c r="F4689" s="2">
        <v>10004189</v>
      </c>
      <c r="G4689" s="4" t="s">
        <v>4836</v>
      </c>
      <c r="H4689" s="1">
        <v>2</v>
      </c>
      <c r="I4689" s="1">
        <v>4</v>
      </c>
      <c r="J4689" s="1">
        <v>0</v>
      </c>
      <c r="K4689" s="2">
        <v>5.5</v>
      </c>
    </row>
    <row r="4690" spans="1:12">
      <c r="A4690" s="3" t="s">
        <v>2194</v>
      </c>
      <c r="B4690" s="3" t="s">
        <v>3663</v>
      </c>
      <c r="C4690" s="3" t="s">
        <v>4747</v>
      </c>
      <c r="D4690" s="3"/>
      <c r="E4690" s="2" t="str">
        <f>HYPERLINK("https://old.ukr-mobil.com/srednyaya_chast_korpusa_vivo_y53s_v2111a_v2058_blue_10004188", "Перейти")</f>
        <v>Перейти</v>
      </c>
      <c r="F4690" s="2">
        <v>10004188</v>
      </c>
      <c r="G4690" s="4" t="s">
        <v>4837</v>
      </c>
      <c r="H4690" s="1">
        <v>4</v>
      </c>
      <c r="I4690" s="1">
        <v>3</v>
      </c>
      <c r="J4690" s="1">
        <v>2</v>
      </c>
      <c r="K4690" s="2">
        <v>5.5</v>
      </c>
    </row>
    <row r="4691" spans="1:12">
      <c r="A4691" s="3" t="s">
        <v>2194</v>
      </c>
      <c r="B4691" s="3" t="s">
        <v>3663</v>
      </c>
      <c r="C4691" s="3" t="s">
        <v>4747</v>
      </c>
      <c r="D4691" s="3"/>
      <c r="E4691" s="2" t="str">
        <f>HYPERLINK("https://old.ukr-mobil.com/srednyaya_chast_korpusa_vivo_y53s_v2111a_v2058_deep_sea_blue_10004187", "Перейти")</f>
        <v>Перейти</v>
      </c>
      <c r="F4691" s="2">
        <v>10004187</v>
      </c>
      <c r="G4691" s="4" t="s">
        <v>4838</v>
      </c>
      <c r="H4691" s="1">
        <v>5</v>
      </c>
      <c r="I4691" s="1">
        <v>3</v>
      </c>
      <c r="J4691" s="1">
        <v>2</v>
      </c>
      <c r="K4691" s="2">
        <v>5.5</v>
      </c>
    </row>
    <row r="4692" spans="1:12">
      <c r="A4692" s="3" t="s">
        <v>2194</v>
      </c>
      <c r="B4692" s="3" t="s">
        <v>3663</v>
      </c>
      <c r="C4692" s="3" t="s">
        <v>4747</v>
      </c>
      <c r="D4692" s="3"/>
      <c r="E4692" s="2" t="str">
        <f>HYPERLINK("https://old.ukr-mobil.com/srednyaya_chast_korpusa_xiaomi_redmi_10_black_10004137", "Перейти")</f>
        <v>Перейти</v>
      </c>
      <c r="F4692" s="2">
        <v>10004137</v>
      </c>
      <c r="G4692" s="4" t="s">
        <v>4839</v>
      </c>
      <c r="H4692" s="1">
        <v>0</v>
      </c>
      <c r="I4692" s="1">
        <v>0</v>
      </c>
      <c r="J4692" s="1">
        <v>0</v>
      </c>
      <c r="K4692" s="2">
        <v>3.85</v>
      </c>
    </row>
    <row r="4693" spans="1:12">
      <c r="A4693" s="3" t="s">
        <v>2194</v>
      </c>
      <c r="B4693" s="3" t="s">
        <v>3663</v>
      </c>
      <c r="C4693" s="3" t="s">
        <v>4747</v>
      </c>
      <c r="D4693" s="3"/>
      <c r="E4693" s="2" t="str">
        <f>HYPERLINK("https://old.ukr-mobil.com/srednyaya_chast_korpusa_xiaomi_redmi_10_white_10004138", "Перейти")</f>
        <v>Перейти</v>
      </c>
      <c r="F4693" s="2">
        <v>10004138</v>
      </c>
      <c r="G4693" s="4" t="s">
        <v>4840</v>
      </c>
      <c r="H4693" s="1">
        <v>0</v>
      </c>
      <c r="I4693" s="1">
        <v>1</v>
      </c>
      <c r="J4693" s="1">
        <v>0</v>
      </c>
      <c r="K4693" s="2">
        <v>3.85</v>
      </c>
    </row>
    <row r="4694" spans="1:12">
      <c r="A4694" s="3" t="s">
        <v>2194</v>
      </c>
      <c r="B4694" s="3" t="s">
        <v>3663</v>
      </c>
      <c r="C4694" s="3" t="s">
        <v>4747</v>
      </c>
      <c r="D4694" s="3"/>
      <c r="E4694" s="2" t="str">
        <f>HYPERLINK("https://old.ukr-mobil.com/index.php?route=product&amp;product_id=10004908", "Перейти")</f>
        <v>Перейти</v>
      </c>
      <c r="F4694" s="2">
        <v>10004908</v>
      </c>
      <c r="G4694" s="4" t="s">
        <v>4841</v>
      </c>
      <c r="H4694" s="1">
        <v>0</v>
      </c>
      <c r="I4694" s="1">
        <v>0</v>
      </c>
      <c r="J4694" s="1">
        <v>0</v>
      </c>
      <c r="K4694" s="2">
        <v>4.5</v>
      </c>
    </row>
    <row r="4695" spans="1:12">
      <c r="A4695" s="3" t="s">
        <v>2194</v>
      </c>
      <c r="B4695" s="3" t="s">
        <v>3663</v>
      </c>
      <c r="C4695" s="3" t="s">
        <v>4747</v>
      </c>
      <c r="D4695" s="3"/>
      <c r="E4695" s="2" t="str">
        <f>HYPERLINK("https://old.ukr-mobil.com/index.php?route=product&amp;product_id=10004910", "Перейти")</f>
        <v>Перейти</v>
      </c>
      <c r="F4695" s="2">
        <v>10004910</v>
      </c>
      <c r="G4695" s="4" t="s">
        <v>4842</v>
      </c>
      <c r="H4695" s="1">
        <v>0</v>
      </c>
      <c r="I4695" s="1">
        <v>0</v>
      </c>
      <c r="J4695" s="1">
        <v>0</v>
      </c>
      <c r="K4695" s="2">
        <v>4.75</v>
      </c>
    </row>
    <row r="4696" spans="1:12">
      <c r="A4696" s="3" t="s">
        <v>2194</v>
      </c>
      <c r="B4696" s="3" t="s">
        <v>3663</v>
      </c>
      <c r="C4696" s="3" t="s">
        <v>4747</v>
      </c>
      <c r="D4696" s="3"/>
      <c r="E4696" s="2" t="str">
        <f>HYPERLINK("https://old.ukr-mobil.com/index.php?route=product&amp;product_id=10004909", "Перейти")</f>
        <v>Перейти</v>
      </c>
      <c r="F4696" s="2">
        <v>10004909</v>
      </c>
      <c r="G4696" s="4" t="s">
        <v>4843</v>
      </c>
      <c r="H4696" s="1">
        <v>0</v>
      </c>
      <c r="I4696" s="1">
        <v>0</v>
      </c>
      <c r="J4696" s="1">
        <v>0</v>
      </c>
      <c r="K4696" s="2">
        <v>4.75</v>
      </c>
    </row>
    <row r="4697" spans="1:12">
      <c r="A4697" s="3" t="s">
        <v>2194</v>
      </c>
      <c r="B4697" s="3" t="s">
        <v>3663</v>
      </c>
      <c r="C4697" s="3" t="s">
        <v>4747</v>
      </c>
      <c r="D4697" s="3"/>
      <c r="E4697" s="2" t="str">
        <f>HYPERLINK("https://old.ukr-mobil.com/srednyaya_chast_korpusa_xiaomi_redmi_note_10_5g_graphite_gray_10004171", "Перейти")</f>
        <v>Перейти</v>
      </c>
      <c r="F4697" s="2">
        <v>10004171</v>
      </c>
      <c r="G4697" s="4" t="s">
        <v>4844</v>
      </c>
      <c r="H4697" s="1">
        <v>0</v>
      </c>
      <c r="I4697" s="1">
        <v>0</v>
      </c>
      <c r="J4697" s="1">
        <v>0</v>
      </c>
      <c r="K4697" s="2">
        <v>3.3</v>
      </c>
    </row>
    <row r="4698" spans="1:12">
      <c r="A4698" s="3" t="s">
        <v>2194</v>
      </c>
      <c r="B4698" s="3" t="s">
        <v>3663</v>
      </c>
      <c r="C4698" s="3" t="s">
        <v>4747</v>
      </c>
      <c r="D4698" s="3"/>
      <c r="E4698" s="2" t="str">
        <f>HYPERLINK("https://old.ukr-mobil.com/srednyaya_chast_korpusa_xiaomi_redmi_note_10_5g_nighttime_blue_10004172", "Перейти")</f>
        <v>Перейти</v>
      </c>
      <c r="F4698" s="2">
        <v>10004172</v>
      </c>
      <c r="G4698" s="4" t="s">
        <v>4845</v>
      </c>
      <c r="H4698" s="1">
        <v>0</v>
      </c>
      <c r="I4698" s="1">
        <v>0</v>
      </c>
      <c r="J4698" s="1">
        <v>0</v>
      </c>
      <c r="K4698" s="2">
        <v>3.25</v>
      </c>
    </row>
    <row r="4699" spans="1:12">
      <c r="A4699" s="3" t="s">
        <v>2194</v>
      </c>
      <c r="B4699" s="3" t="s">
        <v>3663</v>
      </c>
      <c r="C4699" s="3" t="s">
        <v>4747</v>
      </c>
      <c r="D4699" s="3"/>
      <c r="E4699" s="2" t="str">
        <f>HYPERLINK("https://old.ukr-mobil.com/srednyaya_chast_korpusa_xiaomi_redmi_note_10_pro_gradient_bronze_10004203", "Перейти")</f>
        <v>Перейти</v>
      </c>
      <c r="F4699" s="2">
        <v>10004203</v>
      </c>
      <c r="G4699" s="4" t="s">
        <v>4846</v>
      </c>
      <c r="H4699" s="1">
        <v>0</v>
      </c>
      <c r="I4699" s="1">
        <v>0</v>
      </c>
      <c r="J4699" s="1">
        <v>0</v>
      </c>
      <c r="K4699" s="2">
        <v>3.25</v>
      </c>
    </row>
    <row r="4700" spans="1:12">
      <c r="A4700" s="3" t="s">
        <v>2194</v>
      </c>
      <c r="B4700" s="3" t="s">
        <v>3663</v>
      </c>
      <c r="C4700" s="3" t="s">
        <v>4747</v>
      </c>
      <c r="D4700" s="3"/>
      <c r="E4700" s="2" t="str">
        <f>HYPERLINK("https://old.ukr-mobil.com/srednyaya_chast_korpusa_xiaomi_redmi_note_10_pro_onyx_gray_10004202", "Перейти")</f>
        <v>Перейти</v>
      </c>
      <c r="F4700" s="2">
        <v>10004202</v>
      </c>
      <c r="G4700" s="4" t="s">
        <v>4847</v>
      </c>
      <c r="H4700" s="1">
        <v>0</v>
      </c>
      <c r="I4700" s="1">
        <v>0</v>
      </c>
      <c r="J4700" s="1">
        <v>0</v>
      </c>
      <c r="K4700" s="2">
        <v>3.25</v>
      </c>
    </row>
    <row r="4701" spans="1:12">
      <c r="A4701" s="3" t="s">
        <v>2194</v>
      </c>
      <c r="B4701" s="3" t="s">
        <v>3663</v>
      </c>
      <c r="C4701" s="3" t="s">
        <v>4747</v>
      </c>
      <c r="D4701" s="3"/>
      <c r="E4701" s="2" t="str">
        <f>HYPERLINK("https://old.ukr-mobil.com/srednyaya_chast_korpusa_xiaomi_redmi_note_10_redmi_note_10s_ocean_blue_10004204", "Перейти")</f>
        <v>Перейти</v>
      </c>
      <c r="F4701" s="2">
        <v>10004204</v>
      </c>
      <c r="G4701" s="4" t="s">
        <v>4848</v>
      </c>
      <c r="H4701" s="1">
        <v>0</v>
      </c>
      <c r="I4701" s="1">
        <v>0</v>
      </c>
      <c r="J4701" s="1">
        <v>0</v>
      </c>
      <c r="K4701" s="2">
        <v>2.85</v>
      </c>
    </row>
    <row r="4702" spans="1:12">
      <c r="A4702" s="3" t="s">
        <v>2194</v>
      </c>
      <c r="B4702" s="3" t="s">
        <v>3663</v>
      </c>
      <c r="C4702" s="3" t="s">
        <v>4747</v>
      </c>
      <c r="D4702" s="3"/>
      <c r="E4702" s="2" t="str">
        <f>HYPERLINK("https://old.ukr-mobil.com/srednyaya_chast_korpusa_xiaomi_redmi_note_10_redmi_note_10s_onyx_gray_10004205", "Перейти")</f>
        <v>Перейти</v>
      </c>
      <c r="F4702" s="2">
        <v>10004205</v>
      </c>
      <c r="G4702" s="4" t="s">
        <v>4849</v>
      </c>
      <c r="H4702" s="1">
        <v>0</v>
      </c>
      <c r="I4702" s="1">
        <v>0</v>
      </c>
      <c r="J4702" s="1">
        <v>0</v>
      </c>
      <c r="K4702" s="2">
        <v>2.85</v>
      </c>
    </row>
    <row r="4703" spans="1:12">
      <c r="A4703" s="3" t="s">
        <v>2194</v>
      </c>
      <c r="B4703" s="3" t="s">
        <v>3663</v>
      </c>
      <c r="C4703" s="3" t="s">
        <v>4747</v>
      </c>
      <c r="D4703" s="3"/>
      <c r="E4703" s="2" t="str">
        <f>HYPERLINK("https://old.ukr-mobil.com/srednyaya_chast_korpusa_xiaomi_redmi_note_10_redmi_note_10s_pebble_white_10004206", "Перейти")</f>
        <v>Перейти</v>
      </c>
      <c r="F4703" s="2">
        <v>10004206</v>
      </c>
      <c r="G4703" s="4" t="s">
        <v>4850</v>
      </c>
      <c r="H4703" s="1">
        <v>0</v>
      </c>
      <c r="I4703" s="1">
        <v>0</v>
      </c>
      <c r="J4703" s="1">
        <v>0</v>
      </c>
      <c r="K4703" s="2">
        <v>2.85</v>
      </c>
    </row>
    <row r="4704" spans="1:12">
      <c r="A4704" s="3" t="s">
        <v>2194</v>
      </c>
      <c r="B4704" s="3" t="s">
        <v>3663</v>
      </c>
      <c r="C4704" s="3" t="s">
        <v>4747</v>
      </c>
      <c r="D4704" s="3"/>
      <c r="E4704" s="2" t="str">
        <f>HYPERLINK("https://old.ukr-mobil.com/srednyaya_chast_korpusa_xiaomi_redmi_note_11_redmi_note_11s_graphite_grey_10004166", "Перейти")</f>
        <v>Перейти</v>
      </c>
      <c r="F4704" s="2">
        <v>10004166</v>
      </c>
      <c r="G4704" s="4" t="s">
        <v>4851</v>
      </c>
      <c r="H4704" s="1">
        <v>0</v>
      </c>
      <c r="I4704" s="1">
        <v>0</v>
      </c>
      <c r="J4704" s="1">
        <v>0</v>
      </c>
      <c r="K4704" s="2">
        <v>4.0</v>
      </c>
    </row>
    <row r="4705" spans="1:12">
      <c r="A4705" s="3" t="s">
        <v>2194</v>
      </c>
      <c r="B4705" s="3" t="s">
        <v>3663</v>
      </c>
      <c r="C4705" s="3" t="s">
        <v>4747</v>
      </c>
      <c r="D4705" s="3"/>
      <c r="E4705" s="2" t="str">
        <f>HYPERLINK("https://old.ukr-mobil.com/srednyaya_chast_korpusa_xiaomi_redmi_note_11_redmi_note_11s_twilight_blue_10004167", "Перейти")</f>
        <v>Перейти</v>
      </c>
      <c r="F4705" s="2">
        <v>10004167</v>
      </c>
      <c r="G4705" s="4" t="s">
        <v>4852</v>
      </c>
      <c r="H4705" s="1">
        <v>0</v>
      </c>
      <c r="I4705" s="1">
        <v>0</v>
      </c>
      <c r="J4705" s="1">
        <v>0</v>
      </c>
      <c r="K4705" s="2">
        <v>4.0</v>
      </c>
    </row>
    <row r="4706" spans="1:12">
      <c r="A4706" s="3" t="s">
        <v>2194</v>
      </c>
      <c r="B4706" s="3" t="s">
        <v>3663</v>
      </c>
      <c r="C4706" s="3" t="s">
        <v>4747</v>
      </c>
      <c r="D4706" s="3"/>
      <c r="E4706" s="2" t="str">
        <f>HYPERLINK("https://old.ukr-mobil.com/index.php?route=product&amp;product_id=10004726", "Перейти")</f>
        <v>Перейти</v>
      </c>
      <c r="F4706" s="2">
        <v>10004726</v>
      </c>
      <c r="G4706" s="4" t="s">
        <v>4853</v>
      </c>
      <c r="H4706" s="1">
        <v>0</v>
      </c>
      <c r="I4706" s="1">
        <v>0</v>
      </c>
      <c r="J4706" s="1">
        <v>0</v>
      </c>
      <c r="K4706" s="2">
        <v>4.0</v>
      </c>
    </row>
    <row r="4707" spans="1:12">
      <c r="A4707" s="3" t="s">
        <v>2194</v>
      </c>
      <c r="B4707" s="3" t="s">
        <v>3663</v>
      </c>
      <c r="C4707" s="3" t="s">
        <v>4854</v>
      </c>
      <c r="D4707" s="3"/>
      <c r="E4707" s="2" t="str">
        <f>HYPERLINK("https://old.ukr-mobil.com/index.php?route=product&amp;product_id=10005565", "Перейти")</f>
        <v>Перейти</v>
      </c>
      <c r="F4707" s="2">
        <v>10005565</v>
      </c>
      <c r="G4707" s="4" t="s">
        <v>4855</v>
      </c>
      <c r="H4707" s="1">
        <v>26</v>
      </c>
      <c r="I4707" s="1">
        <v>11</v>
      </c>
      <c r="J4707" s="1">
        <v>9</v>
      </c>
      <c r="K4707" s="2">
        <v>1.46</v>
      </c>
    </row>
    <row r="4708" spans="1:12">
      <c r="A4708" s="3" t="s">
        <v>2194</v>
      </c>
      <c r="B4708" s="3" t="s">
        <v>3663</v>
      </c>
      <c r="C4708" s="3" t="s">
        <v>4854</v>
      </c>
      <c r="D4708" s="3"/>
      <c r="E4708" s="2" t="str">
        <f>HYPERLINK("https://old.ukr-mobil.com/index.php?route=product&amp;product_id=10005564", "Перейти")</f>
        <v>Перейти</v>
      </c>
      <c r="F4708" s="2">
        <v>10005564</v>
      </c>
      <c r="G4708" s="4" t="s">
        <v>4856</v>
      </c>
      <c r="H4708" s="1">
        <v>27</v>
      </c>
      <c r="I4708" s="1">
        <v>9</v>
      </c>
      <c r="J4708" s="1">
        <v>7</v>
      </c>
      <c r="K4708" s="2">
        <v>2.8</v>
      </c>
    </row>
    <row r="4709" spans="1:12">
      <c r="A4709" s="3" t="s">
        <v>2194</v>
      </c>
      <c r="B4709" s="3" t="s">
        <v>3663</v>
      </c>
      <c r="C4709" s="3" t="s">
        <v>4854</v>
      </c>
      <c r="D4709" s="3"/>
      <c r="E4709" s="2" t="str">
        <f>HYPERLINK("https://old.ukr-mobil.com/index.php?route=product&amp;product_id=10005568", "Перейти")</f>
        <v>Перейти</v>
      </c>
      <c r="F4709" s="2">
        <v>10005568</v>
      </c>
      <c r="G4709" s="4" t="s">
        <v>4857</v>
      </c>
      <c r="H4709" s="1">
        <v>14</v>
      </c>
      <c r="I4709" s="1">
        <v>7</v>
      </c>
      <c r="J4709" s="1">
        <v>1</v>
      </c>
      <c r="K4709" s="2">
        <v>2.5</v>
      </c>
    </row>
    <row r="4710" spans="1:12">
      <c r="A4710" s="3" t="s">
        <v>2194</v>
      </c>
      <c r="B4710" s="3" t="s">
        <v>3663</v>
      </c>
      <c r="C4710" s="3" t="s">
        <v>4854</v>
      </c>
      <c r="D4710" s="3"/>
      <c r="E4710" s="2" t="str">
        <f>HYPERLINK("https://old.ukr-mobil.com/index.php?route=product&amp;product_id=10005567", "Перейти")</f>
        <v>Перейти</v>
      </c>
      <c r="F4710" s="2">
        <v>10005567</v>
      </c>
      <c r="G4710" s="4" t="s">
        <v>4858</v>
      </c>
      <c r="H4710" s="1">
        <v>13</v>
      </c>
      <c r="I4710" s="1">
        <v>9</v>
      </c>
      <c r="J4710" s="1">
        <v>4</v>
      </c>
      <c r="K4710" s="2">
        <v>2.5</v>
      </c>
    </row>
    <row r="4711" spans="1:12">
      <c r="A4711" s="3" t="s">
        <v>2194</v>
      </c>
      <c r="B4711" s="3" t="s">
        <v>3663</v>
      </c>
      <c r="C4711" s="3" t="s">
        <v>4854</v>
      </c>
      <c r="D4711" s="3"/>
      <c r="E4711" s="2" t="str">
        <f>HYPERLINK("https://old.ukr-mobil.com/index.php?route=product&amp;product_id=10005566", "Перейти")</f>
        <v>Перейти</v>
      </c>
      <c r="F4711" s="2">
        <v>10005566</v>
      </c>
      <c r="G4711" s="4" t="s">
        <v>4859</v>
      </c>
      <c r="H4711" s="1">
        <v>29</v>
      </c>
      <c r="I4711" s="1">
        <v>8</v>
      </c>
      <c r="J4711" s="1">
        <v>10</v>
      </c>
      <c r="K4711" s="2">
        <v>1.46</v>
      </c>
    </row>
    <row r="4712" spans="1:12">
      <c r="A4712" s="3" t="s">
        <v>2194</v>
      </c>
      <c r="B4712" s="3" t="s">
        <v>3663</v>
      </c>
      <c r="C4712" s="3" t="s">
        <v>4854</v>
      </c>
      <c r="D4712" s="3"/>
      <c r="E4712" s="2" t="str">
        <f>HYPERLINK("https://old.ukr-mobil.com/index.php?route=product&amp;product_id=10005570", "Перейти")</f>
        <v>Перейти</v>
      </c>
      <c r="F4712" s="2">
        <v>10005570</v>
      </c>
      <c r="G4712" s="4" t="s">
        <v>4860</v>
      </c>
      <c r="H4712" s="1">
        <v>22</v>
      </c>
      <c r="I4712" s="1">
        <v>4</v>
      </c>
      <c r="J4712" s="1">
        <v>3</v>
      </c>
      <c r="K4712" s="2">
        <v>2.5</v>
      </c>
    </row>
    <row r="4713" spans="1:12">
      <c r="A4713" s="3" t="s">
        <v>2194</v>
      </c>
      <c r="B4713" s="3" t="s">
        <v>3663</v>
      </c>
      <c r="C4713" s="3" t="s">
        <v>4854</v>
      </c>
      <c r="D4713" s="3"/>
      <c r="E4713" s="2" t="str">
        <f>HYPERLINK("https://old.ukr-mobil.com/index.php?route=product&amp;product_id=10005569", "Перейти")</f>
        <v>Перейти</v>
      </c>
      <c r="F4713" s="2">
        <v>10005569</v>
      </c>
      <c r="G4713" s="4" t="s">
        <v>4861</v>
      </c>
      <c r="H4713" s="1">
        <v>25</v>
      </c>
      <c r="I4713" s="1">
        <v>8</v>
      </c>
      <c r="J4713" s="1">
        <v>8</v>
      </c>
      <c r="K4713" s="2">
        <v>2.5</v>
      </c>
    </row>
    <row r="4714" spans="1:12">
      <c r="A4714" s="3" t="s">
        <v>2194</v>
      </c>
      <c r="B4714" s="3" t="s">
        <v>3663</v>
      </c>
      <c r="C4714" s="3" t="s">
        <v>4854</v>
      </c>
      <c r="D4714" s="3"/>
      <c r="E4714" s="2" t="str">
        <f>HYPERLINK("https://old.ukr-mobil.com/index.php?route=product&amp;product_id=10005572", "Перейти")</f>
        <v>Перейти</v>
      </c>
      <c r="F4714" s="2">
        <v>10005572</v>
      </c>
      <c r="G4714" s="4" t="s">
        <v>4862</v>
      </c>
      <c r="H4714" s="1">
        <v>16</v>
      </c>
      <c r="I4714" s="1">
        <v>10</v>
      </c>
      <c r="J4714" s="1">
        <v>6</v>
      </c>
      <c r="K4714" s="2">
        <v>2.5</v>
      </c>
    </row>
    <row r="4715" spans="1:12">
      <c r="A4715" s="3" t="s">
        <v>2194</v>
      </c>
      <c r="B4715" s="3" t="s">
        <v>3663</v>
      </c>
      <c r="C4715" s="3" t="s">
        <v>4854</v>
      </c>
      <c r="D4715" s="3"/>
      <c r="E4715" s="2" t="str">
        <f>HYPERLINK("https://old.ukr-mobil.com/index.php?route=product&amp;product_id=10005571", "Перейти")</f>
        <v>Перейти</v>
      </c>
      <c r="F4715" s="2">
        <v>10005571</v>
      </c>
      <c r="G4715" s="4" t="s">
        <v>4863</v>
      </c>
      <c r="H4715" s="1">
        <v>15</v>
      </c>
      <c r="I4715" s="1">
        <v>10</v>
      </c>
      <c r="J4715" s="1">
        <v>4</v>
      </c>
      <c r="K4715" s="2">
        <v>2.5</v>
      </c>
    </row>
    <row r="4716" spans="1:12">
      <c r="A4716" s="3" t="s">
        <v>2194</v>
      </c>
      <c r="B4716" s="3" t="s">
        <v>3663</v>
      </c>
      <c r="C4716" s="3" t="s">
        <v>4854</v>
      </c>
      <c r="D4716" s="3"/>
      <c r="E4716" s="2" t="str">
        <f>HYPERLINK("https://old.ukr-mobil.com/steklo_kamery_iphone_7_10059", "Перейти")</f>
        <v>Перейти</v>
      </c>
      <c r="F4716" s="2">
        <v>10059</v>
      </c>
      <c r="G4716" s="4" t="s">
        <v>4864</v>
      </c>
      <c r="H4716" s="1">
        <v>0</v>
      </c>
      <c r="I4716" s="1">
        <v>0</v>
      </c>
      <c r="J4716" s="1">
        <v>0</v>
      </c>
      <c r="K4716" s="2">
        <v>1.66</v>
      </c>
    </row>
    <row r="4717" spans="1:12">
      <c r="A4717" s="3" t="s">
        <v>2194</v>
      </c>
      <c r="B4717" s="3" t="s">
        <v>3663</v>
      </c>
      <c r="C4717" s="3" t="s">
        <v>4854</v>
      </c>
      <c r="D4717" s="3"/>
      <c r="E4717" s="2" t="str">
        <f>HYPERLINK("https://old.ukr-mobil.com/steklo_kamery_iphone_x_black_10232", "Перейти")</f>
        <v>Перейти</v>
      </c>
      <c r="F4717" s="2">
        <v>10232</v>
      </c>
      <c r="G4717" s="4" t="s">
        <v>4865</v>
      </c>
      <c r="H4717" s="1">
        <v>30</v>
      </c>
      <c r="I4717" s="1">
        <v>10</v>
      </c>
      <c r="J4717" s="1">
        <v>9</v>
      </c>
      <c r="K4717" s="2">
        <v>2.8</v>
      </c>
    </row>
    <row r="4718" spans="1:12">
      <c r="A4718" s="3" t="s">
        <v>2194</v>
      </c>
      <c r="B4718" s="3" t="s">
        <v>3663</v>
      </c>
      <c r="C4718" s="3" t="s">
        <v>4854</v>
      </c>
      <c r="D4718" s="3"/>
      <c r="E4718" s="2" t="str">
        <f>HYPERLINK("https://old.ukr-mobil.com/steklo_kamery_iphone_x_silver_10064", "Перейти")</f>
        <v>Перейти</v>
      </c>
      <c r="F4718" s="2">
        <v>10064</v>
      </c>
      <c r="G4718" s="4" t="s">
        <v>4866</v>
      </c>
      <c r="H4718" s="1">
        <v>4</v>
      </c>
      <c r="I4718" s="1">
        <v>3</v>
      </c>
      <c r="J4718" s="1">
        <v>0</v>
      </c>
      <c r="K4718" s="2">
        <v>7.06</v>
      </c>
    </row>
    <row r="4719" spans="1:12">
      <c r="A4719" s="3" t="s">
        <v>2194</v>
      </c>
      <c r="B4719" s="3" t="s">
        <v>3663</v>
      </c>
      <c r="C4719" s="3" t="s">
        <v>4854</v>
      </c>
      <c r="D4719" s="3"/>
      <c r="E4719" s="2" t="str">
        <f>HYPERLINK("https://old.ukr-mobil.com/index.php?route=product&amp;product_id=10005563", "Перейти")</f>
        <v>Перейти</v>
      </c>
      <c r="F4719" s="2">
        <v>10005563</v>
      </c>
      <c r="G4719" s="4" t="s">
        <v>4867</v>
      </c>
      <c r="H4719" s="1">
        <v>30</v>
      </c>
      <c r="I4719" s="1">
        <v>7</v>
      </c>
      <c r="J4719" s="1">
        <v>9</v>
      </c>
      <c r="K4719" s="2">
        <v>2.8</v>
      </c>
    </row>
    <row r="4720" spans="1:12">
      <c r="A4720" s="3" t="s">
        <v>2194</v>
      </c>
      <c r="B4720" s="3" t="s">
        <v>3663</v>
      </c>
      <c r="C4720" s="3" t="s">
        <v>4854</v>
      </c>
      <c r="D4720" s="3"/>
      <c r="E4720" s="2" t="str">
        <f>HYPERLINK("https://old.ukr-mobil.com/index.php?route=product&amp;product_id=10005562", "Перейти")</f>
        <v>Перейти</v>
      </c>
      <c r="F4720" s="2">
        <v>10005562</v>
      </c>
      <c r="G4720" s="4" t="s">
        <v>4868</v>
      </c>
      <c r="H4720" s="1">
        <v>29</v>
      </c>
      <c r="I4720" s="1">
        <v>7</v>
      </c>
      <c r="J4720" s="1">
        <v>10</v>
      </c>
      <c r="K4720" s="2">
        <v>2.8</v>
      </c>
    </row>
    <row r="4721" spans="1:12">
      <c r="A4721" s="3" t="s">
        <v>2194</v>
      </c>
      <c r="B4721" s="3" t="s">
        <v>3663</v>
      </c>
      <c r="C4721" s="3" t="s">
        <v>4854</v>
      </c>
      <c r="D4721" s="3"/>
      <c r="E4721" s="2" t="str">
        <f>HYPERLINK("https://old.ukr-mobil.com/index.php?route=product&amp;product_id=10004864", "Перейти")</f>
        <v>Перейти</v>
      </c>
      <c r="F4721" s="2">
        <v>10004864</v>
      </c>
      <c r="G4721" s="4" t="s">
        <v>4869</v>
      </c>
      <c r="H4721" s="1">
        <v>0</v>
      </c>
      <c r="I4721" s="1">
        <v>0</v>
      </c>
      <c r="J4721" s="1">
        <v>2</v>
      </c>
      <c r="K4721" s="2">
        <v>2.0</v>
      </c>
    </row>
    <row r="4722" spans="1:12">
      <c r="A4722" s="3" t="s">
        <v>2194</v>
      </c>
      <c r="B4722" s="3" t="s">
        <v>3663</v>
      </c>
      <c r="C4722" s="3" t="s">
        <v>4854</v>
      </c>
      <c r="D4722" s="3"/>
      <c r="E4722" s="2" t="str">
        <f>HYPERLINK("https://old.ukr-mobil.com/index.php?route=product&amp;product_id=10004866", "Перейти")</f>
        <v>Перейти</v>
      </c>
      <c r="F4722" s="2">
        <v>10004866</v>
      </c>
      <c r="G4722" s="4" t="s">
        <v>4870</v>
      </c>
      <c r="H4722" s="1">
        <v>4</v>
      </c>
      <c r="I4722" s="1">
        <v>3</v>
      </c>
      <c r="J4722" s="1">
        <v>2</v>
      </c>
      <c r="K4722" s="2">
        <v>1.85</v>
      </c>
    </row>
    <row r="4723" spans="1:12">
      <c r="A4723" s="3" t="s">
        <v>2194</v>
      </c>
      <c r="B4723" s="3" t="s">
        <v>3663</v>
      </c>
      <c r="C4723" s="3" t="s">
        <v>4854</v>
      </c>
      <c r="D4723" s="3"/>
      <c r="E4723" s="2" t="str">
        <f>HYPERLINK("https://old.ukr-mobil.com/index.php?route=product&amp;product_id=10004871", "Перейти")</f>
        <v>Перейти</v>
      </c>
      <c r="F4723" s="2">
        <v>10004871</v>
      </c>
      <c r="G4723" s="4" t="s">
        <v>4871</v>
      </c>
      <c r="H4723" s="1">
        <v>16</v>
      </c>
      <c r="I4723" s="1">
        <v>7</v>
      </c>
      <c r="J4723" s="1">
        <v>6</v>
      </c>
      <c r="K4723" s="2">
        <v>3.95</v>
      </c>
    </row>
    <row r="4724" spans="1:12">
      <c r="A4724" s="3" t="s">
        <v>2194</v>
      </c>
      <c r="B4724" s="3" t="s">
        <v>3663</v>
      </c>
      <c r="C4724" s="3" t="s">
        <v>4854</v>
      </c>
      <c r="D4724" s="3"/>
      <c r="E4724" s="2" t="str">
        <f>HYPERLINK("https://old.ukr-mobil.com/index.php?route=product&amp;product_id=10004867", "Перейти")</f>
        <v>Перейти</v>
      </c>
      <c r="F4724" s="2">
        <v>10004867</v>
      </c>
      <c r="G4724" s="4" t="s">
        <v>4872</v>
      </c>
      <c r="H4724" s="1">
        <v>0</v>
      </c>
      <c r="I4724" s="1">
        <v>0</v>
      </c>
      <c r="J4724" s="1">
        <v>1</v>
      </c>
      <c r="K4724" s="2">
        <v>2.25</v>
      </c>
    </row>
    <row r="4725" spans="1:12">
      <c r="A4725" s="3" t="s">
        <v>2194</v>
      </c>
      <c r="B4725" s="3" t="s">
        <v>3663</v>
      </c>
      <c r="C4725" s="3" t="s">
        <v>4854</v>
      </c>
      <c r="D4725" s="3"/>
      <c r="E4725" s="2" t="str">
        <f>HYPERLINK("https://old.ukr-mobil.com/index.php?route=product&amp;product_id=10004869", "Перейти")</f>
        <v>Перейти</v>
      </c>
      <c r="F4725" s="2">
        <v>10004869</v>
      </c>
      <c r="G4725" s="4" t="s">
        <v>4873</v>
      </c>
      <c r="H4725" s="1">
        <v>0</v>
      </c>
      <c r="I4725" s="1">
        <v>1</v>
      </c>
      <c r="J4725" s="1">
        <v>1</v>
      </c>
      <c r="K4725" s="2">
        <v>1.5</v>
      </c>
    </row>
    <row r="4726" spans="1:12">
      <c r="A4726" s="3" t="s">
        <v>2194</v>
      </c>
      <c r="B4726" s="3" t="s">
        <v>3663</v>
      </c>
      <c r="C4726" s="3" t="s">
        <v>4854</v>
      </c>
      <c r="D4726" s="3"/>
      <c r="E4726" s="2" t="str">
        <f>HYPERLINK("https://old.ukr-mobil.com/index.php?route=product&amp;product_id=10004874", "Перейти")</f>
        <v>Перейти</v>
      </c>
      <c r="F4726" s="2">
        <v>10004874</v>
      </c>
      <c r="G4726" s="4" t="s">
        <v>4874</v>
      </c>
      <c r="H4726" s="1">
        <v>2</v>
      </c>
      <c r="I4726" s="1">
        <v>0</v>
      </c>
      <c r="J4726" s="1">
        <v>0</v>
      </c>
      <c r="K4726" s="2">
        <v>2.85</v>
      </c>
    </row>
    <row r="4727" spans="1:12">
      <c r="A4727" s="3" t="s">
        <v>2194</v>
      </c>
      <c r="B4727" s="3" t="s">
        <v>3663</v>
      </c>
      <c r="C4727" s="3" t="s">
        <v>4854</v>
      </c>
      <c r="D4727" s="3"/>
      <c r="E4727" s="2" t="str">
        <f>HYPERLINK("https://old.ukr-mobil.com/index.php?route=product&amp;product_id=10004873", "Перейти")</f>
        <v>Перейти</v>
      </c>
      <c r="F4727" s="2">
        <v>10004873</v>
      </c>
      <c r="G4727" s="4" t="s">
        <v>4875</v>
      </c>
      <c r="H4727" s="1">
        <v>0</v>
      </c>
      <c r="I4727" s="1">
        <v>0</v>
      </c>
      <c r="J4727" s="1">
        <v>0</v>
      </c>
      <c r="K4727" s="2">
        <v>2.35</v>
      </c>
    </row>
    <row r="4728" spans="1:12">
      <c r="A4728" s="3" t="s">
        <v>2194</v>
      </c>
      <c r="B4728" s="3" t="s">
        <v>3663</v>
      </c>
      <c r="C4728" s="3" t="s">
        <v>4854</v>
      </c>
      <c r="D4728" s="3"/>
      <c r="E4728" s="2" t="str">
        <f>HYPERLINK("https://old.ukr-mobil.com/steklo_kamery_huawei_honor_10_lite_s_ramkoj_black_10000801", "Перейти")</f>
        <v>Перейти</v>
      </c>
      <c r="F4728" s="2">
        <v>10000801</v>
      </c>
      <c r="G4728" s="4" t="s">
        <v>4876</v>
      </c>
      <c r="H4728" s="1">
        <v>0</v>
      </c>
      <c r="I4728" s="1">
        <v>0</v>
      </c>
      <c r="J4728" s="1">
        <v>0</v>
      </c>
      <c r="K4728" s="2">
        <v>1.25</v>
      </c>
    </row>
    <row r="4729" spans="1:12">
      <c r="A4729" s="3" t="s">
        <v>2194</v>
      </c>
      <c r="B4729" s="3" t="s">
        <v>3663</v>
      </c>
      <c r="C4729" s="3" t="s">
        <v>4854</v>
      </c>
      <c r="D4729" s="3"/>
      <c r="E4729" s="2" t="str">
        <f>HYPERLINK("https://old.ukr-mobil.com/steklo_kamery_huawei_honor_10_lite_s_ramkoj_blue_10000831", "Перейти")</f>
        <v>Перейти</v>
      </c>
      <c r="F4729" s="2">
        <v>10000831</v>
      </c>
      <c r="G4729" s="4" t="s">
        <v>4877</v>
      </c>
      <c r="H4729" s="1">
        <v>0</v>
      </c>
      <c r="I4729" s="1">
        <v>0</v>
      </c>
      <c r="J4729" s="1">
        <v>0</v>
      </c>
      <c r="K4729" s="2">
        <v>1.25</v>
      </c>
    </row>
    <row r="4730" spans="1:12">
      <c r="A4730" s="3" t="s">
        <v>2194</v>
      </c>
      <c r="B4730" s="3" t="s">
        <v>3663</v>
      </c>
      <c r="C4730" s="3" t="s">
        <v>4854</v>
      </c>
      <c r="D4730" s="3"/>
      <c r="E4730" s="2" t="str">
        <f>HYPERLINK("https://old.ukr-mobil.com/steklo_kamery_huawei_honor_20_s_ramkoj_black_10000802", "Перейти")</f>
        <v>Перейти</v>
      </c>
      <c r="F4730" s="2">
        <v>10000802</v>
      </c>
      <c r="G4730" s="4" t="s">
        <v>4878</v>
      </c>
      <c r="H4730" s="1">
        <v>0</v>
      </c>
      <c r="I4730" s="1">
        <v>0</v>
      </c>
      <c r="J4730" s="1">
        <v>0</v>
      </c>
      <c r="K4730" s="2">
        <v>0.85</v>
      </c>
    </row>
    <row r="4731" spans="1:12">
      <c r="A4731" s="3" t="s">
        <v>2194</v>
      </c>
      <c r="B4731" s="3" t="s">
        <v>3663</v>
      </c>
      <c r="C4731" s="3" t="s">
        <v>4854</v>
      </c>
      <c r="D4731" s="3"/>
      <c r="E4731" s="2" t="str">
        <f>HYPERLINK("https://old.ukr-mobil.com/steklo_kamery_huawei_honor_20_s_ramkoj_blue_10000833", "Перейти")</f>
        <v>Перейти</v>
      </c>
      <c r="F4731" s="2">
        <v>10000833</v>
      </c>
      <c r="G4731" s="4" t="s">
        <v>4879</v>
      </c>
      <c r="H4731" s="1">
        <v>0</v>
      </c>
      <c r="I4731" s="1">
        <v>2</v>
      </c>
      <c r="J4731" s="1">
        <v>3</v>
      </c>
      <c r="K4731" s="2">
        <v>1.25</v>
      </c>
    </row>
    <row r="4732" spans="1:12">
      <c r="A4732" s="3" t="s">
        <v>2194</v>
      </c>
      <c r="B4732" s="3" t="s">
        <v>3663</v>
      </c>
      <c r="C4732" s="3" t="s">
        <v>4854</v>
      </c>
      <c r="D4732" s="3"/>
      <c r="E4732" s="2" t="str">
        <f>HYPERLINK("https://old.ukr-mobil.com/steklo_kamery_huawei_honor_20_s_ramkoj_purple_10000834", "Перейти")</f>
        <v>Перейти</v>
      </c>
      <c r="F4732" s="2">
        <v>10000834</v>
      </c>
      <c r="G4732" s="4" t="s">
        <v>4880</v>
      </c>
      <c r="H4732" s="1">
        <v>5</v>
      </c>
      <c r="I4732" s="1">
        <v>1</v>
      </c>
      <c r="J4732" s="1">
        <v>5</v>
      </c>
      <c r="K4732" s="2">
        <v>1.25</v>
      </c>
    </row>
    <row r="4733" spans="1:12">
      <c r="A4733" s="3" t="s">
        <v>2194</v>
      </c>
      <c r="B4733" s="3" t="s">
        <v>3663</v>
      </c>
      <c r="C4733" s="3" t="s">
        <v>4854</v>
      </c>
      <c r="D4733" s="3"/>
      <c r="E4733" s="2" t="str">
        <f>HYPERLINK("https://old.ukr-mobil.com/steklo_kamery_huawei_honor_8x_s_ramkoj_black_10000804", "Перейти")</f>
        <v>Перейти</v>
      </c>
      <c r="F4733" s="2">
        <v>10000804</v>
      </c>
      <c r="G4733" s="4" t="s">
        <v>4881</v>
      </c>
      <c r="H4733" s="1">
        <v>3</v>
      </c>
      <c r="I4733" s="1">
        <v>0</v>
      </c>
      <c r="J4733" s="1">
        <v>4</v>
      </c>
      <c r="K4733" s="2">
        <v>1.5</v>
      </c>
    </row>
    <row r="4734" spans="1:12">
      <c r="A4734" s="3" t="s">
        <v>2194</v>
      </c>
      <c r="B4734" s="3" t="s">
        <v>3663</v>
      </c>
      <c r="C4734" s="3" t="s">
        <v>4854</v>
      </c>
      <c r="D4734" s="3"/>
      <c r="E4734" s="2" t="str">
        <f>HYPERLINK("https://old.ukr-mobil.com/steklo_kamery_huawei_honor_8x_s_ramkoj_blue_10000805", "Перейти")</f>
        <v>Перейти</v>
      </c>
      <c r="F4734" s="2">
        <v>10000805</v>
      </c>
      <c r="G4734" s="4" t="s">
        <v>4882</v>
      </c>
      <c r="H4734" s="1">
        <v>0</v>
      </c>
      <c r="I4734" s="1">
        <v>0</v>
      </c>
      <c r="J4734" s="1">
        <v>0</v>
      </c>
      <c r="K4734" s="2">
        <v>1.5</v>
      </c>
    </row>
    <row r="4735" spans="1:12">
      <c r="A4735" s="3" t="s">
        <v>2194</v>
      </c>
      <c r="B4735" s="3" t="s">
        <v>3663</v>
      </c>
      <c r="C4735" s="3" t="s">
        <v>4854</v>
      </c>
      <c r="D4735" s="3"/>
      <c r="E4735" s="2" t="str">
        <f>HYPERLINK("https://old.ukr-mobil.com/steklo_kamery_huawei_mate_10_lite_s_ramkoj_black_10000806", "Перейти")</f>
        <v>Перейти</v>
      </c>
      <c r="F4735" s="2">
        <v>10000806</v>
      </c>
      <c r="G4735" s="4" t="s">
        <v>4883</v>
      </c>
      <c r="H4735" s="1">
        <v>0</v>
      </c>
      <c r="I4735" s="1">
        <v>0</v>
      </c>
      <c r="J4735" s="1">
        <v>0</v>
      </c>
      <c r="K4735" s="2">
        <v>0.7</v>
      </c>
    </row>
    <row r="4736" spans="1:12">
      <c r="A4736" s="3" t="s">
        <v>2194</v>
      </c>
      <c r="B4736" s="3" t="s">
        <v>3663</v>
      </c>
      <c r="C4736" s="3" t="s">
        <v>4854</v>
      </c>
      <c r="D4736" s="3"/>
      <c r="E4736" s="2" t="str">
        <f>HYPERLINK("https://old.ukr-mobil.com/steklo_kamery_huawei_mate_10_lite_s_ramkoj_blue_10000832", "Перейти")</f>
        <v>Перейти</v>
      </c>
      <c r="F4736" s="2">
        <v>10000832</v>
      </c>
      <c r="G4736" s="4" t="s">
        <v>4884</v>
      </c>
      <c r="H4736" s="1">
        <v>0</v>
      </c>
      <c r="I4736" s="1">
        <v>0</v>
      </c>
      <c r="J4736" s="1">
        <v>0</v>
      </c>
      <c r="K4736" s="2">
        <v>0.7</v>
      </c>
    </row>
    <row r="4737" spans="1:12">
      <c r="A4737" s="3" t="s">
        <v>2194</v>
      </c>
      <c r="B4737" s="3" t="s">
        <v>3663</v>
      </c>
      <c r="C4737" s="3" t="s">
        <v>4854</v>
      </c>
      <c r="D4737" s="3"/>
      <c r="E4737" s="2" t="str">
        <f>HYPERLINK("https://old.ukr-mobil.com/steklo_kamery_huawei_mate_20_black_10000807", "Перейти")</f>
        <v>Перейти</v>
      </c>
      <c r="F4737" s="2">
        <v>10000807</v>
      </c>
      <c r="G4737" s="4" t="s">
        <v>4885</v>
      </c>
      <c r="H4737" s="1">
        <v>13</v>
      </c>
      <c r="I4737" s="1">
        <v>0</v>
      </c>
      <c r="J4737" s="1">
        <v>2</v>
      </c>
      <c r="K4737" s="2">
        <v>1.1</v>
      </c>
    </row>
    <row r="4738" spans="1:12">
      <c r="A4738" s="3" t="s">
        <v>2194</v>
      </c>
      <c r="B4738" s="3" t="s">
        <v>3663</v>
      </c>
      <c r="C4738" s="3" t="s">
        <v>4854</v>
      </c>
      <c r="D4738" s="3"/>
      <c r="E4738" s="2" t="str">
        <f>HYPERLINK("https://old.ukr-mobil.com/steklo_kamery_huawei_mate_20_lite_s_ramkoj_black_10000843", "Перейти")</f>
        <v>Перейти</v>
      </c>
      <c r="F4738" s="2">
        <v>10000843</v>
      </c>
      <c r="G4738" s="4" t="s">
        <v>4886</v>
      </c>
      <c r="H4738" s="1">
        <v>0</v>
      </c>
      <c r="I4738" s="1">
        <v>0</v>
      </c>
      <c r="J4738" s="1">
        <v>0</v>
      </c>
      <c r="K4738" s="2">
        <v>1.25</v>
      </c>
    </row>
    <row r="4739" spans="1:12">
      <c r="A4739" s="3" t="s">
        <v>2194</v>
      </c>
      <c r="B4739" s="3" t="s">
        <v>3663</v>
      </c>
      <c r="C4739" s="3" t="s">
        <v>4854</v>
      </c>
      <c r="D4739" s="3"/>
      <c r="E4739" s="2" t="str">
        <f>HYPERLINK("https://old.ukr-mobil.com/steklo_kamery_huawei_mate_20_lite_s_ramkoj_blue_10000844", "Перейти")</f>
        <v>Перейти</v>
      </c>
      <c r="F4739" s="2">
        <v>10000844</v>
      </c>
      <c r="G4739" s="4" t="s">
        <v>4887</v>
      </c>
      <c r="H4739" s="1">
        <v>1</v>
      </c>
      <c r="I4739" s="1">
        <v>0</v>
      </c>
      <c r="J4739" s="1">
        <v>0</v>
      </c>
      <c r="K4739" s="2">
        <v>1.25</v>
      </c>
    </row>
    <row r="4740" spans="1:12">
      <c r="A4740" s="3" t="s">
        <v>2194</v>
      </c>
      <c r="B4740" s="3" t="s">
        <v>3663</v>
      </c>
      <c r="C4740" s="3" t="s">
        <v>4854</v>
      </c>
      <c r="D4740" s="3"/>
      <c r="E4740" s="2" t="str">
        <f>HYPERLINK("https://old.ukr-mobil.com/steklo_kamery_huawei_mate_20_lite_s_ramkoj_gold_10000845", "Перейти")</f>
        <v>Перейти</v>
      </c>
      <c r="F4740" s="2">
        <v>10000845</v>
      </c>
      <c r="G4740" s="4" t="s">
        <v>4888</v>
      </c>
      <c r="H4740" s="1">
        <v>0</v>
      </c>
      <c r="I4740" s="1">
        <v>2</v>
      </c>
      <c r="J4740" s="1">
        <v>0</v>
      </c>
      <c r="K4740" s="2">
        <v>1.25</v>
      </c>
    </row>
    <row r="4741" spans="1:12">
      <c r="A4741" s="3" t="s">
        <v>2194</v>
      </c>
      <c r="B4741" s="3" t="s">
        <v>3663</v>
      </c>
      <c r="C4741" s="3" t="s">
        <v>4854</v>
      </c>
      <c r="D4741" s="3"/>
      <c r="E4741" s="2" t="str">
        <f>HYPERLINK("https://old.ukr-mobil.com/steklo_kamery_huawei_p_smart_2019_y7_2019_black_10000855", "Перейти")</f>
        <v>Перейти</v>
      </c>
      <c r="F4741" s="2">
        <v>10000855</v>
      </c>
      <c r="G4741" s="4" t="s">
        <v>4889</v>
      </c>
      <c r="H4741" s="1">
        <v>0</v>
      </c>
      <c r="I4741" s="1">
        <v>0</v>
      </c>
      <c r="J4741" s="1">
        <v>0</v>
      </c>
      <c r="K4741" s="2">
        <v>0.6</v>
      </c>
    </row>
    <row r="4742" spans="1:12">
      <c r="A4742" s="3" t="s">
        <v>2194</v>
      </c>
      <c r="B4742" s="3" t="s">
        <v>3663</v>
      </c>
      <c r="C4742" s="3" t="s">
        <v>4854</v>
      </c>
      <c r="D4742" s="3"/>
      <c r="E4742" s="2" t="str">
        <f>HYPERLINK("https://old.ukr-mobil.com/steklo_kamery_huawei_p_smart_2021_ppa-lx2_48mp_a1_quad_camera_black_10002633", "Перейти")</f>
        <v>Перейти</v>
      </c>
      <c r="F4742" s="2">
        <v>10002633</v>
      </c>
      <c r="G4742" s="4" t="s">
        <v>4890</v>
      </c>
      <c r="H4742" s="1">
        <v>0</v>
      </c>
      <c r="I4742" s="1">
        <v>0</v>
      </c>
      <c r="J4742" s="1">
        <v>0</v>
      </c>
      <c r="K4742" s="2">
        <v>1.0</v>
      </c>
    </row>
    <row r="4743" spans="1:12">
      <c r="A4743" s="3" t="s">
        <v>2194</v>
      </c>
      <c r="B4743" s="3" t="s">
        <v>3663</v>
      </c>
      <c r="C4743" s="3" t="s">
        <v>4854</v>
      </c>
      <c r="D4743" s="3"/>
      <c r="E4743" s="2" t="str">
        <f>HYPERLINK("https://old.ukr-mobil.com/steklo_kamery_huawei_p_smart_plus_black_10001108", "Перейти")</f>
        <v>Перейти</v>
      </c>
      <c r="F4743" s="2">
        <v>10001108</v>
      </c>
      <c r="G4743" s="4" t="s">
        <v>4891</v>
      </c>
      <c r="H4743" s="1">
        <v>0</v>
      </c>
      <c r="I4743" s="1">
        <v>0</v>
      </c>
      <c r="J4743" s="1">
        <v>0</v>
      </c>
      <c r="K4743" s="2">
        <v>0.8</v>
      </c>
    </row>
    <row r="4744" spans="1:12">
      <c r="A4744" s="3" t="s">
        <v>2194</v>
      </c>
      <c r="B4744" s="3" t="s">
        <v>3663</v>
      </c>
      <c r="C4744" s="3" t="s">
        <v>4854</v>
      </c>
      <c r="D4744" s="3"/>
      <c r="E4744" s="2" t="str">
        <f>HYPERLINK("https://old.ukr-mobil.com/steklo_kamery_huawei_p_smart_plus_s_ramkoj_black_10000835", "Перейти")</f>
        <v>Перейти</v>
      </c>
      <c r="F4744" s="2">
        <v>10000835</v>
      </c>
      <c r="G4744" s="4" t="s">
        <v>4892</v>
      </c>
      <c r="H4744" s="1">
        <v>0</v>
      </c>
      <c r="I4744" s="1">
        <v>0</v>
      </c>
      <c r="J4744" s="1">
        <v>0</v>
      </c>
      <c r="K4744" s="2">
        <v>1.15</v>
      </c>
    </row>
    <row r="4745" spans="1:12">
      <c r="A4745" s="3" t="s">
        <v>2194</v>
      </c>
      <c r="B4745" s="3" t="s">
        <v>3663</v>
      </c>
      <c r="C4745" s="3" t="s">
        <v>4854</v>
      </c>
      <c r="D4745" s="3"/>
      <c r="E4745" s="2" t="str">
        <f>HYPERLINK("https://old.ukr-mobil.com/steklo_kamery_huawei_p_smart_plus_s_ramkoj_blue_10000836", "Перейти")</f>
        <v>Перейти</v>
      </c>
      <c r="F4745" s="2">
        <v>10000836</v>
      </c>
      <c r="G4745" s="4" t="s">
        <v>4893</v>
      </c>
      <c r="H4745" s="1">
        <v>0</v>
      </c>
      <c r="I4745" s="1">
        <v>0</v>
      </c>
      <c r="J4745" s="1">
        <v>0</v>
      </c>
      <c r="K4745" s="2">
        <v>1.15</v>
      </c>
    </row>
    <row r="4746" spans="1:12">
      <c r="A4746" s="3" t="s">
        <v>2194</v>
      </c>
      <c r="B4746" s="3" t="s">
        <v>3663</v>
      </c>
      <c r="C4746" s="3" t="s">
        <v>4854</v>
      </c>
      <c r="D4746" s="3"/>
      <c r="E4746" s="2" t="str">
        <f>HYPERLINK("https://old.ukr-mobil.com/steklo_kamery_huawei_p_smart_plus_s_ramkoj_red_10000838", "Перейти")</f>
        <v>Перейти</v>
      </c>
      <c r="F4746" s="2">
        <v>10000838</v>
      </c>
      <c r="G4746" s="4" t="s">
        <v>4894</v>
      </c>
      <c r="H4746" s="1">
        <v>0</v>
      </c>
      <c r="I4746" s="1">
        <v>0</v>
      </c>
      <c r="J4746" s="1">
        <v>0</v>
      </c>
      <c r="K4746" s="2">
        <v>1.15</v>
      </c>
    </row>
    <row r="4747" spans="1:12">
      <c r="A4747" s="3" t="s">
        <v>2194</v>
      </c>
      <c r="B4747" s="3" t="s">
        <v>3663</v>
      </c>
      <c r="C4747" s="3" t="s">
        <v>4854</v>
      </c>
      <c r="D4747" s="3"/>
      <c r="E4747" s="2" t="str">
        <f>HYPERLINK("https://old.ukr-mobil.com/steklo_kamery_huawei_p_smart_plus_s_ramkoj_silver_10000837", "Перейти")</f>
        <v>Перейти</v>
      </c>
      <c r="F4747" s="2">
        <v>10000837</v>
      </c>
      <c r="G4747" s="4" t="s">
        <v>4895</v>
      </c>
      <c r="H4747" s="1">
        <v>0</v>
      </c>
      <c r="I4747" s="1">
        <v>0</v>
      </c>
      <c r="J4747" s="1">
        <v>0</v>
      </c>
      <c r="K4747" s="2">
        <v>1.15</v>
      </c>
    </row>
    <row r="4748" spans="1:12">
      <c r="A4748" s="3" t="s">
        <v>2194</v>
      </c>
      <c r="B4748" s="3" t="s">
        <v>3663</v>
      </c>
      <c r="C4748" s="3" t="s">
        <v>4854</v>
      </c>
      <c r="D4748" s="3"/>
      <c r="E4748" s="2" t="str">
        <f>HYPERLINK("https://old.ukr-mobil.com/steklo_kamery_huawei_p_smart_z_black_10000846", "Перейти")</f>
        <v>Перейти</v>
      </c>
      <c r="F4748" s="2">
        <v>10000846</v>
      </c>
      <c r="G4748" s="4" t="s">
        <v>4896</v>
      </c>
      <c r="H4748" s="1">
        <v>0</v>
      </c>
      <c r="I4748" s="1">
        <v>0</v>
      </c>
      <c r="J4748" s="1">
        <v>0</v>
      </c>
      <c r="K4748" s="2">
        <v>0.9</v>
      </c>
    </row>
    <row r="4749" spans="1:12">
      <c r="A4749" s="3" t="s">
        <v>2194</v>
      </c>
      <c r="B4749" s="3" t="s">
        <v>3663</v>
      </c>
      <c r="C4749" s="3" t="s">
        <v>4854</v>
      </c>
      <c r="D4749" s="3"/>
      <c r="E4749" s="2" t="str">
        <f>HYPERLINK("https://old.ukr-mobil.com/steklo_kamery_huawei_p20_eml-l29_eml-l09_s_ramkoj_black_10002678", "Перейти")</f>
        <v>Перейти</v>
      </c>
      <c r="F4749" s="2">
        <v>10002678</v>
      </c>
      <c r="G4749" s="4" t="s">
        <v>4897</v>
      </c>
      <c r="H4749" s="1">
        <v>1</v>
      </c>
      <c r="I4749" s="1">
        <v>0</v>
      </c>
      <c r="J4749" s="1">
        <v>0</v>
      </c>
      <c r="K4749" s="2">
        <v>1.0</v>
      </c>
    </row>
    <row r="4750" spans="1:12">
      <c r="A4750" s="3" t="s">
        <v>2194</v>
      </c>
      <c r="B4750" s="3" t="s">
        <v>3663</v>
      </c>
      <c r="C4750" s="3" t="s">
        <v>4854</v>
      </c>
      <c r="D4750" s="3"/>
      <c r="E4750" s="2" t="str">
        <f>HYPERLINK("https://old.ukr-mobil.com/steklo_kamery_huawei_p20_s_ramkoj_blue_10000848", "Перейти")</f>
        <v>Перейти</v>
      </c>
      <c r="F4750" s="2">
        <v>10000848</v>
      </c>
      <c r="G4750" s="4" t="s">
        <v>4898</v>
      </c>
      <c r="H4750" s="1">
        <v>0</v>
      </c>
      <c r="I4750" s="1">
        <v>0</v>
      </c>
      <c r="J4750" s="1">
        <v>0</v>
      </c>
      <c r="K4750" s="2">
        <v>1.0</v>
      </c>
    </row>
    <row r="4751" spans="1:12">
      <c r="A4751" s="3" t="s">
        <v>2194</v>
      </c>
      <c r="B4751" s="3" t="s">
        <v>3663</v>
      </c>
      <c r="C4751" s="3" t="s">
        <v>4854</v>
      </c>
      <c r="D4751" s="3"/>
      <c r="E4751" s="2" t="str">
        <f>HYPERLINK("https://old.ukr-mobil.com/steklo_kamery_huawei_p20_s_ramkoj_pink_10000849", "Перейти")</f>
        <v>Перейти</v>
      </c>
      <c r="F4751" s="2">
        <v>10000849</v>
      </c>
      <c r="G4751" s="4" t="s">
        <v>4899</v>
      </c>
      <c r="H4751" s="1">
        <v>5</v>
      </c>
      <c r="I4751" s="1">
        <v>3</v>
      </c>
      <c r="J4751" s="1">
        <v>4</v>
      </c>
      <c r="K4751" s="2">
        <v>1.0</v>
      </c>
    </row>
    <row r="4752" spans="1:12">
      <c r="A4752" s="3" t="s">
        <v>2194</v>
      </c>
      <c r="B4752" s="3" t="s">
        <v>3663</v>
      </c>
      <c r="C4752" s="3" t="s">
        <v>4854</v>
      </c>
      <c r="D4752" s="3"/>
      <c r="E4752" s="2" t="str">
        <f>HYPERLINK("https://old.ukr-mobil.com/steklo_kamery_huawei_p20_s_ramkoj_purple_10000850", "Перейти")</f>
        <v>Перейти</v>
      </c>
      <c r="F4752" s="2">
        <v>10000850</v>
      </c>
      <c r="G4752" s="4" t="s">
        <v>4900</v>
      </c>
      <c r="H4752" s="1">
        <v>7</v>
      </c>
      <c r="I4752" s="1">
        <v>3</v>
      </c>
      <c r="J4752" s="1">
        <v>4</v>
      </c>
      <c r="K4752" s="2">
        <v>1.0</v>
      </c>
    </row>
    <row r="4753" spans="1:12">
      <c r="A4753" s="3" t="s">
        <v>2194</v>
      </c>
      <c r="B4753" s="3" t="s">
        <v>3663</v>
      </c>
      <c r="C4753" s="3" t="s">
        <v>4854</v>
      </c>
      <c r="D4753" s="3"/>
      <c r="E4753" s="2" t="str">
        <f>HYPERLINK("https://old.ukr-mobil.com/steklo_kamery_huawei_p20_lite_black_10001109", "Перейти")</f>
        <v>Перейти</v>
      </c>
      <c r="F4753" s="2">
        <v>10001109</v>
      </c>
      <c r="G4753" s="4" t="s">
        <v>4901</v>
      </c>
      <c r="H4753" s="1">
        <v>20</v>
      </c>
      <c r="I4753" s="1">
        <v>18</v>
      </c>
      <c r="J4753" s="1">
        <v>3</v>
      </c>
      <c r="K4753" s="2">
        <v>0.65</v>
      </c>
    </row>
    <row r="4754" spans="1:12">
      <c r="A4754" s="3" t="s">
        <v>2194</v>
      </c>
      <c r="B4754" s="3" t="s">
        <v>3663</v>
      </c>
      <c r="C4754" s="3" t="s">
        <v>4854</v>
      </c>
      <c r="D4754" s="3"/>
      <c r="E4754" s="2" t="str">
        <f>HYPERLINK("https://old.ukr-mobil.com/steklo_kamery_huawei_p30_lite_black_10001110", "Перейти")</f>
        <v>Перейти</v>
      </c>
      <c r="F4754" s="2">
        <v>10001110</v>
      </c>
      <c r="G4754" s="4" t="s">
        <v>4902</v>
      </c>
      <c r="H4754" s="1">
        <v>25</v>
      </c>
      <c r="I4754" s="1">
        <v>7</v>
      </c>
      <c r="J4754" s="1">
        <v>8</v>
      </c>
      <c r="K4754" s="2">
        <v>0.65</v>
      </c>
    </row>
    <row r="4755" spans="1:12">
      <c r="A4755" s="3" t="s">
        <v>2194</v>
      </c>
      <c r="B4755" s="3" t="s">
        <v>3663</v>
      </c>
      <c r="C4755" s="3" t="s">
        <v>4854</v>
      </c>
      <c r="D4755" s="3"/>
      <c r="E4755" s="2" t="str">
        <f>HYPERLINK("https://old.ukr-mobil.com/steklo_kamery_huawei_p30_lite_s_ramkoj_black_10000808", "Перейти")</f>
        <v>Перейти</v>
      </c>
      <c r="F4755" s="2">
        <v>10000808</v>
      </c>
      <c r="G4755" s="4" t="s">
        <v>4903</v>
      </c>
      <c r="H4755" s="1">
        <v>8</v>
      </c>
      <c r="I4755" s="1">
        <v>2</v>
      </c>
      <c r="J4755" s="1">
        <v>1</v>
      </c>
      <c r="K4755" s="2">
        <v>1.2</v>
      </c>
    </row>
    <row r="4756" spans="1:12">
      <c r="A4756" s="3" t="s">
        <v>2194</v>
      </c>
      <c r="B4756" s="3" t="s">
        <v>3663</v>
      </c>
      <c r="C4756" s="3" t="s">
        <v>4854</v>
      </c>
      <c r="D4756" s="3"/>
      <c r="E4756" s="2" t="str">
        <f>HYPERLINK("https://old.ukr-mobil.com/steklo_kamery_huawei_p30_lite_s_ramkoj_blue_10000853", "Перейти")</f>
        <v>Перейти</v>
      </c>
      <c r="F4756" s="2">
        <v>10000853</v>
      </c>
      <c r="G4756" s="4" t="s">
        <v>4904</v>
      </c>
      <c r="H4756" s="1">
        <v>3</v>
      </c>
      <c r="I4756" s="1">
        <v>1</v>
      </c>
      <c r="J4756" s="1">
        <v>3</v>
      </c>
      <c r="K4756" s="2">
        <v>1.2</v>
      </c>
    </row>
    <row r="4757" spans="1:12">
      <c r="A4757" s="3" t="s">
        <v>2194</v>
      </c>
      <c r="B4757" s="3" t="s">
        <v>3663</v>
      </c>
      <c r="C4757" s="3" t="s">
        <v>4854</v>
      </c>
      <c r="D4757" s="3"/>
      <c r="E4757" s="2" t="str">
        <f>HYPERLINK("https://old.ukr-mobil.com/steklo_kamery_huawei_p30_lite_s_ramkoj_silver_10000854", "Перейти")</f>
        <v>Перейти</v>
      </c>
      <c r="F4757" s="2">
        <v>10000854</v>
      </c>
      <c r="G4757" s="4" t="s">
        <v>4905</v>
      </c>
      <c r="H4757" s="1">
        <v>8</v>
      </c>
      <c r="I4757" s="1">
        <v>2</v>
      </c>
      <c r="J4757" s="1">
        <v>2</v>
      </c>
      <c r="K4757" s="2">
        <v>1.2</v>
      </c>
    </row>
    <row r="4758" spans="1:12">
      <c r="A4758" s="3" t="s">
        <v>2194</v>
      </c>
      <c r="B4758" s="3" t="s">
        <v>3663</v>
      </c>
      <c r="C4758" s="3" t="s">
        <v>4854</v>
      </c>
      <c r="D4758" s="3"/>
      <c r="E4758" s="2" t="str">
        <f>HYPERLINK("https://old.ukr-mobil.com/steklo_kamery_huawei_p30_pro_s_ramkoj_amber_sunrise_10000852", "Перейти")</f>
        <v>Перейти</v>
      </c>
      <c r="F4758" s="2">
        <v>10000852</v>
      </c>
      <c r="G4758" s="4" t="s">
        <v>4906</v>
      </c>
      <c r="H4758" s="1">
        <v>0</v>
      </c>
      <c r="I4758" s="1">
        <v>2</v>
      </c>
      <c r="J4758" s="1">
        <v>0</v>
      </c>
      <c r="K4758" s="2">
        <v>1.5</v>
      </c>
    </row>
    <row r="4759" spans="1:12">
      <c r="A4759" s="3" t="s">
        <v>2194</v>
      </c>
      <c r="B4759" s="3" t="s">
        <v>3663</v>
      </c>
      <c r="C4759" s="3" t="s">
        <v>4854</v>
      </c>
      <c r="D4759" s="3"/>
      <c r="E4759" s="2" t="str">
        <f>HYPERLINK("https://old.ukr-mobil.com/steklo_kamery_huawei_p30_pro_s_ramkoj_black_10000847", "Перейти")</f>
        <v>Перейти</v>
      </c>
      <c r="F4759" s="2">
        <v>10000847</v>
      </c>
      <c r="G4759" s="4" t="s">
        <v>4907</v>
      </c>
      <c r="H4759" s="1">
        <v>18</v>
      </c>
      <c r="I4759" s="1">
        <v>4</v>
      </c>
      <c r="J4759" s="1">
        <v>5</v>
      </c>
      <c r="K4759" s="2">
        <v>1.5</v>
      </c>
    </row>
    <row r="4760" spans="1:12">
      <c r="A4760" s="3" t="s">
        <v>2194</v>
      </c>
      <c r="B4760" s="3" t="s">
        <v>3663</v>
      </c>
      <c r="C4760" s="3" t="s">
        <v>4854</v>
      </c>
      <c r="D4760" s="3"/>
      <c r="E4760" s="2" t="str">
        <f>HYPERLINK("https://old.ukr-mobil.com/steklo_kamery_huawei_p30_pro_s_ramkoj_blue_10000851", "Перейти")</f>
        <v>Перейти</v>
      </c>
      <c r="F4760" s="2">
        <v>10000851</v>
      </c>
      <c r="G4760" s="4" t="s">
        <v>4908</v>
      </c>
      <c r="H4760" s="1">
        <v>0</v>
      </c>
      <c r="I4760" s="1">
        <v>0</v>
      </c>
      <c r="J4760" s="1">
        <v>0</v>
      </c>
      <c r="K4760" s="2">
        <v>1.5</v>
      </c>
    </row>
    <row r="4761" spans="1:12">
      <c r="A4761" s="3" t="s">
        <v>2194</v>
      </c>
      <c r="B4761" s="3" t="s">
        <v>3663</v>
      </c>
      <c r="C4761" s="3" t="s">
        <v>4854</v>
      </c>
      <c r="D4761" s="3"/>
      <c r="E4761" s="2" t="str">
        <f>HYPERLINK("https://old.ukr-mobil.com/steklo_kamery_huawei_p30_pro_s_ramkoj_silver_10000809", "Перейти")</f>
        <v>Перейти</v>
      </c>
      <c r="F4761" s="2">
        <v>10000809</v>
      </c>
      <c r="G4761" s="4" t="s">
        <v>4909</v>
      </c>
      <c r="H4761" s="1">
        <v>0</v>
      </c>
      <c r="I4761" s="1">
        <v>1</v>
      </c>
      <c r="J4761" s="1">
        <v>0</v>
      </c>
      <c r="K4761" s="2">
        <v>1.5</v>
      </c>
    </row>
    <row r="4762" spans="1:12">
      <c r="A4762" s="3" t="s">
        <v>2194</v>
      </c>
      <c r="B4762" s="3" t="s">
        <v>3663</v>
      </c>
      <c r="C4762" s="3" t="s">
        <v>4854</v>
      </c>
      <c r="D4762" s="3"/>
      <c r="E4762" s="2" t="str">
        <f>HYPERLINK("https://old.ukr-mobil.com/steklo_kamery_huawei_p40_ana-an00_ana-tn00_ana-nx9_black_10001606", "Перейти")</f>
        <v>Перейти</v>
      </c>
      <c r="F4762" s="2">
        <v>10001606</v>
      </c>
      <c r="G4762" s="4" t="s">
        <v>4910</v>
      </c>
      <c r="H4762" s="1">
        <v>18</v>
      </c>
      <c r="I4762" s="1">
        <v>3</v>
      </c>
      <c r="J4762" s="1">
        <v>3</v>
      </c>
      <c r="K4762" s="2">
        <v>1.5</v>
      </c>
    </row>
    <row r="4763" spans="1:12">
      <c r="A4763" s="3" t="s">
        <v>2194</v>
      </c>
      <c r="B4763" s="3" t="s">
        <v>3663</v>
      </c>
      <c r="C4763" s="3" t="s">
        <v>4854</v>
      </c>
      <c r="D4763" s="3"/>
      <c r="E4763" s="2" t="str">
        <f>HYPERLINK("https://old.ukr-mobil.com/steklo_kamery_huawei_p40_s_ramkoj_black_10000856", "Перейти")</f>
        <v>Перейти</v>
      </c>
      <c r="F4763" s="2">
        <v>10000856</v>
      </c>
      <c r="G4763" s="4" t="s">
        <v>4911</v>
      </c>
      <c r="H4763" s="1">
        <v>1</v>
      </c>
      <c r="I4763" s="1">
        <v>2</v>
      </c>
      <c r="J4763" s="1">
        <v>0</v>
      </c>
      <c r="K4763" s="2">
        <v>4.5</v>
      </c>
    </row>
    <row r="4764" spans="1:12">
      <c r="A4764" s="3" t="s">
        <v>2194</v>
      </c>
      <c r="B4764" s="3" t="s">
        <v>3663</v>
      </c>
      <c r="C4764" s="3" t="s">
        <v>4854</v>
      </c>
      <c r="D4764" s="3"/>
      <c r="E4764" s="2" t="str">
        <f>HYPERLINK("https://old.ukr-mobil.com/steklo_kamery_huawei_p40_s_ramkoj_blue_10000810", "Перейти")</f>
        <v>Перейти</v>
      </c>
      <c r="F4764" s="2">
        <v>10000810</v>
      </c>
      <c r="G4764" s="4" t="s">
        <v>4912</v>
      </c>
      <c r="H4764" s="1">
        <v>1</v>
      </c>
      <c r="I4764" s="1">
        <v>1</v>
      </c>
      <c r="J4764" s="1">
        <v>0</v>
      </c>
      <c r="K4764" s="2">
        <v>4.5</v>
      </c>
    </row>
    <row r="4765" spans="1:12">
      <c r="A4765" s="3" t="s">
        <v>2194</v>
      </c>
      <c r="B4765" s="3" t="s">
        <v>3663</v>
      </c>
      <c r="C4765" s="3" t="s">
        <v>4854</v>
      </c>
      <c r="D4765" s="3"/>
      <c r="E4765" s="2" t="str">
        <f>HYPERLINK("https://old.ukr-mobil.com/steklo_kamery_huawei_p40_s_ramkoj_silver_10000857", "Перейти")</f>
        <v>Перейти</v>
      </c>
      <c r="F4765" s="2">
        <v>10000857</v>
      </c>
      <c r="G4765" s="4" t="s">
        <v>4913</v>
      </c>
      <c r="H4765" s="1">
        <v>0</v>
      </c>
      <c r="I4765" s="1">
        <v>0</v>
      </c>
      <c r="J4765" s="1">
        <v>0</v>
      </c>
      <c r="K4765" s="2">
        <v>4.5</v>
      </c>
    </row>
    <row r="4766" spans="1:12">
      <c r="A4766" s="3" t="s">
        <v>2194</v>
      </c>
      <c r="B4766" s="3" t="s">
        <v>3663</v>
      </c>
      <c r="C4766" s="3" t="s">
        <v>4854</v>
      </c>
      <c r="D4766" s="3"/>
      <c r="E4766" s="2" t="str">
        <f>HYPERLINK("https://old.ukr-mobil.com/steklo_kamery_huawei_p40_lite_mar-lx1a_jny-l21_jny-l21a_jny-l22_green_10002635", "Перейти")</f>
        <v>Перейти</v>
      </c>
      <c r="F4766" s="2">
        <v>10002635</v>
      </c>
      <c r="G4766" s="4" t="s">
        <v>4914</v>
      </c>
      <c r="H4766" s="1">
        <v>0</v>
      </c>
      <c r="I4766" s="1">
        <v>0</v>
      </c>
      <c r="J4766" s="1">
        <v>1</v>
      </c>
      <c r="K4766" s="2">
        <v>0.7</v>
      </c>
    </row>
    <row r="4767" spans="1:12">
      <c r="A4767" s="3" t="s">
        <v>2194</v>
      </c>
      <c r="B4767" s="3" t="s">
        <v>3663</v>
      </c>
      <c r="C4767" s="3" t="s">
        <v>4854</v>
      </c>
      <c r="D4767" s="3"/>
      <c r="E4767" s="2" t="str">
        <f>HYPERLINK("https://old.ukr-mobil.com/steklo_kamery_huawei_p40_lite_mar-lx1a_jny-l21_jny-l21a_jny-l22_purple_10002634", "Перейти")</f>
        <v>Перейти</v>
      </c>
      <c r="F4767" s="2">
        <v>10002634</v>
      </c>
      <c r="G4767" s="4" t="s">
        <v>4915</v>
      </c>
      <c r="H4767" s="1">
        <v>12</v>
      </c>
      <c r="I4767" s="1">
        <v>1</v>
      </c>
      <c r="J4767" s="1">
        <v>5</v>
      </c>
      <c r="K4767" s="2">
        <v>0.7</v>
      </c>
    </row>
    <row r="4768" spans="1:12">
      <c r="A4768" s="3" t="s">
        <v>2194</v>
      </c>
      <c r="B4768" s="3" t="s">
        <v>3663</v>
      </c>
      <c r="C4768" s="3" t="s">
        <v>4854</v>
      </c>
      <c r="D4768" s="3"/>
      <c r="E4768" s="2" t="str">
        <f>HYPERLINK("https://old.ukr-mobil.com/steklo_kamery_huawei_p40_lite_s_ramkoj_green_10000811", "Перейти")</f>
        <v>Перейти</v>
      </c>
      <c r="F4768" s="2">
        <v>10000811</v>
      </c>
      <c r="G4768" s="4" t="s">
        <v>4916</v>
      </c>
      <c r="H4768" s="1">
        <v>0</v>
      </c>
      <c r="I4768" s="1">
        <v>0</v>
      </c>
      <c r="J4768" s="1">
        <v>0</v>
      </c>
      <c r="K4768" s="2">
        <v>2.5</v>
      </c>
    </row>
    <row r="4769" spans="1:12">
      <c r="A4769" s="3" t="s">
        <v>2194</v>
      </c>
      <c r="B4769" s="3" t="s">
        <v>3663</v>
      </c>
      <c r="C4769" s="3" t="s">
        <v>4854</v>
      </c>
      <c r="D4769" s="3"/>
      <c r="E4769" s="2" t="str">
        <f>HYPERLINK("https://old.ukr-mobil.com/steklo_kamery_huawei_p40_lite_s_ramkoj_purple_10000842", "Перейти")</f>
        <v>Перейти</v>
      </c>
      <c r="F4769" s="2">
        <v>10000842</v>
      </c>
      <c r="G4769" s="4" t="s">
        <v>4917</v>
      </c>
      <c r="H4769" s="1">
        <v>0</v>
      </c>
      <c r="I4769" s="1">
        <v>0</v>
      </c>
      <c r="J4769" s="1">
        <v>0</v>
      </c>
      <c r="K4769" s="2">
        <v>2.5</v>
      </c>
    </row>
    <row r="4770" spans="1:12">
      <c r="A4770" s="3" t="s">
        <v>2194</v>
      </c>
      <c r="B4770" s="3" t="s">
        <v>3663</v>
      </c>
      <c r="C4770" s="3" t="s">
        <v>4854</v>
      </c>
      <c r="D4770" s="3"/>
      <c r="E4770" s="2" t="str">
        <f>HYPERLINK("https://old.ukr-mobil.com/steklo_kamery_huawei_y5_2019_y5_prime_2019_p_smart_z_y9_2019_black_10000803", "Перейти")</f>
        <v>Перейти</v>
      </c>
      <c r="F4770" s="2">
        <v>10000803</v>
      </c>
      <c r="G4770" s="4" t="s">
        <v>4918</v>
      </c>
      <c r="H4770" s="1">
        <v>0</v>
      </c>
      <c r="I4770" s="1">
        <v>0</v>
      </c>
      <c r="J4770" s="1">
        <v>0</v>
      </c>
      <c r="K4770" s="2">
        <v>0.6</v>
      </c>
    </row>
    <row r="4771" spans="1:12">
      <c r="A4771" s="3" t="s">
        <v>2194</v>
      </c>
      <c r="B4771" s="3" t="s">
        <v>3663</v>
      </c>
      <c r="C4771" s="3" t="s">
        <v>4854</v>
      </c>
      <c r="D4771" s="3"/>
      <c r="E4771" s="2" t="str">
        <f>HYPERLINK("https://old.ukr-mobil.com/steklo_kamery_huawei_y6_2019_y6_prime_2019_black_10000812", "Перейти")</f>
        <v>Перейти</v>
      </c>
      <c r="F4771" s="2">
        <v>10000812</v>
      </c>
      <c r="G4771" s="4" t="s">
        <v>4919</v>
      </c>
      <c r="H4771" s="1">
        <v>0</v>
      </c>
      <c r="I4771" s="1">
        <v>0</v>
      </c>
      <c r="J4771" s="1">
        <v>0</v>
      </c>
      <c r="K4771" s="2">
        <v>0.8</v>
      </c>
    </row>
    <row r="4772" spans="1:12">
      <c r="A4772" s="3" t="s">
        <v>2194</v>
      </c>
      <c r="B4772" s="3" t="s">
        <v>3663</v>
      </c>
      <c r="C4772" s="3" t="s">
        <v>4854</v>
      </c>
      <c r="D4772" s="3"/>
      <c r="E4772" s="2" t="str">
        <f>HYPERLINK("https://old.ukr-mobil.com/index.php?route=product&amp;product_id=10004855", "Перейти")</f>
        <v>Перейти</v>
      </c>
      <c r="F4772" s="2">
        <v>10004855</v>
      </c>
      <c r="G4772" s="4" t="s">
        <v>4920</v>
      </c>
      <c r="H4772" s="1">
        <v>0</v>
      </c>
      <c r="I4772" s="1">
        <v>0</v>
      </c>
      <c r="J4772" s="1">
        <v>0</v>
      </c>
      <c r="K4772" s="2">
        <v>0.8</v>
      </c>
    </row>
    <row r="4773" spans="1:12">
      <c r="A4773" s="3" t="s">
        <v>2194</v>
      </c>
      <c r="B4773" s="3" t="s">
        <v>3663</v>
      </c>
      <c r="C4773" s="3" t="s">
        <v>4854</v>
      </c>
      <c r="D4773" s="3"/>
      <c r="E4773" s="2" t="str">
        <f>HYPERLINK("https://old.ukr-mobil.com/index.php?route=product&amp;product_id=10004854", "Перейти")</f>
        <v>Перейти</v>
      </c>
      <c r="F4773" s="2">
        <v>10004854</v>
      </c>
      <c r="G4773" s="4" t="s">
        <v>4921</v>
      </c>
      <c r="H4773" s="1">
        <v>0</v>
      </c>
      <c r="I4773" s="1">
        <v>0</v>
      </c>
      <c r="J4773" s="1">
        <v>0</v>
      </c>
      <c r="K4773" s="2">
        <v>0.58</v>
      </c>
    </row>
    <row r="4774" spans="1:12">
      <c r="A4774" s="3" t="s">
        <v>2194</v>
      </c>
      <c r="B4774" s="3" t="s">
        <v>3663</v>
      </c>
      <c r="C4774" s="3" t="s">
        <v>4854</v>
      </c>
      <c r="D4774" s="3"/>
      <c r="E4774" s="2" t="str">
        <f>HYPERLINK("https://old.ukr-mobil.com/steklo_kamery_samsung_a022_galaxy_a02_black_10002626", "Перейти")</f>
        <v>Перейти</v>
      </c>
      <c r="F4774" s="2">
        <v>10002626</v>
      </c>
      <c r="G4774" s="4" t="s">
        <v>4922</v>
      </c>
      <c r="H4774" s="1">
        <v>18</v>
      </c>
      <c r="I4774" s="1">
        <v>8</v>
      </c>
      <c r="J4774" s="1">
        <v>5</v>
      </c>
      <c r="K4774" s="2">
        <v>0.7</v>
      </c>
    </row>
    <row r="4775" spans="1:12">
      <c r="A4775" s="3" t="s">
        <v>2194</v>
      </c>
      <c r="B4775" s="3" t="s">
        <v>3663</v>
      </c>
      <c r="C4775" s="3" t="s">
        <v>4854</v>
      </c>
      <c r="D4775" s="3"/>
      <c r="E4775" s="2" t="str">
        <f>HYPERLINK("https://old.ukr-mobil.com/steklo_kamery_samsung_a025_galaxy_a02s_a037_galaxy_a03s_black_10002625", "Перейти")</f>
        <v>Перейти</v>
      </c>
      <c r="F4775" s="2">
        <v>10002625</v>
      </c>
      <c r="G4775" s="4" t="s">
        <v>4923</v>
      </c>
      <c r="H4775" s="1">
        <v>22</v>
      </c>
      <c r="I4775" s="1">
        <v>12</v>
      </c>
      <c r="J4775" s="1">
        <v>9</v>
      </c>
      <c r="K4775" s="2">
        <v>0.95</v>
      </c>
    </row>
    <row r="4776" spans="1:12">
      <c r="A4776" s="3" t="s">
        <v>2194</v>
      </c>
      <c r="B4776" s="3" t="s">
        <v>3663</v>
      </c>
      <c r="C4776" s="3" t="s">
        <v>4854</v>
      </c>
      <c r="D4776" s="3"/>
      <c r="E4776" s="2" t="str">
        <f>HYPERLINK("https://old.ukr-mobil.com/index.php?route=product&amp;product_id=10004850", "Перейти")</f>
        <v>Перейти</v>
      </c>
      <c r="F4776" s="2">
        <v>10004850</v>
      </c>
      <c r="G4776" s="4" t="s">
        <v>4924</v>
      </c>
      <c r="H4776" s="1">
        <v>0</v>
      </c>
      <c r="I4776" s="1">
        <v>0</v>
      </c>
      <c r="J4776" s="1">
        <v>2</v>
      </c>
      <c r="K4776" s="2">
        <v>0.75</v>
      </c>
    </row>
    <row r="4777" spans="1:12">
      <c r="A4777" s="3" t="s">
        <v>2194</v>
      </c>
      <c r="B4777" s="3" t="s">
        <v>3663</v>
      </c>
      <c r="C4777" s="3" t="s">
        <v>4854</v>
      </c>
      <c r="D4777" s="3"/>
      <c r="E4777" s="2" t="str">
        <f>HYPERLINK("https://old.ukr-mobil.com/steklo_kamery_samsung_a105_galaxy_a10_a205_a305_a405_s_ramkoj_black_10000901", "Перейти")</f>
        <v>Перейти</v>
      </c>
      <c r="F4777" s="2">
        <v>10000901</v>
      </c>
      <c r="G4777" s="4" t="s">
        <v>4925</v>
      </c>
      <c r="H4777" s="1">
        <v>0</v>
      </c>
      <c r="I4777" s="1">
        <v>0</v>
      </c>
      <c r="J4777" s="1">
        <v>0</v>
      </c>
      <c r="K4777" s="2">
        <v>1.0</v>
      </c>
    </row>
    <row r="4778" spans="1:12">
      <c r="A4778" s="3" t="s">
        <v>2194</v>
      </c>
      <c r="B4778" s="3" t="s">
        <v>3663</v>
      </c>
      <c r="C4778" s="3" t="s">
        <v>4854</v>
      </c>
      <c r="D4778" s="3"/>
      <c r="E4778" s="2" t="str">
        <f>HYPERLINK("https://old.ukr-mobil.com/steklo_kamery_samsung_a125_galaxy_a12_m127_galaxy_m12_black_10002624", "Перейти")</f>
        <v>Перейти</v>
      </c>
      <c r="F4778" s="2">
        <v>10002624</v>
      </c>
      <c r="G4778" s="4" t="s">
        <v>4926</v>
      </c>
      <c r="H4778" s="1">
        <v>0</v>
      </c>
      <c r="I4778" s="1">
        <v>0</v>
      </c>
      <c r="J4778" s="1">
        <v>0</v>
      </c>
      <c r="K4778" s="2">
        <v>0.85</v>
      </c>
    </row>
    <row r="4779" spans="1:12">
      <c r="A4779" s="3" t="s">
        <v>2194</v>
      </c>
      <c r="B4779" s="3" t="s">
        <v>3663</v>
      </c>
      <c r="C4779" s="3" t="s">
        <v>4854</v>
      </c>
      <c r="D4779" s="3"/>
      <c r="E4779" s="2" t="str">
        <f>HYPERLINK("https://old.ukr-mobil.com/index.php?route=product&amp;product_id=10004849", "Перейти")</f>
        <v>Перейти</v>
      </c>
      <c r="F4779" s="2">
        <v>10004849</v>
      </c>
      <c r="G4779" s="4" t="s">
        <v>4927</v>
      </c>
      <c r="H4779" s="1">
        <v>4</v>
      </c>
      <c r="I4779" s="1">
        <v>0</v>
      </c>
      <c r="J4779" s="1">
        <v>5</v>
      </c>
      <c r="K4779" s="2">
        <v>0.95</v>
      </c>
    </row>
    <row r="4780" spans="1:12">
      <c r="A4780" s="3" t="s">
        <v>2194</v>
      </c>
      <c r="B4780" s="3" t="s">
        <v>3663</v>
      </c>
      <c r="C4780" s="3" t="s">
        <v>4854</v>
      </c>
      <c r="D4780" s="3"/>
      <c r="E4780" s="2" t="str">
        <f>HYPERLINK("https://old.ukr-mobil.com/index.php?route=product&amp;product_id=10004848", "Перейти")</f>
        <v>Перейти</v>
      </c>
      <c r="F4780" s="2">
        <v>10004848</v>
      </c>
      <c r="G4780" s="4" t="s">
        <v>4928</v>
      </c>
      <c r="H4780" s="1">
        <v>7</v>
      </c>
      <c r="I4780" s="1">
        <v>6</v>
      </c>
      <c r="J4780" s="1">
        <v>6</v>
      </c>
      <c r="K4780" s="2">
        <v>0.85</v>
      </c>
    </row>
    <row r="4781" spans="1:12">
      <c r="A4781" s="3" t="s">
        <v>2194</v>
      </c>
      <c r="B4781" s="3" t="s">
        <v>3663</v>
      </c>
      <c r="C4781" s="3" t="s">
        <v>4854</v>
      </c>
      <c r="D4781" s="3"/>
      <c r="E4781" s="2" t="str">
        <f>HYPERLINK("https://old.ukr-mobil.com/index.php?route=product&amp;product_id=10005770", "Перейти")</f>
        <v>Перейти</v>
      </c>
      <c r="F4781" s="2">
        <v>10005770</v>
      </c>
      <c r="G4781" s="4" t="s">
        <v>4929</v>
      </c>
      <c r="H4781" s="1">
        <v>15</v>
      </c>
      <c r="I4781" s="1">
        <v>5</v>
      </c>
      <c r="J4781" s="1">
        <v>0</v>
      </c>
      <c r="K4781" s="2">
        <v>1.2</v>
      </c>
    </row>
    <row r="4782" spans="1:12">
      <c r="A4782" s="3" t="s">
        <v>2194</v>
      </c>
      <c r="B4782" s="3" t="s">
        <v>3663</v>
      </c>
      <c r="C4782" s="3" t="s">
        <v>4854</v>
      </c>
      <c r="D4782" s="3"/>
      <c r="E4782" s="2" t="str">
        <f>HYPERLINK("https://old.ukr-mobil.com/steklo_kamery_samsung_a205_galaxy_a20_s_ramkoj_black_10000919", "Перейти")</f>
        <v>Перейти</v>
      </c>
      <c r="F4782" s="2">
        <v>10000919</v>
      </c>
      <c r="G4782" s="4" t="s">
        <v>4930</v>
      </c>
      <c r="H4782" s="1">
        <v>12</v>
      </c>
      <c r="I4782" s="1">
        <v>5</v>
      </c>
      <c r="J4782" s="1">
        <v>0</v>
      </c>
      <c r="K4782" s="2">
        <v>1.2</v>
      </c>
    </row>
    <row r="4783" spans="1:12">
      <c r="A4783" s="3" t="s">
        <v>2194</v>
      </c>
      <c r="B4783" s="3" t="s">
        <v>3663</v>
      </c>
      <c r="C4783" s="3" t="s">
        <v>4854</v>
      </c>
      <c r="D4783" s="3"/>
      <c r="E4783" s="2" t="str">
        <f>HYPERLINK("https://old.ukr-mobil.com/steklo_kamery_samsung_a205_galaxy_a20_s_ramkoj_silver_10000920", "Перейти")</f>
        <v>Перейти</v>
      </c>
      <c r="F4783" s="2">
        <v>10000920</v>
      </c>
      <c r="G4783" s="4" t="s">
        <v>4931</v>
      </c>
      <c r="H4783" s="1">
        <v>13</v>
      </c>
      <c r="I4783" s="1">
        <v>4</v>
      </c>
      <c r="J4783" s="1">
        <v>1</v>
      </c>
      <c r="K4783" s="2">
        <v>1.2</v>
      </c>
    </row>
    <row r="4784" spans="1:12">
      <c r="A4784" s="3" t="s">
        <v>2194</v>
      </c>
      <c r="B4784" s="3" t="s">
        <v>3663</v>
      </c>
      <c r="C4784" s="3" t="s">
        <v>4854</v>
      </c>
      <c r="D4784" s="3"/>
      <c r="E4784" s="2" t="str">
        <f>HYPERLINK("https://old.ukr-mobil.com/steklo_kamery_samsung_a225_galaxy_a22_a226_galaxy_a22_5g_black_10002623", "Перейти")</f>
        <v>Перейти</v>
      </c>
      <c r="F4784" s="2">
        <v>10002623</v>
      </c>
      <c r="G4784" s="4" t="s">
        <v>4932</v>
      </c>
      <c r="H4784" s="1">
        <v>0</v>
      </c>
      <c r="I4784" s="1">
        <v>0</v>
      </c>
      <c r="J4784" s="1">
        <v>0</v>
      </c>
      <c r="K4784" s="2">
        <v>1.1</v>
      </c>
    </row>
    <row r="4785" spans="1:12">
      <c r="A4785" s="3" t="s">
        <v>2194</v>
      </c>
      <c r="B4785" s="3" t="s">
        <v>3663</v>
      </c>
      <c r="C4785" s="3" t="s">
        <v>4854</v>
      </c>
      <c r="D4785" s="3"/>
      <c r="E4785" s="2" t="str">
        <f>HYPERLINK("https://old.ukr-mobil.com/steklo_kamery_samsung_a225_galaxy_a22_a226_galaxy_a22_5g_light_green_10002636", "Перейти")</f>
        <v>Перейти</v>
      </c>
      <c r="F4785" s="2">
        <v>10002636</v>
      </c>
      <c r="G4785" s="4" t="s">
        <v>4933</v>
      </c>
      <c r="H4785" s="1">
        <v>0</v>
      </c>
      <c r="I4785" s="1">
        <v>0</v>
      </c>
      <c r="J4785" s="1">
        <v>0</v>
      </c>
      <c r="K4785" s="2">
        <v>1.0</v>
      </c>
    </row>
    <row r="4786" spans="1:12">
      <c r="A4786" s="3" t="s">
        <v>2194</v>
      </c>
      <c r="B4786" s="3" t="s">
        <v>3663</v>
      </c>
      <c r="C4786" s="3" t="s">
        <v>4854</v>
      </c>
      <c r="D4786" s="3"/>
      <c r="E4786" s="2" t="str">
        <f>HYPERLINK("https://old.ukr-mobil.com/steklo_kamery_samsung_a225_galaxy_a22_a226_galaxy_a22_5g_violet_10002637", "Перейти")</f>
        <v>Перейти</v>
      </c>
      <c r="F4786" s="2">
        <v>10002637</v>
      </c>
      <c r="G4786" s="4" t="s">
        <v>4934</v>
      </c>
      <c r="H4786" s="1">
        <v>1</v>
      </c>
      <c r="I4786" s="1">
        <v>2</v>
      </c>
      <c r="J4786" s="1">
        <v>0</v>
      </c>
      <c r="K4786" s="2">
        <v>1.0</v>
      </c>
    </row>
    <row r="4787" spans="1:12">
      <c r="A4787" s="3" t="s">
        <v>2194</v>
      </c>
      <c r="B4787" s="3" t="s">
        <v>3663</v>
      </c>
      <c r="C4787" s="3" t="s">
        <v>4854</v>
      </c>
      <c r="D4787" s="3"/>
      <c r="E4787" s="2" t="str">
        <f>HYPERLINK("https://old.ukr-mobil.com/steklo_kamery_samsung_a307_galaxy_a30s_s_ramkoj_black_10000907", "Перейти")</f>
        <v>Перейти</v>
      </c>
      <c r="F4787" s="2">
        <v>10000907</v>
      </c>
      <c r="G4787" s="4" t="s">
        <v>4935</v>
      </c>
      <c r="H4787" s="1">
        <v>4</v>
      </c>
      <c r="I4787" s="1">
        <v>4</v>
      </c>
      <c r="J4787" s="1">
        <v>3</v>
      </c>
      <c r="K4787" s="2">
        <v>1.25</v>
      </c>
    </row>
    <row r="4788" spans="1:12">
      <c r="A4788" s="3" t="s">
        <v>2194</v>
      </c>
      <c r="B4788" s="3" t="s">
        <v>3663</v>
      </c>
      <c r="C4788" s="3" t="s">
        <v>4854</v>
      </c>
      <c r="D4788" s="3"/>
      <c r="E4788" s="2" t="str">
        <f>HYPERLINK("https://old.ukr-mobil.com/steklo_kamery_samsung_a307_galaxy_a30s_s_ramkoj_silver_10000908", "Перейти")</f>
        <v>Перейти</v>
      </c>
      <c r="F4788" s="2">
        <v>10000908</v>
      </c>
      <c r="G4788" s="4" t="s">
        <v>4936</v>
      </c>
      <c r="H4788" s="1">
        <v>0</v>
      </c>
      <c r="I4788" s="1">
        <v>0</v>
      </c>
      <c r="J4788" s="1">
        <v>0</v>
      </c>
      <c r="K4788" s="2">
        <v>1.25</v>
      </c>
    </row>
    <row r="4789" spans="1:12">
      <c r="A4789" s="3" t="s">
        <v>2194</v>
      </c>
      <c r="B4789" s="3" t="s">
        <v>3663</v>
      </c>
      <c r="C4789" s="3" t="s">
        <v>4854</v>
      </c>
      <c r="D4789" s="3"/>
      <c r="E4789" s="2" t="str">
        <f>HYPERLINK("https://old.ukr-mobil.com/steklo_kamery_samsung_a315_galaxy_a31_s_ramkoj_black_10002661", "Перейти")</f>
        <v>Перейти</v>
      </c>
      <c r="F4789" s="2">
        <v>10002661</v>
      </c>
      <c r="G4789" s="4" t="s">
        <v>4937</v>
      </c>
      <c r="H4789" s="1">
        <v>0</v>
      </c>
      <c r="I4789" s="1">
        <v>0</v>
      </c>
      <c r="J4789" s="1">
        <v>0</v>
      </c>
      <c r="K4789" s="2">
        <v>1.15</v>
      </c>
    </row>
    <row r="4790" spans="1:12">
      <c r="A4790" s="3" t="s">
        <v>2194</v>
      </c>
      <c r="B4790" s="3" t="s">
        <v>3663</v>
      </c>
      <c r="C4790" s="3" t="s">
        <v>4854</v>
      </c>
      <c r="D4790" s="3"/>
      <c r="E4790" s="2" t="str">
        <f>HYPERLINK("https://old.ukr-mobil.com/steklo_kamery_samsung_a320_galaxy_a3_2017_a520_galaxy_a5_2017_a720_galaxy_a7_2017_black_11594", "Перейти")</f>
        <v>Перейти</v>
      </c>
      <c r="F4790" s="2">
        <v>11594</v>
      </c>
      <c r="G4790" s="4" t="s">
        <v>4938</v>
      </c>
      <c r="H4790" s="1">
        <v>5</v>
      </c>
      <c r="I4790" s="1">
        <v>0</v>
      </c>
      <c r="J4790" s="1">
        <v>2</v>
      </c>
      <c r="K4790" s="2">
        <v>0.5</v>
      </c>
    </row>
    <row r="4791" spans="1:12">
      <c r="A4791" s="3" t="s">
        <v>2194</v>
      </c>
      <c r="B4791" s="3" t="s">
        <v>3663</v>
      </c>
      <c r="C4791" s="3" t="s">
        <v>4854</v>
      </c>
      <c r="D4791" s="3"/>
      <c r="E4791" s="2" t="str">
        <f>HYPERLINK("https://old.ukr-mobil.com/steklo_kamery_samsung_a320_galaxy_a3_2017_a520_galaxy_a5_2017_a720_galaxy_a7_2017_blue_11596", "Перейти")</f>
        <v>Перейти</v>
      </c>
      <c r="F4791" s="2">
        <v>11596</v>
      </c>
      <c r="G4791" s="4" t="s">
        <v>4939</v>
      </c>
      <c r="H4791" s="1">
        <v>32</v>
      </c>
      <c r="I4791" s="1">
        <v>0</v>
      </c>
      <c r="J4791" s="1">
        <v>2</v>
      </c>
      <c r="K4791" s="2">
        <v>0.5</v>
      </c>
    </row>
    <row r="4792" spans="1:12">
      <c r="A4792" s="3" t="s">
        <v>2194</v>
      </c>
      <c r="B4792" s="3" t="s">
        <v>3663</v>
      </c>
      <c r="C4792" s="3" t="s">
        <v>4854</v>
      </c>
      <c r="D4792" s="3"/>
      <c r="E4792" s="2" t="str">
        <f>HYPERLINK("https://old.ukr-mobil.com/steklo_kamery_samsung_a320_galaxy_a3_2017_a520_galaxy_a5_2017_a720_galaxy_a7_2017_gold_11595", "Перейти")</f>
        <v>Перейти</v>
      </c>
      <c r="F4792" s="2">
        <v>11595</v>
      </c>
      <c r="G4792" s="4" t="s">
        <v>4940</v>
      </c>
      <c r="H4792" s="1">
        <v>27</v>
      </c>
      <c r="I4792" s="1">
        <v>0</v>
      </c>
      <c r="J4792" s="1">
        <v>1</v>
      </c>
      <c r="K4792" s="2">
        <v>0.5</v>
      </c>
    </row>
    <row r="4793" spans="1:12">
      <c r="A4793" s="3" t="s">
        <v>2194</v>
      </c>
      <c r="B4793" s="3" t="s">
        <v>3663</v>
      </c>
      <c r="C4793" s="3" t="s">
        <v>4854</v>
      </c>
      <c r="D4793" s="3"/>
      <c r="E4793" s="2" t="str">
        <f>HYPERLINK("https://old.ukr-mobil.com/steklo_kamery_samsung_a325_galaxy_a32_komplekt_3_2_sht_black_10002622", "Перейти")</f>
        <v>Перейти</v>
      </c>
      <c r="F4793" s="2">
        <v>10002622</v>
      </c>
      <c r="G4793" s="4" t="s">
        <v>4941</v>
      </c>
      <c r="H4793" s="1">
        <v>8</v>
      </c>
      <c r="I4793" s="1">
        <v>6</v>
      </c>
      <c r="J4793" s="1">
        <v>0</v>
      </c>
      <c r="K4793" s="2">
        <v>1.75</v>
      </c>
    </row>
    <row r="4794" spans="1:12">
      <c r="A4794" s="3" t="s">
        <v>2194</v>
      </c>
      <c r="B4794" s="3" t="s">
        <v>3663</v>
      </c>
      <c r="C4794" s="3" t="s">
        <v>4854</v>
      </c>
      <c r="D4794" s="3"/>
      <c r="E4794" s="2" t="str">
        <f>HYPERLINK("https://old.ukr-mobil.com/steklo_kamery_samsung_a505_galaxy_a50_s_ramkoj_black_10000863", "Перейти")</f>
        <v>Перейти</v>
      </c>
      <c r="F4794" s="2">
        <v>10000863</v>
      </c>
      <c r="G4794" s="4" t="s">
        <v>4942</v>
      </c>
      <c r="H4794" s="1">
        <v>0</v>
      </c>
      <c r="I4794" s="1">
        <v>0</v>
      </c>
      <c r="J4794" s="1">
        <v>0</v>
      </c>
      <c r="K4794" s="2">
        <v>1.0</v>
      </c>
    </row>
    <row r="4795" spans="1:12">
      <c r="A4795" s="3" t="s">
        <v>2194</v>
      </c>
      <c r="B4795" s="3" t="s">
        <v>3663</v>
      </c>
      <c r="C4795" s="3" t="s">
        <v>4854</v>
      </c>
      <c r="D4795" s="3"/>
      <c r="E4795" s="2" t="str">
        <f>HYPERLINK("https://old.ukr-mobil.com/steklo_kamery_samsung_a505_galaxy_a50_s_ramkoj_blue_10000865", "Перейти")</f>
        <v>Перейти</v>
      </c>
      <c r="F4795" s="2">
        <v>10000865</v>
      </c>
      <c r="G4795" s="4" t="s">
        <v>4943</v>
      </c>
      <c r="H4795" s="1">
        <v>0</v>
      </c>
      <c r="I4795" s="1">
        <v>0</v>
      </c>
      <c r="J4795" s="1">
        <v>0</v>
      </c>
      <c r="K4795" s="2">
        <v>1.0</v>
      </c>
    </row>
    <row r="4796" spans="1:12">
      <c r="A4796" s="3" t="s">
        <v>2194</v>
      </c>
      <c r="B4796" s="3" t="s">
        <v>3663</v>
      </c>
      <c r="C4796" s="3" t="s">
        <v>4854</v>
      </c>
      <c r="D4796" s="3"/>
      <c r="E4796" s="2" t="str">
        <f>HYPERLINK("https://old.ukr-mobil.com/steklo_kamery_samsung_a515_galaxy_a51_s_ramkoj_black_10002662", "Перейти")</f>
        <v>Перейти</v>
      </c>
      <c r="F4796" s="2">
        <v>10002662</v>
      </c>
      <c r="G4796" s="4" t="s">
        <v>4944</v>
      </c>
      <c r="H4796" s="1">
        <v>0</v>
      </c>
      <c r="I4796" s="1">
        <v>0</v>
      </c>
      <c r="J4796" s="1">
        <v>0</v>
      </c>
      <c r="K4796" s="2">
        <v>1.1</v>
      </c>
    </row>
    <row r="4797" spans="1:12">
      <c r="A4797" s="3" t="s">
        <v>2194</v>
      </c>
      <c r="B4797" s="3" t="s">
        <v>3663</v>
      </c>
      <c r="C4797" s="3" t="s">
        <v>4854</v>
      </c>
      <c r="D4797" s="3"/>
      <c r="E4797" s="2" t="str">
        <f>HYPERLINK("https://old.ukr-mobil.com/steklo_kamery_samsung_a525_galaxy_a52_a526_galaxy_a52_5g_a725_galaxy_a72_komplekt_3_2_sht_black_10002621", "Перейти")</f>
        <v>Перейти</v>
      </c>
      <c r="F4797" s="2">
        <v>10002621</v>
      </c>
      <c r="G4797" s="4" t="s">
        <v>4945</v>
      </c>
      <c r="H4797" s="1">
        <v>0</v>
      </c>
      <c r="I4797" s="1">
        <v>0</v>
      </c>
      <c r="J4797" s="1">
        <v>0</v>
      </c>
      <c r="K4797" s="2">
        <v>1.2</v>
      </c>
    </row>
    <row r="4798" spans="1:12">
      <c r="A4798" s="3" t="s">
        <v>2194</v>
      </c>
      <c r="B4798" s="3" t="s">
        <v>3663</v>
      </c>
      <c r="C4798" s="3" t="s">
        <v>4854</v>
      </c>
      <c r="D4798" s="3"/>
      <c r="E4798" s="2" t="str">
        <f>HYPERLINK("https://old.ukr-mobil.com/steklo_kamery_samsung_a530_galaxy_a8_2018_a730_galaxy_a8_plus_2018_s_ramkoj_black_10000925", "Перейти")</f>
        <v>Перейти</v>
      </c>
      <c r="F4798" s="2">
        <v>10000925</v>
      </c>
      <c r="G4798" s="4" t="s">
        <v>4946</v>
      </c>
      <c r="H4798" s="1">
        <v>19</v>
      </c>
      <c r="I4798" s="1">
        <v>5</v>
      </c>
      <c r="J4798" s="1">
        <v>3</v>
      </c>
      <c r="K4798" s="2">
        <v>1.2</v>
      </c>
    </row>
    <row r="4799" spans="1:12">
      <c r="A4799" s="3" t="s">
        <v>2194</v>
      </c>
      <c r="B4799" s="3" t="s">
        <v>3663</v>
      </c>
      <c r="C4799" s="3" t="s">
        <v>4854</v>
      </c>
      <c r="D4799" s="3"/>
      <c r="E4799" s="2" t="str">
        <f>HYPERLINK("https://old.ukr-mobil.com/steklo_kamery_samsung_a600_galaxy_a6_s_ramkoj_black_11603", "Перейти")</f>
        <v>Перейти</v>
      </c>
      <c r="F4799" s="2">
        <v>11603</v>
      </c>
      <c r="G4799" s="4" t="s">
        <v>4947</v>
      </c>
      <c r="H4799" s="1">
        <v>0</v>
      </c>
      <c r="I4799" s="1">
        <v>0</v>
      </c>
      <c r="J4799" s="1">
        <v>0</v>
      </c>
      <c r="K4799" s="2">
        <v>0.95</v>
      </c>
    </row>
    <row r="4800" spans="1:12">
      <c r="A4800" s="3" t="s">
        <v>2194</v>
      </c>
      <c r="B4800" s="3" t="s">
        <v>3663</v>
      </c>
      <c r="C4800" s="3" t="s">
        <v>4854</v>
      </c>
      <c r="D4800" s="3"/>
      <c r="E4800" s="2" t="str">
        <f>HYPERLINK("https://old.ukr-mobil.com/steklo_kamery_samsung_a605_galaxy_a6_plus_2018_black_11604", "Перейти")</f>
        <v>Перейти</v>
      </c>
      <c r="F4800" s="2">
        <v>11604</v>
      </c>
      <c r="G4800" s="4" t="s">
        <v>4948</v>
      </c>
      <c r="H4800" s="1">
        <v>0</v>
      </c>
      <c r="I4800" s="1">
        <v>0</v>
      </c>
      <c r="J4800" s="1">
        <v>0</v>
      </c>
      <c r="K4800" s="2">
        <v>1.0</v>
      </c>
    </row>
    <row r="4801" spans="1:12">
      <c r="A4801" s="3" t="s">
        <v>2194</v>
      </c>
      <c r="B4801" s="3" t="s">
        <v>3663</v>
      </c>
      <c r="C4801" s="3" t="s">
        <v>4854</v>
      </c>
      <c r="D4801" s="3"/>
      <c r="E4801" s="2" t="str">
        <f>HYPERLINK("https://old.ukr-mobil.com/steklo_kamery_samsung_a705_galaxy_a70_s_ramkoj_black_10000921", "Перейти")</f>
        <v>Перейти</v>
      </c>
      <c r="F4801" s="2">
        <v>10000921</v>
      </c>
      <c r="G4801" s="4" t="s">
        <v>4949</v>
      </c>
      <c r="H4801" s="1">
        <v>0</v>
      </c>
      <c r="I4801" s="1">
        <v>2</v>
      </c>
      <c r="J4801" s="1">
        <v>0</v>
      </c>
      <c r="K4801" s="2">
        <v>1.25</v>
      </c>
    </row>
    <row r="4802" spans="1:12">
      <c r="A4802" s="3" t="s">
        <v>2194</v>
      </c>
      <c r="B4802" s="3" t="s">
        <v>3663</v>
      </c>
      <c r="C4802" s="3" t="s">
        <v>4854</v>
      </c>
      <c r="D4802" s="3"/>
      <c r="E4802" s="2" t="str">
        <f>HYPERLINK("https://old.ukr-mobil.com/steklo_kamery_samsung_a705_galaxy_a70_s_ramkoj_blue_10000923", "Перейти")</f>
        <v>Перейти</v>
      </c>
      <c r="F4802" s="2">
        <v>10000923</v>
      </c>
      <c r="G4802" s="4" t="s">
        <v>4950</v>
      </c>
      <c r="H4802" s="1">
        <v>11</v>
      </c>
      <c r="I4802" s="1">
        <v>3</v>
      </c>
      <c r="J4802" s="1">
        <v>1</v>
      </c>
      <c r="K4802" s="2">
        <v>1.25</v>
      </c>
    </row>
    <row r="4803" spans="1:12">
      <c r="A4803" s="3" t="s">
        <v>2194</v>
      </c>
      <c r="B4803" s="3" t="s">
        <v>3663</v>
      </c>
      <c r="C4803" s="3" t="s">
        <v>4854</v>
      </c>
      <c r="D4803" s="3"/>
      <c r="E4803" s="2" t="str">
        <f>HYPERLINK("https://old.ukr-mobil.com/steklo_kamery_samsung_a705_galaxy_a70_s_ramkoj_silver_10000922", "Перейти")</f>
        <v>Перейти</v>
      </c>
      <c r="F4803" s="2">
        <v>10000922</v>
      </c>
      <c r="G4803" s="4" t="s">
        <v>4951</v>
      </c>
      <c r="H4803" s="1">
        <v>12</v>
      </c>
      <c r="I4803" s="1">
        <v>3</v>
      </c>
      <c r="J4803" s="1">
        <v>1</v>
      </c>
      <c r="K4803" s="2">
        <v>1.25</v>
      </c>
    </row>
    <row r="4804" spans="1:12">
      <c r="A4804" s="3" t="s">
        <v>2194</v>
      </c>
      <c r="B4804" s="3" t="s">
        <v>3663</v>
      </c>
      <c r="C4804" s="3" t="s">
        <v>4854</v>
      </c>
      <c r="D4804" s="3"/>
      <c r="E4804" s="2" t="str">
        <f>HYPERLINK("https://old.ukr-mobil.com/steklo_kamery_samsung_a750_galaxy_a7_2018_s_ramkoj_black_10000934", "Перейти")</f>
        <v>Перейти</v>
      </c>
      <c r="F4804" s="2">
        <v>10000934</v>
      </c>
      <c r="G4804" s="4" t="s">
        <v>4952</v>
      </c>
      <c r="H4804" s="1">
        <v>0</v>
      </c>
      <c r="I4804" s="1">
        <v>0</v>
      </c>
      <c r="J4804" s="1">
        <v>0</v>
      </c>
      <c r="K4804" s="2">
        <v>1.05</v>
      </c>
    </row>
    <row r="4805" spans="1:12">
      <c r="A4805" s="3" t="s">
        <v>2194</v>
      </c>
      <c r="B4805" s="3" t="s">
        <v>3663</v>
      </c>
      <c r="C4805" s="3" t="s">
        <v>4854</v>
      </c>
      <c r="D4805" s="3"/>
      <c r="E4805" s="2" t="str">
        <f>HYPERLINK("https://old.ukr-mobil.com/steklo_kamery_samsung_g780_galaxy_s20_fe_black_10002620", "Перейти")</f>
        <v>Перейти</v>
      </c>
      <c r="F4805" s="2">
        <v>10002620</v>
      </c>
      <c r="G4805" s="4" t="s">
        <v>4953</v>
      </c>
      <c r="H4805" s="1">
        <v>0</v>
      </c>
      <c r="I4805" s="1">
        <v>0</v>
      </c>
      <c r="J4805" s="1">
        <v>0</v>
      </c>
      <c r="K4805" s="2">
        <v>2.0</v>
      </c>
    </row>
    <row r="4806" spans="1:12">
      <c r="A4806" s="3" t="s">
        <v>2194</v>
      </c>
      <c r="B4806" s="3" t="s">
        <v>3663</v>
      </c>
      <c r="C4806" s="3" t="s">
        <v>4854</v>
      </c>
      <c r="D4806" s="3"/>
      <c r="E4806" s="2" t="str">
        <f>HYPERLINK("https://old.ukr-mobil.com/steklo_kamery_samsung_g960_galaxy_s9_s_ramkoj_black_11609", "Перейти")</f>
        <v>Перейти</v>
      </c>
      <c r="F4806" s="2">
        <v>11609</v>
      </c>
      <c r="G4806" s="4" t="s">
        <v>4954</v>
      </c>
      <c r="H4806" s="1">
        <v>21</v>
      </c>
      <c r="I4806" s="1">
        <v>2</v>
      </c>
      <c r="J4806" s="1">
        <v>3</v>
      </c>
      <c r="K4806" s="2">
        <v>1.2</v>
      </c>
    </row>
    <row r="4807" spans="1:12">
      <c r="A4807" s="3" t="s">
        <v>2194</v>
      </c>
      <c r="B4807" s="3" t="s">
        <v>3663</v>
      </c>
      <c r="C4807" s="3" t="s">
        <v>4854</v>
      </c>
      <c r="D4807" s="3"/>
      <c r="E4807" s="2" t="str">
        <f>HYPERLINK("https://old.ukr-mobil.com/steklo_kamery_samsung_g960_galaxy_s9_s_ramkoj_grey_10000860", "Перейти")</f>
        <v>Перейти</v>
      </c>
      <c r="F4807" s="2">
        <v>10000860</v>
      </c>
      <c r="G4807" s="4" t="s">
        <v>4955</v>
      </c>
      <c r="H4807" s="1">
        <v>13</v>
      </c>
      <c r="I4807" s="1">
        <v>3</v>
      </c>
      <c r="J4807" s="1">
        <v>2</v>
      </c>
      <c r="K4807" s="2">
        <v>1.2</v>
      </c>
    </row>
    <row r="4808" spans="1:12">
      <c r="A4808" s="3" t="s">
        <v>2194</v>
      </c>
      <c r="B4808" s="3" t="s">
        <v>3663</v>
      </c>
      <c r="C4808" s="3" t="s">
        <v>4854</v>
      </c>
      <c r="D4808" s="3"/>
      <c r="E4808" s="2" t="str">
        <f>HYPERLINK("https://old.ukr-mobil.com/steklo_kamery_samsung_g965_galaxy_s9_plus_s_ramkoj_black_10000861", "Перейти")</f>
        <v>Перейти</v>
      </c>
      <c r="F4808" s="2">
        <v>10000861</v>
      </c>
      <c r="G4808" s="4" t="s">
        <v>4956</v>
      </c>
      <c r="H4808" s="1">
        <v>12</v>
      </c>
      <c r="I4808" s="1">
        <v>1</v>
      </c>
      <c r="J4808" s="1">
        <v>1</v>
      </c>
      <c r="K4808" s="2">
        <v>1.2</v>
      </c>
    </row>
    <row r="4809" spans="1:12">
      <c r="A4809" s="3" t="s">
        <v>2194</v>
      </c>
      <c r="B4809" s="3" t="s">
        <v>3663</v>
      </c>
      <c r="C4809" s="3" t="s">
        <v>4854</v>
      </c>
      <c r="D4809" s="3"/>
      <c r="E4809" s="2" t="str">
        <f>HYPERLINK("https://old.ukr-mobil.com/steklo_kamery_samsung_g965_galaxy_s9_plus_s_ramkoj_blue_10000862", "Перейти")</f>
        <v>Перейти</v>
      </c>
      <c r="F4809" s="2">
        <v>10000862</v>
      </c>
      <c r="G4809" s="4" t="s">
        <v>4957</v>
      </c>
      <c r="H4809" s="1">
        <v>12</v>
      </c>
      <c r="I4809" s="1">
        <v>4</v>
      </c>
      <c r="J4809" s="1">
        <v>1</v>
      </c>
      <c r="K4809" s="2">
        <v>1.2</v>
      </c>
    </row>
    <row r="4810" spans="1:12">
      <c r="A4810" s="3" t="s">
        <v>2194</v>
      </c>
      <c r="B4810" s="3" t="s">
        <v>3663</v>
      </c>
      <c r="C4810" s="3" t="s">
        <v>4854</v>
      </c>
      <c r="D4810" s="3"/>
      <c r="E4810" s="2" t="str">
        <f>HYPERLINK("https://old.ukr-mobil.com/steklo_kamery_samsung_g973_galaxy_s10_s_ramkoj_black_10000858", "Перейти")</f>
        <v>Перейти</v>
      </c>
      <c r="F4810" s="2">
        <v>10000858</v>
      </c>
      <c r="G4810" s="4" t="s">
        <v>4958</v>
      </c>
      <c r="H4810" s="1">
        <v>8</v>
      </c>
      <c r="I4810" s="1">
        <v>3</v>
      </c>
      <c r="J4810" s="1">
        <v>0</v>
      </c>
      <c r="K4810" s="2">
        <v>1.4</v>
      </c>
    </row>
    <row r="4811" spans="1:12">
      <c r="A4811" s="3" t="s">
        <v>2194</v>
      </c>
      <c r="B4811" s="3" t="s">
        <v>3663</v>
      </c>
      <c r="C4811" s="3" t="s">
        <v>4854</v>
      </c>
      <c r="D4811" s="3"/>
      <c r="E4811" s="2" t="str">
        <f>HYPERLINK("https://old.ukr-mobil.com/steklo_kamery_samsung_g973_galaxy_s10_s_ramkoj_blue_10000859", "Перейти")</f>
        <v>Перейти</v>
      </c>
      <c r="F4811" s="2">
        <v>10000859</v>
      </c>
      <c r="G4811" s="4" t="s">
        <v>4959</v>
      </c>
      <c r="H4811" s="1">
        <v>8</v>
      </c>
      <c r="I4811" s="1">
        <v>4</v>
      </c>
      <c r="J4811" s="1">
        <v>1</v>
      </c>
      <c r="K4811" s="2">
        <v>1.4</v>
      </c>
    </row>
    <row r="4812" spans="1:12">
      <c r="A4812" s="3" t="s">
        <v>2194</v>
      </c>
      <c r="B4812" s="3" t="s">
        <v>3663</v>
      </c>
      <c r="C4812" s="3" t="s">
        <v>4854</v>
      </c>
      <c r="D4812" s="3"/>
      <c r="E4812" s="2" t="str">
        <f>HYPERLINK("https://old.ukr-mobil.com/steklo_kamery_samsung_g975_galaxy_s10_plus_s_ramkoj_black_10000930", "Перейти")</f>
        <v>Перейти</v>
      </c>
      <c r="F4812" s="2">
        <v>10000930</v>
      </c>
      <c r="G4812" s="4" t="s">
        <v>4960</v>
      </c>
      <c r="H4812" s="1">
        <v>0</v>
      </c>
      <c r="I4812" s="1">
        <v>0</v>
      </c>
      <c r="J4812" s="1">
        <v>0</v>
      </c>
      <c r="K4812" s="2">
        <v>1.45</v>
      </c>
    </row>
    <row r="4813" spans="1:12">
      <c r="A4813" s="3" t="s">
        <v>2194</v>
      </c>
      <c r="B4813" s="3" t="s">
        <v>3663</v>
      </c>
      <c r="C4813" s="3" t="s">
        <v>4854</v>
      </c>
      <c r="D4813" s="3"/>
      <c r="E4813" s="2" t="str">
        <f>HYPERLINK("https://old.ukr-mobil.com/steklo_kamery_samsung_g975_galaxy_s10_plus_s_ramkoj_blue_10000931", "Перейти")</f>
        <v>Перейти</v>
      </c>
      <c r="F4813" s="2">
        <v>10000931</v>
      </c>
      <c r="G4813" s="4" t="s">
        <v>4961</v>
      </c>
      <c r="H4813" s="1">
        <v>3</v>
      </c>
      <c r="I4813" s="1">
        <v>2</v>
      </c>
      <c r="J4813" s="1">
        <v>2</v>
      </c>
      <c r="K4813" s="2">
        <v>1.45</v>
      </c>
    </row>
    <row r="4814" spans="1:12">
      <c r="A4814" s="3" t="s">
        <v>2194</v>
      </c>
      <c r="B4814" s="3" t="s">
        <v>3663</v>
      </c>
      <c r="C4814" s="3" t="s">
        <v>4854</v>
      </c>
      <c r="D4814" s="3"/>
      <c r="E4814" s="2" t="str">
        <f>HYPERLINK("https://old.ukr-mobil.com/steklo_kamery_samsung_g980_galaxy_s20_black_10002619", "Перейти")</f>
        <v>Перейти</v>
      </c>
      <c r="F4814" s="2">
        <v>10002619</v>
      </c>
      <c r="G4814" s="4" t="s">
        <v>4962</v>
      </c>
      <c r="H4814" s="1">
        <v>2</v>
      </c>
      <c r="I4814" s="1">
        <v>2</v>
      </c>
      <c r="J4814" s="1">
        <v>2</v>
      </c>
      <c r="K4814" s="2">
        <v>1.35</v>
      </c>
    </row>
    <row r="4815" spans="1:12">
      <c r="A4815" s="3" t="s">
        <v>2194</v>
      </c>
      <c r="B4815" s="3" t="s">
        <v>3663</v>
      </c>
      <c r="C4815" s="3" t="s">
        <v>4854</v>
      </c>
      <c r="D4815" s="3"/>
      <c r="E4815" s="2" t="str">
        <f>HYPERLINK("https://old.ukr-mobil.com/steklo_kamery_samsung_g980_galaxy_s20_s_ramkoj_black_10000935", "Перейти")</f>
        <v>Перейти</v>
      </c>
      <c r="F4815" s="2">
        <v>10000935</v>
      </c>
      <c r="G4815" s="4" t="s">
        <v>4963</v>
      </c>
      <c r="H4815" s="1">
        <v>0</v>
      </c>
      <c r="I4815" s="1">
        <v>1</v>
      </c>
      <c r="J4815" s="1">
        <v>0</v>
      </c>
      <c r="K4815" s="2">
        <v>1.25</v>
      </c>
    </row>
    <row r="4816" spans="1:12">
      <c r="A4816" s="3" t="s">
        <v>2194</v>
      </c>
      <c r="B4816" s="3" t="s">
        <v>3663</v>
      </c>
      <c r="C4816" s="3" t="s">
        <v>4854</v>
      </c>
      <c r="D4816" s="3"/>
      <c r="E4816" s="2" t="str">
        <f>HYPERLINK("https://old.ukr-mobil.com/steklo_kamery_samsung_g985_galaxy_s20_plus_s_ramkoj_black_10000928", "Перейти")</f>
        <v>Перейти</v>
      </c>
      <c r="F4816" s="2">
        <v>10000928</v>
      </c>
      <c r="G4816" s="4" t="s">
        <v>4964</v>
      </c>
      <c r="H4816" s="1">
        <v>0</v>
      </c>
      <c r="I4816" s="1">
        <v>0</v>
      </c>
      <c r="J4816" s="1">
        <v>0</v>
      </c>
      <c r="K4816" s="2">
        <v>1.25</v>
      </c>
    </row>
    <row r="4817" spans="1:12">
      <c r="A4817" s="3" t="s">
        <v>2194</v>
      </c>
      <c r="B4817" s="3" t="s">
        <v>3663</v>
      </c>
      <c r="C4817" s="3" t="s">
        <v>4854</v>
      </c>
      <c r="D4817" s="3"/>
      <c r="E4817" s="2" t="str">
        <f>HYPERLINK("https://old.ukr-mobil.com/steklo_kamery_samsung_g988_galaxy_s20_ultra_black_10002618", "Перейти")</f>
        <v>Перейти</v>
      </c>
      <c r="F4817" s="2">
        <v>10002618</v>
      </c>
      <c r="G4817" s="4" t="s">
        <v>4965</v>
      </c>
      <c r="H4817" s="1">
        <v>0</v>
      </c>
      <c r="I4817" s="1">
        <v>0</v>
      </c>
      <c r="J4817" s="1">
        <v>0</v>
      </c>
      <c r="K4817" s="2">
        <v>1.25</v>
      </c>
    </row>
    <row r="4818" spans="1:12">
      <c r="A4818" s="3" t="s">
        <v>2194</v>
      </c>
      <c r="B4818" s="3" t="s">
        <v>3663</v>
      </c>
      <c r="C4818" s="3" t="s">
        <v>4854</v>
      </c>
      <c r="D4818" s="3"/>
      <c r="E4818" s="2" t="str">
        <f>HYPERLINK("https://old.ukr-mobil.com/steklo_kamery_samsung_g991_galaxy_s21_komplekt_3_sht_black_10002617", "Перейти")</f>
        <v>Перейти</v>
      </c>
      <c r="F4818" s="2">
        <v>10002617</v>
      </c>
      <c r="G4818" s="4" t="s">
        <v>4966</v>
      </c>
      <c r="H4818" s="1">
        <v>6</v>
      </c>
      <c r="I4818" s="1">
        <v>0</v>
      </c>
      <c r="J4818" s="1">
        <v>0</v>
      </c>
      <c r="K4818" s="2">
        <v>1.35</v>
      </c>
    </row>
    <row r="4819" spans="1:12">
      <c r="A4819" s="3" t="s">
        <v>2194</v>
      </c>
      <c r="B4819" s="3" t="s">
        <v>3663</v>
      </c>
      <c r="C4819" s="3" t="s">
        <v>4854</v>
      </c>
      <c r="D4819" s="3"/>
      <c r="E4819" s="2" t="str">
        <f>HYPERLINK("https://old.ukr-mobil.com/steklo_kamery_samsung_g998_galaxy_s21_ultra_komplekt_3_1_1_sht_black_10002616", "Перейти")</f>
        <v>Перейти</v>
      </c>
      <c r="F4819" s="2">
        <v>10002616</v>
      </c>
      <c r="G4819" s="4" t="s">
        <v>4967</v>
      </c>
      <c r="H4819" s="1">
        <v>0</v>
      </c>
      <c r="I4819" s="1">
        <v>0</v>
      </c>
      <c r="J4819" s="1">
        <v>0</v>
      </c>
      <c r="K4819" s="2">
        <v>1.5</v>
      </c>
    </row>
    <row r="4820" spans="1:12">
      <c r="A4820" s="3" t="s">
        <v>2194</v>
      </c>
      <c r="B4820" s="3" t="s">
        <v>3663</v>
      </c>
      <c r="C4820" s="3" t="s">
        <v>4854</v>
      </c>
      <c r="D4820" s="3"/>
      <c r="E4820" s="2" t="str">
        <f>HYPERLINK("https://old.ukr-mobil.com/steklo_kamery_samsung_i9500_galaxy_s4_8911", "Перейти")</f>
        <v>Перейти</v>
      </c>
      <c r="F4820" s="2">
        <v>8911</v>
      </c>
      <c r="G4820" s="4" t="s">
        <v>4968</v>
      </c>
      <c r="H4820" s="1">
        <v>11</v>
      </c>
      <c r="I4820" s="1">
        <v>0</v>
      </c>
      <c r="J4820" s="1">
        <v>0</v>
      </c>
      <c r="K4820" s="2">
        <v>0.86</v>
      </c>
    </row>
    <row r="4821" spans="1:12">
      <c r="A4821" s="3" t="s">
        <v>2194</v>
      </c>
      <c r="B4821" s="3" t="s">
        <v>3663</v>
      </c>
      <c r="C4821" s="3" t="s">
        <v>4854</v>
      </c>
      <c r="D4821" s="3"/>
      <c r="E4821" s="2" t="str">
        <f>HYPERLINK("https://old.ukr-mobil.com/steklo_kamery_samsung_j250_galaxy_j2_2018_black_11605", "Перейти")</f>
        <v>Перейти</v>
      </c>
      <c r="F4821" s="2">
        <v>11605</v>
      </c>
      <c r="G4821" s="4" t="s">
        <v>4969</v>
      </c>
      <c r="H4821" s="1">
        <v>0</v>
      </c>
      <c r="I4821" s="1">
        <v>0</v>
      </c>
      <c r="J4821" s="1">
        <v>0</v>
      </c>
      <c r="K4821" s="2">
        <v>0.91</v>
      </c>
    </row>
    <row r="4822" spans="1:12">
      <c r="A4822" s="3" t="s">
        <v>2194</v>
      </c>
      <c r="B4822" s="3" t="s">
        <v>3663</v>
      </c>
      <c r="C4822" s="3" t="s">
        <v>4854</v>
      </c>
      <c r="D4822" s="3"/>
      <c r="E4822" s="2" t="str">
        <f>HYPERLINK("https://old.ukr-mobil.com/steklo_kamery_samsung_j250_galaxy_j2_2018_gold_11606", "Перейти")</f>
        <v>Перейти</v>
      </c>
      <c r="F4822" s="2">
        <v>11606</v>
      </c>
      <c r="G4822" s="4" t="s">
        <v>4970</v>
      </c>
      <c r="H4822" s="1">
        <v>0</v>
      </c>
      <c r="I4822" s="1">
        <v>0</v>
      </c>
      <c r="J4822" s="1">
        <v>0</v>
      </c>
      <c r="K4822" s="2">
        <v>0.91</v>
      </c>
    </row>
    <row r="4823" spans="1:12">
      <c r="A4823" s="3" t="s">
        <v>2194</v>
      </c>
      <c r="B4823" s="3" t="s">
        <v>3663</v>
      </c>
      <c r="C4823" s="3" t="s">
        <v>4854</v>
      </c>
      <c r="D4823" s="3"/>
      <c r="E4823" s="2" t="str">
        <f>HYPERLINK("https://old.ukr-mobil.com/steklo_kamery_samsung_j250_galaxy_j2_2018_pink_11607", "Перейти")</f>
        <v>Перейти</v>
      </c>
      <c r="F4823" s="2">
        <v>11607</v>
      </c>
      <c r="G4823" s="4" t="s">
        <v>4971</v>
      </c>
      <c r="H4823" s="1">
        <v>10</v>
      </c>
      <c r="I4823" s="1">
        <v>0</v>
      </c>
      <c r="J4823" s="1">
        <v>1</v>
      </c>
      <c r="K4823" s="2">
        <v>0.91</v>
      </c>
    </row>
    <row r="4824" spans="1:12">
      <c r="A4824" s="3" t="s">
        <v>2194</v>
      </c>
      <c r="B4824" s="3" t="s">
        <v>3663</v>
      </c>
      <c r="C4824" s="3" t="s">
        <v>4854</v>
      </c>
      <c r="D4824" s="3"/>
      <c r="E4824" s="2" t="str">
        <f>HYPERLINK("https://old.ukr-mobil.com/steklo_kamery_samsung_j250_galaxy_j2_2018_silver_11608", "Перейти")</f>
        <v>Перейти</v>
      </c>
      <c r="F4824" s="2">
        <v>11608</v>
      </c>
      <c r="G4824" s="4" t="s">
        <v>4972</v>
      </c>
      <c r="H4824" s="1">
        <v>15</v>
      </c>
      <c r="I4824" s="1">
        <v>0</v>
      </c>
      <c r="J4824" s="1">
        <v>2</v>
      </c>
      <c r="K4824" s="2">
        <v>0.91</v>
      </c>
    </row>
    <row r="4825" spans="1:12">
      <c r="A4825" s="3" t="s">
        <v>2194</v>
      </c>
      <c r="B4825" s="3" t="s">
        <v>3663</v>
      </c>
      <c r="C4825" s="3" t="s">
        <v>4854</v>
      </c>
      <c r="D4825" s="3"/>
      <c r="E4825" s="2" t="str">
        <f>HYPERLINK("https://old.ukr-mobil.com/steklo_kamery_samsung_j400_galaxy_j4_2018_black_11601", "Перейти")</f>
        <v>Перейти</v>
      </c>
      <c r="F4825" s="2">
        <v>11601</v>
      </c>
      <c r="G4825" s="4" t="s">
        <v>4973</v>
      </c>
      <c r="H4825" s="1">
        <v>2</v>
      </c>
      <c r="I4825" s="1">
        <v>0</v>
      </c>
      <c r="J4825" s="1">
        <v>0</v>
      </c>
      <c r="K4825" s="2">
        <v>1.16</v>
      </c>
    </row>
    <row r="4826" spans="1:12">
      <c r="A4826" s="3" t="s">
        <v>2194</v>
      </c>
      <c r="B4826" s="3" t="s">
        <v>3663</v>
      </c>
      <c r="C4826" s="3" t="s">
        <v>4854</v>
      </c>
      <c r="D4826" s="3"/>
      <c r="E4826" s="2" t="str">
        <f>HYPERLINK("https://old.ukr-mobil.com/steklo_kamery_samsung_j415_galaxy_j4_plus_2018_black_11602", "Перейти")</f>
        <v>Перейти</v>
      </c>
      <c r="F4826" s="2">
        <v>11602</v>
      </c>
      <c r="G4826" s="4" t="s">
        <v>4974</v>
      </c>
      <c r="H4826" s="1">
        <v>1</v>
      </c>
      <c r="I4826" s="1">
        <v>0</v>
      </c>
      <c r="J4826" s="1">
        <v>0</v>
      </c>
      <c r="K4826" s="2">
        <v>1.16</v>
      </c>
    </row>
    <row r="4827" spans="1:12">
      <c r="A4827" s="3" t="s">
        <v>2194</v>
      </c>
      <c r="B4827" s="3" t="s">
        <v>3663</v>
      </c>
      <c r="C4827" s="3" t="s">
        <v>4854</v>
      </c>
      <c r="D4827" s="3"/>
      <c r="E4827" s="2" t="str">
        <f>HYPERLINK("https://old.ukr-mobil.com/steklo_kamery_samsung_j510_galaxy_j5_2016_black_10263", "Перейти")</f>
        <v>Перейти</v>
      </c>
      <c r="F4827" s="2">
        <v>10263</v>
      </c>
      <c r="G4827" s="4" t="s">
        <v>4975</v>
      </c>
      <c r="H4827" s="1">
        <v>0</v>
      </c>
      <c r="I4827" s="1">
        <v>0</v>
      </c>
      <c r="J4827" s="1">
        <v>0</v>
      </c>
      <c r="K4827" s="2">
        <v>0.66</v>
      </c>
    </row>
    <row r="4828" spans="1:12">
      <c r="A4828" s="3" t="s">
        <v>2194</v>
      </c>
      <c r="B4828" s="3" t="s">
        <v>3663</v>
      </c>
      <c r="C4828" s="3" t="s">
        <v>4854</v>
      </c>
      <c r="D4828" s="3"/>
      <c r="E4828" s="2" t="str">
        <f>HYPERLINK("https://old.ukr-mobil.com/steklo_kamery_samsung_j510_galaxy_j5_2016_gold_10264", "Перейти")</f>
        <v>Перейти</v>
      </c>
      <c r="F4828" s="2">
        <v>10264</v>
      </c>
      <c r="G4828" s="4" t="s">
        <v>4976</v>
      </c>
      <c r="H4828" s="1">
        <v>0</v>
      </c>
      <c r="I4828" s="1">
        <v>0</v>
      </c>
      <c r="J4828" s="1">
        <v>0</v>
      </c>
      <c r="K4828" s="2">
        <v>0.66</v>
      </c>
    </row>
    <row r="4829" spans="1:12">
      <c r="A4829" s="3" t="s">
        <v>2194</v>
      </c>
      <c r="B4829" s="3" t="s">
        <v>3663</v>
      </c>
      <c r="C4829" s="3" t="s">
        <v>4854</v>
      </c>
      <c r="D4829" s="3"/>
      <c r="E4829" s="2" t="str">
        <f>HYPERLINK("https://old.ukr-mobil.com/steklo_kamery_samsung_j510_galaxy_j5_2016_white_10265", "Перейти")</f>
        <v>Перейти</v>
      </c>
      <c r="F4829" s="2">
        <v>10265</v>
      </c>
      <c r="G4829" s="4" t="s">
        <v>4977</v>
      </c>
      <c r="H4829" s="1">
        <v>0</v>
      </c>
      <c r="I4829" s="1">
        <v>0</v>
      </c>
      <c r="J4829" s="1">
        <v>0</v>
      </c>
      <c r="K4829" s="2">
        <v>0.66</v>
      </c>
    </row>
    <row r="4830" spans="1:12">
      <c r="A4830" s="3" t="s">
        <v>2194</v>
      </c>
      <c r="B4830" s="3" t="s">
        <v>3663</v>
      </c>
      <c r="C4830" s="3" t="s">
        <v>4854</v>
      </c>
      <c r="D4830" s="3"/>
      <c r="E4830" s="2" t="str">
        <f>HYPERLINK("https://old.ukr-mobil.com/steklo_kamery_samsung_j530_galaxy_j5_2017_j730_galaxy_j7_2017_j330_galaxy_j3_2017_black_11597", "Перейти")</f>
        <v>Перейти</v>
      </c>
      <c r="F4830" s="2">
        <v>11597</v>
      </c>
      <c r="G4830" s="4" t="s">
        <v>4978</v>
      </c>
      <c r="H4830" s="1">
        <v>27</v>
      </c>
      <c r="I4830" s="1">
        <v>4</v>
      </c>
      <c r="J4830" s="1">
        <v>3</v>
      </c>
      <c r="K4830" s="2">
        <v>0.5</v>
      </c>
    </row>
    <row r="4831" spans="1:12">
      <c r="A4831" s="3" t="s">
        <v>2194</v>
      </c>
      <c r="B4831" s="3" t="s">
        <v>3663</v>
      </c>
      <c r="C4831" s="3" t="s">
        <v>4854</v>
      </c>
      <c r="D4831" s="3"/>
      <c r="E4831" s="2" t="str">
        <f>HYPERLINK("https://old.ukr-mobil.com/steklo_kamery_samsung_j600_galaxy_j6_2018_black_11599", "Перейти")</f>
        <v>Перейти</v>
      </c>
      <c r="F4831" s="2">
        <v>11599</v>
      </c>
      <c r="G4831" s="4" t="s">
        <v>4979</v>
      </c>
      <c r="H4831" s="1">
        <v>1</v>
      </c>
      <c r="I4831" s="1">
        <v>0</v>
      </c>
      <c r="J4831" s="1">
        <v>0</v>
      </c>
      <c r="K4831" s="2">
        <v>1.16</v>
      </c>
    </row>
    <row r="4832" spans="1:12">
      <c r="A4832" s="3" t="s">
        <v>2194</v>
      </c>
      <c r="B4832" s="3" t="s">
        <v>3663</v>
      </c>
      <c r="C4832" s="3" t="s">
        <v>4854</v>
      </c>
      <c r="D4832" s="3"/>
      <c r="E4832" s="2" t="str">
        <f>HYPERLINK("https://old.ukr-mobil.com/steklo_kamery_samsung_j610_galaxy_j6_plus_2018_s_ramkoj_black_11600", "Перейти")</f>
        <v>Перейти</v>
      </c>
      <c r="F4832" s="2">
        <v>11600</v>
      </c>
      <c r="G4832" s="4" t="s">
        <v>4980</v>
      </c>
      <c r="H4832" s="1">
        <v>0</v>
      </c>
      <c r="I4832" s="1">
        <v>0</v>
      </c>
      <c r="J4832" s="1">
        <v>0</v>
      </c>
      <c r="K4832" s="2">
        <v>0.85</v>
      </c>
    </row>
    <row r="4833" spans="1:12">
      <c r="A4833" s="3" t="s">
        <v>2194</v>
      </c>
      <c r="B4833" s="3" t="s">
        <v>3663</v>
      </c>
      <c r="C4833" s="3" t="s">
        <v>4854</v>
      </c>
      <c r="D4833" s="3"/>
      <c r="E4833" s="2" t="str">
        <f>HYPERLINK("https://old.ukr-mobil.com/steklo_kamery_samsung_m105_galaxy_m10_m205_galaxy_m20_s_ramkoj_black_10000932", "Перейти")</f>
        <v>Перейти</v>
      </c>
      <c r="F4833" s="2">
        <v>10000932</v>
      </c>
      <c r="G4833" s="4" t="s">
        <v>4981</v>
      </c>
      <c r="H4833" s="1">
        <v>44</v>
      </c>
      <c r="I4833" s="1">
        <v>5</v>
      </c>
      <c r="J4833" s="1">
        <v>2</v>
      </c>
      <c r="K4833" s="2">
        <v>1.5</v>
      </c>
    </row>
    <row r="4834" spans="1:12">
      <c r="A4834" s="3" t="s">
        <v>2194</v>
      </c>
      <c r="B4834" s="3" t="s">
        <v>3663</v>
      </c>
      <c r="C4834" s="3" t="s">
        <v>4854</v>
      </c>
      <c r="D4834" s="3"/>
      <c r="E4834" s="2" t="str">
        <f>HYPERLINK("https://old.ukr-mobil.com/steklo_kamery_samsung_m305_galaxy_m30_s_ramkoj_black_10000933", "Перейти")</f>
        <v>Перейти</v>
      </c>
      <c r="F4834" s="2">
        <v>10000933</v>
      </c>
      <c r="G4834" s="4" t="s">
        <v>4982</v>
      </c>
      <c r="H4834" s="1">
        <v>20</v>
      </c>
      <c r="I4834" s="1">
        <v>5</v>
      </c>
      <c r="J4834" s="1">
        <v>3</v>
      </c>
      <c r="K4834" s="2">
        <v>1.25</v>
      </c>
    </row>
    <row r="4835" spans="1:12">
      <c r="A4835" s="3" t="s">
        <v>2194</v>
      </c>
      <c r="B4835" s="3" t="s">
        <v>3663</v>
      </c>
      <c r="C4835" s="3" t="s">
        <v>4854</v>
      </c>
      <c r="D4835" s="3"/>
      <c r="E4835" s="2" t="str">
        <f>HYPERLINK("https://old.ukr-mobil.com/steklo_kamery_samsung_n950_galaxy_note_8_black_11610", "Перейти")</f>
        <v>Перейти</v>
      </c>
      <c r="F4835" s="2">
        <v>11610</v>
      </c>
      <c r="G4835" s="4" t="s">
        <v>4983</v>
      </c>
      <c r="H4835" s="1">
        <v>0</v>
      </c>
      <c r="I4835" s="1">
        <v>0</v>
      </c>
      <c r="J4835" s="1">
        <v>0</v>
      </c>
      <c r="K4835" s="2">
        <v>1.51</v>
      </c>
    </row>
    <row r="4836" spans="1:12">
      <c r="A4836" s="3" t="s">
        <v>2194</v>
      </c>
      <c r="B4836" s="3" t="s">
        <v>3663</v>
      </c>
      <c r="C4836" s="3" t="s">
        <v>4854</v>
      </c>
      <c r="D4836" s="3"/>
      <c r="E4836" s="2" t="str">
        <f>HYPERLINK("https://old.ukr-mobil.com/steklo_kamery_samsung_n960_galaxy_note_9_s_ramkoj_black_10000926", "Перейти")</f>
        <v>Перейти</v>
      </c>
      <c r="F4836" s="2">
        <v>10000926</v>
      </c>
      <c r="G4836" s="4" t="s">
        <v>4984</v>
      </c>
      <c r="H4836" s="1">
        <v>8</v>
      </c>
      <c r="I4836" s="1">
        <v>3</v>
      </c>
      <c r="J4836" s="1">
        <v>0</v>
      </c>
      <c r="K4836" s="2">
        <v>1.25</v>
      </c>
    </row>
    <row r="4837" spans="1:12">
      <c r="A4837" s="3" t="s">
        <v>2194</v>
      </c>
      <c r="B4837" s="3" t="s">
        <v>3663</v>
      </c>
      <c r="C4837" s="3" t="s">
        <v>4854</v>
      </c>
      <c r="D4837" s="3"/>
      <c r="E4837" s="2" t="str">
        <f>HYPERLINK("https://old.ukr-mobil.com/steklo_kamery_samsung_n970_galaxy_note_10_s_ramkoj_black_10000927", "Перейти")</f>
        <v>Перейти</v>
      </c>
      <c r="F4837" s="2">
        <v>10000927</v>
      </c>
      <c r="G4837" s="4" t="s">
        <v>4985</v>
      </c>
      <c r="H4837" s="1">
        <v>3</v>
      </c>
      <c r="I4837" s="1">
        <v>2</v>
      </c>
      <c r="J4837" s="1">
        <v>0</v>
      </c>
      <c r="K4837" s="2">
        <v>1.85</v>
      </c>
    </row>
    <row r="4838" spans="1:12">
      <c r="A4838" s="3" t="s">
        <v>2194</v>
      </c>
      <c r="B4838" s="3" t="s">
        <v>3663</v>
      </c>
      <c r="C4838" s="3" t="s">
        <v>4854</v>
      </c>
      <c r="D4838" s="3"/>
      <c r="E4838" s="2" t="str">
        <f>HYPERLINK("https://old.ukr-mobil.com/steklo_kamery_samsung_n975_galaxy_note_10_plus_s_ramkoj_black_10000929", "Перейти")</f>
        <v>Перейти</v>
      </c>
      <c r="F4838" s="2">
        <v>10000929</v>
      </c>
      <c r="G4838" s="4" t="s">
        <v>4986</v>
      </c>
      <c r="H4838" s="1">
        <v>0</v>
      </c>
      <c r="I4838" s="1">
        <v>0</v>
      </c>
      <c r="J4838" s="1">
        <v>0</v>
      </c>
      <c r="K4838" s="2">
        <v>1.5</v>
      </c>
    </row>
    <row r="4839" spans="1:12">
      <c r="A4839" s="3" t="s">
        <v>2194</v>
      </c>
      <c r="B4839" s="3" t="s">
        <v>3663</v>
      </c>
      <c r="C4839" s="3" t="s">
        <v>4854</v>
      </c>
      <c r="D4839" s="3"/>
      <c r="E4839" s="2" t="str">
        <f>HYPERLINK("https://old.ukr-mobil.com/index.php?route=product&amp;product_id=10004860", "Перейти")</f>
        <v>Перейти</v>
      </c>
      <c r="F4839" s="2">
        <v>10004860</v>
      </c>
      <c r="G4839" s="4" t="s">
        <v>4987</v>
      </c>
      <c r="H4839" s="1">
        <v>0</v>
      </c>
      <c r="I4839" s="1">
        <v>0</v>
      </c>
      <c r="J4839" s="1">
        <v>0</v>
      </c>
      <c r="K4839" s="2">
        <v>1.1</v>
      </c>
    </row>
    <row r="4840" spans="1:12">
      <c r="A4840" s="3" t="s">
        <v>2194</v>
      </c>
      <c r="B4840" s="3" t="s">
        <v>3663</v>
      </c>
      <c r="C4840" s="3" t="s">
        <v>4854</v>
      </c>
      <c r="D4840" s="3"/>
      <c r="E4840" s="2" t="str">
        <f>HYPERLINK("https://old.ukr-mobil.com/index.php?route=product&amp;product_id=10004859", "Перейти")</f>
        <v>Перейти</v>
      </c>
      <c r="F4840" s="2">
        <v>10004859</v>
      </c>
      <c r="G4840" s="4" t="s">
        <v>4988</v>
      </c>
      <c r="H4840" s="1">
        <v>0</v>
      </c>
      <c r="I4840" s="1">
        <v>0</v>
      </c>
      <c r="J4840" s="1">
        <v>0</v>
      </c>
      <c r="K4840" s="2">
        <v>0.85</v>
      </c>
    </row>
    <row r="4841" spans="1:12">
      <c r="A4841" s="3" t="s">
        <v>2194</v>
      </c>
      <c r="B4841" s="3" t="s">
        <v>3663</v>
      </c>
      <c r="C4841" s="3" t="s">
        <v>4854</v>
      </c>
      <c r="D4841" s="3"/>
      <c r="E4841" s="2" t="str">
        <f>HYPERLINK("https://old.ukr-mobil.com/index.php?route=product&amp;product_id=10004861", "Перейти")</f>
        <v>Перейти</v>
      </c>
      <c r="F4841" s="2">
        <v>10004861</v>
      </c>
      <c r="G4841" s="4" t="s">
        <v>4989</v>
      </c>
      <c r="H4841" s="1">
        <v>0</v>
      </c>
      <c r="I4841" s="1">
        <v>0</v>
      </c>
      <c r="J4841" s="1">
        <v>1</v>
      </c>
      <c r="K4841" s="2">
        <v>1.1</v>
      </c>
    </row>
    <row r="4842" spans="1:12">
      <c r="A4842" s="3" t="s">
        <v>2194</v>
      </c>
      <c r="B4842" s="3" t="s">
        <v>3663</v>
      </c>
      <c r="C4842" s="3" t="s">
        <v>4854</v>
      </c>
      <c r="D4842" s="3"/>
      <c r="E4842" s="2" t="str">
        <f>HYPERLINK("https://old.ukr-mobil.com/index.php?route=product&amp;product_id=10004858", "Перейти")</f>
        <v>Перейти</v>
      </c>
      <c r="F4842" s="2">
        <v>10004858</v>
      </c>
      <c r="G4842" s="4" t="s">
        <v>4990</v>
      </c>
      <c r="H4842" s="1">
        <v>0</v>
      </c>
      <c r="I4842" s="1">
        <v>0</v>
      </c>
      <c r="J4842" s="1">
        <v>0</v>
      </c>
      <c r="K4842" s="2">
        <v>0.85</v>
      </c>
    </row>
    <row r="4843" spans="1:12">
      <c r="A4843" s="3" t="s">
        <v>2194</v>
      </c>
      <c r="B4843" s="3" t="s">
        <v>3663</v>
      </c>
      <c r="C4843" s="3" t="s">
        <v>4854</v>
      </c>
      <c r="D4843" s="3"/>
      <c r="E4843" s="2" t="str">
        <f>HYPERLINK("https://old.ukr-mobil.com/steklo_kamery_xiaomi_11t_11t_pro_black_10003214", "Перейти")</f>
        <v>Перейти</v>
      </c>
      <c r="F4843" s="2">
        <v>10003214</v>
      </c>
      <c r="G4843" s="4" t="s">
        <v>4991</v>
      </c>
      <c r="H4843" s="1">
        <v>3</v>
      </c>
      <c r="I4843" s="1">
        <v>0</v>
      </c>
      <c r="J4843" s="1">
        <v>0</v>
      </c>
      <c r="K4843" s="2">
        <v>1.15</v>
      </c>
    </row>
    <row r="4844" spans="1:12">
      <c r="A4844" s="3" t="s">
        <v>2194</v>
      </c>
      <c r="B4844" s="3" t="s">
        <v>3663</v>
      </c>
      <c r="C4844" s="3" t="s">
        <v>4854</v>
      </c>
      <c r="D4844" s="3"/>
      <c r="E4844" s="2" t="str">
        <f>HYPERLINK("https://old.ukr-mobil.com/steklo_kamery_xiaomi_mi_10_pro_black_10000963", "Перейти")</f>
        <v>Перейти</v>
      </c>
      <c r="F4844" s="2">
        <v>10000963</v>
      </c>
      <c r="G4844" s="4" t="s">
        <v>4992</v>
      </c>
      <c r="H4844" s="1">
        <v>0</v>
      </c>
      <c r="I4844" s="1">
        <v>4</v>
      </c>
      <c r="J4844" s="1">
        <v>0</v>
      </c>
      <c r="K4844" s="2">
        <v>1.5</v>
      </c>
    </row>
    <row r="4845" spans="1:12">
      <c r="A4845" s="3" t="s">
        <v>2194</v>
      </c>
      <c r="B4845" s="3" t="s">
        <v>3663</v>
      </c>
      <c r="C4845" s="3" t="s">
        <v>4854</v>
      </c>
      <c r="D4845" s="3"/>
      <c r="E4845" s="2" t="str">
        <f>HYPERLINK("https://old.ukr-mobil.com/steklo_kamery_xiaomi_mi_10_s_ramkoj_black_10000954", "Перейти")</f>
        <v>Перейти</v>
      </c>
      <c r="F4845" s="2">
        <v>10000954</v>
      </c>
      <c r="G4845" s="4" t="s">
        <v>4993</v>
      </c>
      <c r="H4845" s="1">
        <v>0</v>
      </c>
      <c r="I4845" s="1">
        <v>0</v>
      </c>
      <c r="J4845" s="1">
        <v>0</v>
      </c>
      <c r="K4845" s="2">
        <v>3.5</v>
      </c>
    </row>
    <row r="4846" spans="1:12">
      <c r="A4846" s="3" t="s">
        <v>2194</v>
      </c>
      <c r="B4846" s="3" t="s">
        <v>3663</v>
      </c>
      <c r="C4846" s="3" t="s">
        <v>4854</v>
      </c>
      <c r="D4846" s="3"/>
      <c r="E4846" s="2" t="str">
        <f>HYPERLINK("https://old.ukr-mobil.com/steklo_kamery_xiaomi_mi_11i_black_10003222", "Перейти")</f>
        <v>Перейти</v>
      </c>
      <c r="F4846" s="2">
        <v>10003222</v>
      </c>
      <c r="G4846" s="4" t="s">
        <v>4994</v>
      </c>
      <c r="H4846" s="1">
        <v>0</v>
      </c>
      <c r="I4846" s="1">
        <v>0</v>
      </c>
      <c r="J4846" s="1">
        <v>0</v>
      </c>
      <c r="K4846" s="2">
        <v>1.2</v>
      </c>
    </row>
    <row r="4847" spans="1:12">
      <c r="A4847" s="3" t="s">
        <v>2194</v>
      </c>
      <c r="B4847" s="3" t="s">
        <v>3663</v>
      </c>
      <c r="C4847" s="3" t="s">
        <v>4854</v>
      </c>
      <c r="D4847" s="3"/>
      <c r="E4847" s="2" t="str">
        <f>HYPERLINK("https://old.ukr-mobil.com/steklo_kamery_xiaomi_mi_8_lite_s_ramkoj_black_10000951", "Перейти")</f>
        <v>Перейти</v>
      </c>
      <c r="F4847" s="2">
        <v>10000951</v>
      </c>
      <c r="G4847" s="4" t="s">
        <v>4995</v>
      </c>
      <c r="H4847" s="1">
        <v>0</v>
      </c>
      <c r="I4847" s="1">
        <v>0</v>
      </c>
      <c r="J4847" s="1">
        <v>0</v>
      </c>
      <c r="K4847" s="2">
        <v>1.0</v>
      </c>
    </row>
    <row r="4848" spans="1:12">
      <c r="A4848" s="3" t="s">
        <v>2194</v>
      </c>
      <c r="B4848" s="3" t="s">
        <v>3663</v>
      </c>
      <c r="C4848" s="3" t="s">
        <v>4854</v>
      </c>
      <c r="D4848" s="3"/>
      <c r="E4848" s="2" t="str">
        <f>HYPERLINK("https://old.ukr-mobil.com/steklo_kamery_xiaomi_mi_8_pro_black_10000956", "Перейти")</f>
        <v>Перейти</v>
      </c>
      <c r="F4848" s="2">
        <v>10000956</v>
      </c>
      <c r="G4848" s="4" t="s">
        <v>4996</v>
      </c>
      <c r="H4848" s="1">
        <v>6</v>
      </c>
      <c r="I4848" s="1">
        <v>0</v>
      </c>
      <c r="J4848" s="1">
        <v>2</v>
      </c>
      <c r="K4848" s="2">
        <v>1.0</v>
      </c>
    </row>
    <row r="4849" spans="1:12">
      <c r="A4849" s="3" t="s">
        <v>2194</v>
      </c>
      <c r="B4849" s="3" t="s">
        <v>3663</v>
      </c>
      <c r="C4849" s="3" t="s">
        <v>4854</v>
      </c>
      <c r="D4849" s="3"/>
      <c r="E4849" s="2" t="str">
        <f>HYPERLINK("https://old.ukr-mobil.com/steklo_kamery_xiaomi_mi_8_black_10000938", "Перейти")</f>
        <v>Перейти</v>
      </c>
      <c r="F4849" s="2">
        <v>10000938</v>
      </c>
      <c r="G4849" s="4" t="s">
        <v>4997</v>
      </c>
      <c r="H4849" s="1">
        <v>18</v>
      </c>
      <c r="I4849" s="1">
        <v>9</v>
      </c>
      <c r="J4849" s="1">
        <v>0</v>
      </c>
      <c r="K4849" s="2">
        <v>0.75</v>
      </c>
    </row>
    <row r="4850" spans="1:12">
      <c r="A4850" s="3" t="s">
        <v>2194</v>
      </c>
      <c r="B4850" s="3" t="s">
        <v>3663</v>
      </c>
      <c r="C4850" s="3" t="s">
        <v>4854</v>
      </c>
      <c r="D4850" s="3"/>
      <c r="E4850" s="2" t="str">
        <f>HYPERLINK("https://old.ukr-mobil.com/steklo_kamery_xiaomi_mi_9_lite_black_10000945", "Перейти")</f>
        <v>Перейти</v>
      </c>
      <c r="F4850" s="2">
        <v>10000945</v>
      </c>
      <c r="G4850" s="4" t="s">
        <v>4998</v>
      </c>
      <c r="H4850" s="1">
        <v>0</v>
      </c>
      <c r="I4850" s="1">
        <v>0</v>
      </c>
      <c r="J4850" s="1">
        <v>0</v>
      </c>
      <c r="K4850" s="2">
        <v>1.15</v>
      </c>
    </row>
    <row r="4851" spans="1:12">
      <c r="A4851" s="3" t="s">
        <v>2194</v>
      </c>
      <c r="B4851" s="3" t="s">
        <v>3663</v>
      </c>
      <c r="C4851" s="3" t="s">
        <v>4854</v>
      </c>
      <c r="D4851" s="3"/>
      <c r="E4851" s="2" t="str">
        <f>HYPERLINK("https://old.ukr-mobil.com/steklo_kamery_xiaomi_mi_9_mi_9_se_s_ramkoj_black_10000959", "Перейти")</f>
        <v>Перейти</v>
      </c>
      <c r="F4851" s="2">
        <v>10000959</v>
      </c>
      <c r="G4851" s="4" t="s">
        <v>4999</v>
      </c>
      <c r="H4851" s="1">
        <v>1</v>
      </c>
      <c r="I4851" s="1">
        <v>2</v>
      </c>
      <c r="J4851" s="1">
        <v>2</v>
      </c>
      <c r="K4851" s="2">
        <v>2.0</v>
      </c>
    </row>
    <row r="4852" spans="1:12">
      <c r="A4852" s="3" t="s">
        <v>2194</v>
      </c>
      <c r="B4852" s="3" t="s">
        <v>3663</v>
      </c>
      <c r="C4852" s="3" t="s">
        <v>4854</v>
      </c>
      <c r="D4852" s="3"/>
      <c r="E4852" s="2" t="str">
        <f>HYPERLINK("https://old.ukr-mobil.com/index.php?route=product&amp;product_id=10005581", "Перейти")</f>
        <v>Перейти</v>
      </c>
      <c r="F4852" s="2">
        <v>10005581</v>
      </c>
      <c r="G4852" s="4" t="s">
        <v>5000</v>
      </c>
      <c r="H4852" s="1">
        <v>4</v>
      </c>
      <c r="I4852" s="1">
        <v>0</v>
      </c>
      <c r="J4852" s="1">
        <v>0</v>
      </c>
      <c r="K4852" s="2">
        <v>2.0</v>
      </c>
    </row>
    <row r="4853" spans="1:12">
      <c r="A4853" s="3" t="s">
        <v>2194</v>
      </c>
      <c r="B4853" s="3" t="s">
        <v>3663</v>
      </c>
      <c r="C4853" s="3" t="s">
        <v>4854</v>
      </c>
      <c r="D4853" s="3"/>
      <c r="E4853" s="2" t="str">
        <f>HYPERLINK("https://old.ukr-mobil.com/index.php?route=product&amp;product_id=10005582", "Перейти")</f>
        <v>Перейти</v>
      </c>
      <c r="F4853" s="2">
        <v>10005582</v>
      </c>
      <c r="G4853" s="4" t="s">
        <v>5001</v>
      </c>
      <c r="H4853" s="1">
        <v>3</v>
      </c>
      <c r="I4853" s="1">
        <v>0</v>
      </c>
      <c r="J4853" s="1">
        <v>0</v>
      </c>
      <c r="K4853" s="2">
        <v>2.0</v>
      </c>
    </row>
    <row r="4854" spans="1:12">
      <c r="A4854" s="3" t="s">
        <v>2194</v>
      </c>
      <c r="B4854" s="3" t="s">
        <v>3663</v>
      </c>
      <c r="C4854" s="3" t="s">
        <v>4854</v>
      </c>
      <c r="D4854" s="3"/>
      <c r="E4854" s="2" t="str">
        <f>HYPERLINK("https://old.ukr-mobil.com/steklo_kamery_xiaomi_mi_9t_redmi_k20_redmi_k20_pro_black_10000948", "Перейти")</f>
        <v>Перейти</v>
      </c>
      <c r="F4854" s="2">
        <v>10000948</v>
      </c>
      <c r="G4854" s="4" t="s">
        <v>5002</v>
      </c>
      <c r="H4854" s="1">
        <v>13</v>
      </c>
      <c r="I4854" s="1">
        <v>0</v>
      </c>
      <c r="J4854" s="1">
        <v>5</v>
      </c>
      <c r="K4854" s="2">
        <v>0.95</v>
      </c>
    </row>
    <row r="4855" spans="1:12">
      <c r="A4855" s="3" t="s">
        <v>2194</v>
      </c>
      <c r="B4855" s="3" t="s">
        <v>3663</v>
      </c>
      <c r="C4855" s="3" t="s">
        <v>4854</v>
      </c>
      <c r="D4855" s="3"/>
      <c r="E4855" s="2" t="str">
        <f>HYPERLINK("https://old.ukr-mobil.com/steklo_kamery_xiaomi_mi_a2_lite_redmi_6_pro_s_ramkoj_black_10000950", "Перейти")</f>
        <v>Перейти</v>
      </c>
      <c r="F4855" s="2">
        <v>10000950</v>
      </c>
      <c r="G4855" s="4" t="s">
        <v>5003</v>
      </c>
      <c r="H4855" s="1">
        <v>0</v>
      </c>
      <c r="I4855" s="1">
        <v>0</v>
      </c>
      <c r="J4855" s="1">
        <v>1</v>
      </c>
      <c r="K4855" s="2">
        <v>0.65</v>
      </c>
    </row>
    <row r="4856" spans="1:12">
      <c r="A4856" s="3" t="s">
        <v>2194</v>
      </c>
      <c r="B4856" s="3" t="s">
        <v>3663</v>
      </c>
      <c r="C4856" s="3" t="s">
        <v>4854</v>
      </c>
      <c r="D4856" s="3"/>
      <c r="E4856" s="2" t="str">
        <f>HYPERLINK("https://old.ukr-mobil.com/steklo_kamery_xiaomi_mi_a2_lite_redmi_6_pro_s_ramkoj_blue_10000949", "Перейти")</f>
        <v>Перейти</v>
      </c>
      <c r="F4856" s="2">
        <v>10000949</v>
      </c>
      <c r="G4856" s="4" t="s">
        <v>5004</v>
      </c>
      <c r="H4856" s="1">
        <v>0</v>
      </c>
      <c r="I4856" s="1">
        <v>0</v>
      </c>
      <c r="J4856" s="1">
        <v>0</v>
      </c>
      <c r="K4856" s="2">
        <v>0.65</v>
      </c>
    </row>
    <row r="4857" spans="1:12">
      <c r="A4857" s="3" t="s">
        <v>2194</v>
      </c>
      <c r="B4857" s="3" t="s">
        <v>3663</v>
      </c>
      <c r="C4857" s="3" t="s">
        <v>4854</v>
      </c>
      <c r="D4857" s="3"/>
      <c r="E4857" s="2" t="str">
        <f>HYPERLINK("https://old.ukr-mobil.com/steklo_kamery_xiaomi_mi_a2_black_10000939", "Перейти")</f>
        <v>Перейти</v>
      </c>
      <c r="F4857" s="2">
        <v>10000939</v>
      </c>
      <c r="G4857" s="4" t="s">
        <v>5005</v>
      </c>
      <c r="H4857" s="1">
        <v>0</v>
      </c>
      <c r="I4857" s="1">
        <v>0</v>
      </c>
      <c r="J4857" s="1">
        <v>0</v>
      </c>
      <c r="K4857" s="2">
        <v>1.0</v>
      </c>
    </row>
    <row r="4858" spans="1:12">
      <c r="A4858" s="3" t="s">
        <v>2194</v>
      </c>
      <c r="B4858" s="3" t="s">
        <v>3663</v>
      </c>
      <c r="C4858" s="3" t="s">
        <v>4854</v>
      </c>
      <c r="D4858" s="3"/>
      <c r="E4858" s="2" t="str">
        <f>HYPERLINK("https://old.ukr-mobil.com/steklo_kamery_xiaomi_mi_note_10_mi_note_10_pro_black_10001330", "Перейти")</f>
        <v>Перейти</v>
      </c>
      <c r="F4858" s="2">
        <v>10001330</v>
      </c>
      <c r="G4858" s="4" t="s">
        <v>5006</v>
      </c>
      <c r="H4858" s="1">
        <v>1</v>
      </c>
      <c r="I4858" s="1">
        <v>0</v>
      </c>
      <c r="J4858" s="1">
        <v>3</v>
      </c>
      <c r="K4858" s="2">
        <v>0.85</v>
      </c>
    </row>
    <row r="4859" spans="1:12">
      <c r="A4859" s="3" t="s">
        <v>2194</v>
      </c>
      <c r="B4859" s="3" t="s">
        <v>3663</v>
      </c>
      <c r="C4859" s="3" t="s">
        <v>4854</v>
      </c>
      <c r="D4859" s="3"/>
      <c r="E4859" s="2" t="str">
        <f>HYPERLINK("https://old.ukr-mobil.com/steklo_kamery_xiaomi_mi_note_10_s_ramkoj_black_10000957", "Перейти")</f>
        <v>Перейти</v>
      </c>
      <c r="F4859" s="2">
        <v>10000957</v>
      </c>
      <c r="G4859" s="4" t="s">
        <v>5007</v>
      </c>
      <c r="H4859" s="1">
        <v>0</v>
      </c>
      <c r="I4859" s="1">
        <v>0</v>
      </c>
      <c r="J4859" s="1">
        <v>0</v>
      </c>
      <c r="K4859" s="2">
        <v>3.5</v>
      </c>
    </row>
    <row r="4860" spans="1:12">
      <c r="A4860" s="3" t="s">
        <v>2194</v>
      </c>
      <c r="B4860" s="3" t="s">
        <v>3663</v>
      </c>
      <c r="C4860" s="3" t="s">
        <v>4854</v>
      </c>
      <c r="D4860" s="3"/>
      <c r="E4860" s="2" t="str">
        <f>HYPERLINK("https://old.ukr-mobil.com/steklo_kamery_xiaomi_mi10t_black_10001559", "Перейти")</f>
        <v>Перейти</v>
      </c>
      <c r="F4860" s="2">
        <v>10001559</v>
      </c>
      <c r="G4860" s="4" t="s">
        <v>5008</v>
      </c>
      <c r="H4860" s="1">
        <v>0</v>
      </c>
      <c r="I4860" s="1">
        <v>0</v>
      </c>
      <c r="J4860" s="1">
        <v>0</v>
      </c>
      <c r="K4860" s="2">
        <v>2.0</v>
      </c>
    </row>
    <row r="4861" spans="1:12">
      <c r="A4861" s="3" t="s">
        <v>2194</v>
      </c>
      <c r="B4861" s="3" t="s">
        <v>3663</v>
      </c>
      <c r="C4861" s="3" t="s">
        <v>4854</v>
      </c>
      <c r="D4861" s="3"/>
      <c r="E4861" s="2" t="str">
        <f>HYPERLINK("https://old.ukr-mobil.com/steklo_kamery_xiaomi_redmi_10_black_10002615", "Перейти")</f>
        <v>Перейти</v>
      </c>
      <c r="F4861" s="2">
        <v>10002615</v>
      </c>
      <c r="G4861" s="4" t="s">
        <v>5009</v>
      </c>
      <c r="H4861" s="1">
        <v>0</v>
      </c>
      <c r="I4861" s="1">
        <v>0</v>
      </c>
      <c r="J4861" s="1">
        <v>0</v>
      </c>
      <c r="K4861" s="2">
        <v>1.0</v>
      </c>
    </row>
    <row r="4862" spans="1:12">
      <c r="A4862" s="3" t="s">
        <v>2194</v>
      </c>
      <c r="B4862" s="3" t="s">
        <v>3663</v>
      </c>
      <c r="C4862" s="3" t="s">
        <v>4854</v>
      </c>
      <c r="D4862" s="3"/>
      <c r="E4862" s="2" t="str">
        <f>HYPERLINK("https://old.ukr-mobil.com/steklo_kamery_xiaomi_redmi_10c_black_10003208", "Перейти")</f>
        <v>Перейти</v>
      </c>
      <c r="F4862" s="2">
        <v>10003208</v>
      </c>
      <c r="G4862" s="4" t="s">
        <v>5010</v>
      </c>
      <c r="H4862" s="1">
        <v>20</v>
      </c>
      <c r="I4862" s="1">
        <v>4</v>
      </c>
      <c r="J4862" s="1">
        <v>3</v>
      </c>
      <c r="K4862" s="2">
        <v>0.65</v>
      </c>
    </row>
    <row r="4863" spans="1:12">
      <c r="A4863" s="3" t="s">
        <v>2194</v>
      </c>
      <c r="B4863" s="3" t="s">
        <v>3663</v>
      </c>
      <c r="C4863" s="3" t="s">
        <v>4854</v>
      </c>
      <c r="D4863" s="3"/>
      <c r="E4863" s="2" t="str">
        <f>HYPERLINK("https://old.ukr-mobil.com/index.php?route=product&amp;product_id=10004852", "Перейти")</f>
        <v>Перейти</v>
      </c>
      <c r="F4863" s="2">
        <v>10004852</v>
      </c>
      <c r="G4863" s="4" t="s">
        <v>5011</v>
      </c>
      <c r="H4863" s="1">
        <v>0</v>
      </c>
      <c r="I4863" s="1">
        <v>0</v>
      </c>
      <c r="J4863" s="1">
        <v>0</v>
      </c>
      <c r="K4863" s="2">
        <v>0.8</v>
      </c>
    </row>
    <row r="4864" spans="1:12">
      <c r="A4864" s="3" t="s">
        <v>2194</v>
      </c>
      <c r="B4864" s="3" t="s">
        <v>3663</v>
      </c>
      <c r="C4864" s="3" t="s">
        <v>4854</v>
      </c>
      <c r="D4864" s="3"/>
      <c r="E4864" s="2" t="str">
        <f>HYPERLINK("https://old.ukr-mobil.com/index.php?route=product&amp;product_id=10004856", "Перейти")</f>
        <v>Перейти</v>
      </c>
      <c r="F4864" s="2">
        <v>10004856</v>
      </c>
      <c r="G4864" s="4" t="s">
        <v>5012</v>
      </c>
      <c r="H4864" s="1">
        <v>0</v>
      </c>
      <c r="I4864" s="1">
        <v>0</v>
      </c>
      <c r="J4864" s="1">
        <v>0</v>
      </c>
      <c r="K4864" s="2">
        <v>0.85</v>
      </c>
    </row>
    <row r="4865" spans="1:12">
      <c r="A4865" s="3" t="s">
        <v>2194</v>
      </c>
      <c r="B4865" s="3" t="s">
        <v>3663</v>
      </c>
      <c r="C4865" s="3" t="s">
        <v>4854</v>
      </c>
      <c r="D4865" s="3"/>
      <c r="E4865" s="2" t="str">
        <f>HYPERLINK("https://old.ukr-mobil.com/steklo_kamery_xiaomi_redmi_6_s_ramkoj_black_10000944", "Перейти")</f>
        <v>Перейти</v>
      </c>
      <c r="F4865" s="2">
        <v>10000944</v>
      </c>
      <c r="G4865" s="4" t="s">
        <v>5013</v>
      </c>
      <c r="H4865" s="1">
        <v>0</v>
      </c>
      <c r="I4865" s="1">
        <v>0</v>
      </c>
      <c r="J4865" s="1">
        <v>0</v>
      </c>
      <c r="K4865" s="2">
        <v>0.65</v>
      </c>
    </row>
    <row r="4866" spans="1:12">
      <c r="A4866" s="3" t="s">
        <v>2194</v>
      </c>
      <c r="B4866" s="3" t="s">
        <v>3663</v>
      </c>
      <c r="C4866" s="3" t="s">
        <v>4854</v>
      </c>
      <c r="D4866" s="3"/>
      <c r="E4866" s="2" t="str">
        <f>HYPERLINK("https://old.ukr-mobil.com/steklo_kamery_xiaomi_redmi_7_black_10000955", "Перейти")</f>
        <v>Перейти</v>
      </c>
      <c r="F4866" s="2">
        <v>10000955</v>
      </c>
      <c r="G4866" s="4" t="s">
        <v>5014</v>
      </c>
      <c r="H4866" s="1">
        <v>1</v>
      </c>
      <c r="I4866" s="1">
        <v>0</v>
      </c>
      <c r="J4866" s="1">
        <v>0</v>
      </c>
      <c r="K4866" s="2">
        <v>0.65</v>
      </c>
    </row>
    <row r="4867" spans="1:12">
      <c r="A4867" s="3" t="s">
        <v>2194</v>
      </c>
      <c r="B4867" s="3" t="s">
        <v>3663</v>
      </c>
      <c r="C4867" s="3" t="s">
        <v>4854</v>
      </c>
      <c r="D4867" s="3"/>
      <c r="E4867" s="2" t="str">
        <f>HYPERLINK("https://old.ukr-mobil.com/steklo_kamery_xiaomi_redmi_8_black_10000946", "Перейти")</f>
        <v>Перейти</v>
      </c>
      <c r="F4867" s="2">
        <v>10000946</v>
      </c>
      <c r="G4867" s="4" t="s">
        <v>5015</v>
      </c>
      <c r="H4867" s="1">
        <v>17</v>
      </c>
      <c r="I4867" s="1">
        <v>6</v>
      </c>
      <c r="J4867" s="1">
        <v>8</v>
      </c>
      <c r="K4867" s="2">
        <v>0.85</v>
      </c>
    </row>
    <row r="4868" spans="1:12">
      <c r="A4868" s="3" t="s">
        <v>2194</v>
      </c>
      <c r="B4868" s="3" t="s">
        <v>3663</v>
      </c>
      <c r="C4868" s="3" t="s">
        <v>4854</v>
      </c>
      <c r="D4868" s="3"/>
      <c r="E4868" s="2" t="str">
        <f>HYPERLINK("https://old.ukr-mobil.com/steklo_kamery_xiaomi_redmi_8a_black_10000947", "Перейти")</f>
        <v>Перейти</v>
      </c>
      <c r="F4868" s="2">
        <v>10000947</v>
      </c>
      <c r="G4868" s="4" t="s">
        <v>5016</v>
      </c>
      <c r="H4868" s="1">
        <v>0</v>
      </c>
      <c r="I4868" s="1">
        <v>0</v>
      </c>
      <c r="J4868" s="1">
        <v>0</v>
      </c>
      <c r="K4868" s="2">
        <v>0.85</v>
      </c>
    </row>
    <row r="4869" spans="1:12">
      <c r="A4869" s="3" t="s">
        <v>2194</v>
      </c>
      <c r="B4869" s="3" t="s">
        <v>3663</v>
      </c>
      <c r="C4869" s="3" t="s">
        <v>4854</v>
      </c>
      <c r="D4869" s="3"/>
      <c r="E4869" s="2" t="str">
        <f>HYPERLINK("https://old.ukr-mobil.com/steklo_kamery_xiaomi_redmi_9_black_10002614", "Перейти")</f>
        <v>Перейти</v>
      </c>
      <c r="F4869" s="2">
        <v>10002614</v>
      </c>
      <c r="G4869" s="4" t="s">
        <v>5017</v>
      </c>
      <c r="H4869" s="1">
        <v>13</v>
      </c>
      <c r="I4869" s="1">
        <v>6</v>
      </c>
      <c r="J4869" s="1">
        <v>5</v>
      </c>
      <c r="K4869" s="2">
        <v>1.0</v>
      </c>
    </row>
    <row r="4870" spans="1:12">
      <c r="A4870" s="3" t="s">
        <v>2194</v>
      </c>
      <c r="B4870" s="3" t="s">
        <v>3663</v>
      </c>
      <c r="C4870" s="3" t="s">
        <v>4854</v>
      </c>
      <c r="D4870" s="3"/>
      <c r="E4870" s="2" t="str">
        <f>HYPERLINK("https://old.ukr-mobil.com/steklo_kamery_xiaomi_redmi_9a_redmi_9at_redmi_9i_black_10002613", "Перейти")</f>
        <v>Перейти</v>
      </c>
      <c r="F4870" s="2">
        <v>10002613</v>
      </c>
      <c r="G4870" s="4" t="s">
        <v>5018</v>
      </c>
      <c r="H4870" s="1">
        <v>0</v>
      </c>
      <c r="I4870" s="1">
        <v>0</v>
      </c>
      <c r="J4870" s="1">
        <v>0</v>
      </c>
      <c r="K4870" s="2">
        <v>0.75</v>
      </c>
    </row>
    <row r="4871" spans="1:12">
      <c r="A4871" s="3" t="s">
        <v>2194</v>
      </c>
      <c r="B4871" s="3" t="s">
        <v>3663</v>
      </c>
      <c r="C4871" s="3" t="s">
        <v>4854</v>
      </c>
      <c r="D4871" s="3"/>
      <c r="E4871" s="2" t="str">
        <f>HYPERLINK("https://old.ukr-mobil.com/steklo_kamery_xiaomi_redmi_9c_poco_c3_black_10002612", "Перейти")</f>
        <v>Перейти</v>
      </c>
      <c r="F4871" s="2">
        <v>10002612</v>
      </c>
      <c r="G4871" s="4" t="s">
        <v>5019</v>
      </c>
      <c r="H4871" s="1">
        <v>0</v>
      </c>
      <c r="I4871" s="1">
        <v>0</v>
      </c>
      <c r="J4871" s="1">
        <v>0</v>
      </c>
      <c r="K4871" s="2">
        <v>1.0</v>
      </c>
    </row>
    <row r="4872" spans="1:12">
      <c r="A4872" s="3" t="s">
        <v>2194</v>
      </c>
      <c r="B4872" s="3" t="s">
        <v>3663</v>
      </c>
      <c r="C4872" s="3" t="s">
        <v>4854</v>
      </c>
      <c r="D4872" s="3"/>
      <c r="E4872" s="2" t="str">
        <f>HYPERLINK("https://old.ukr-mobil.com/steklo_kamery_xiaomi_redmi_9t_redmi_9_power_black_10002611", "Перейти")</f>
        <v>Перейти</v>
      </c>
      <c r="F4872" s="2">
        <v>10002611</v>
      </c>
      <c r="G4872" s="4" t="s">
        <v>5020</v>
      </c>
      <c r="H4872" s="1">
        <v>10</v>
      </c>
      <c r="I4872" s="1">
        <v>0</v>
      </c>
      <c r="J4872" s="1">
        <v>0</v>
      </c>
      <c r="K4872" s="2">
        <v>1.2</v>
      </c>
    </row>
    <row r="4873" spans="1:12">
      <c r="A4873" s="3" t="s">
        <v>2194</v>
      </c>
      <c r="B4873" s="3" t="s">
        <v>3663</v>
      </c>
      <c r="C4873" s="3" t="s">
        <v>4854</v>
      </c>
      <c r="D4873" s="3"/>
      <c r="E4873" s="2" t="str">
        <f>HYPERLINK("https://old.ukr-mobil.com/steklo_kamery_xiaomi_redmi_note_10_5g_redmi_note_10t_5g_black_10002610", "Перейти")</f>
        <v>Перейти</v>
      </c>
      <c r="F4873" s="2">
        <v>10002610</v>
      </c>
      <c r="G4873" s="4" t="s">
        <v>5021</v>
      </c>
      <c r="H4873" s="1">
        <v>0</v>
      </c>
      <c r="I4873" s="1">
        <v>0</v>
      </c>
      <c r="J4873" s="1">
        <v>0</v>
      </c>
      <c r="K4873" s="2">
        <v>1.0</v>
      </c>
    </row>
    <row r="4874" spans="1:12">
      <c r="A4874" s="3" t="s">
        <v>2194</v>
      </c>
      <c r="B4874" s="3" t="s">
        <v>3663</v>
      </c>
      <c r="C4874" s="3" t="s">
        <v>4854</v>
      </c>
      <c r="D4874" s="3"/>
      <c r="E4874" s="2" t="str">
        <f>HYPERLINK("https://old.ukr-mobil.com/steklo_kamery_xiaomi_redmi_note_10_pro_black_10002609", "Перейти")</f>
        <v>Перейти</v>
      </c>
      <c r="F4874" s="2">
        <v>10002609</v>
      </c>
      <c r="G4874" s="4" t="s">
        <v>5022</v>
      </c>
      <c r="H4874" s="1">
        <v>0</v>
      </c>
      <c r="I4874" s="1">
        <v>0</v>
      </c>
      <c r="J4874" s="1">
        <v>0</v>
      </c>
      <c r="K4874" s="2">
        <v>1.5</v>
      </c>
    </row>
    <row r="4875" spans="1:12">
      <c r="A4875" s="3" t="s">
        <v>2194</v>
      </c>
      <c r="B4875" s="3" t="s">
        <v>3663</v>
      </c>
      <c r="C4875" s="3" t="s">
        <v>4854</v>
      </c>
      <c r="D4875" s="3"/>
      <c r="E4875" s="2" t="str">
        <f>HYPERLINK("https://old.ukr-mobil.com/steklo_kamery_xiaomi_redmi_note_10_redmi_note_10s_black_10002608", "Перейти")</f>
        <v>Перейти</v>
      </c>
      <c r="F4875" s="2">
        <v>10002608</v>
      </c>
      <c r="G4875" s="4" t="s">
        <v>5023</v>
      </c>
      <c r="H4875" s="1">
        <v>0</v>
      </c>
      <c r="I4875" s="1">
        <v>0</v>
      </c>
      <c r="J4875" s="1">
        <v>0</v>
      </c>
      <c r="K4875" s="2">
        <v>0.8</v>
      </c>
    </row>
    <row r="4876" spans="1:12">
      <c r="A4876" s="3" t="s">
        <v>2194</v>
      </c>
      <c r="B4876" s="3" t="s">
        <v>3663</v>
      </c>
      <c r="C4876" s="3" t="s">
        <v>4854</v>
      </c>
      <c r="D4876" s="3"/>
      <c r="E4876" s="2" t="str">
        <f>HYPERLINK("https://old.ukr-mobil.com/steklo_kamery_xiaomi_redmi_note_11_redmi_note_11s_black_10003218", "Перейти")</f>
        <v>Перейти</v>
      </c>
      <c r="F4876" s="2">
        <v>10003218</v>
      </c>
      <c r="G4876" s="4" t="s">
        <v>5024</v>
      </c>
      <c r="H4876" s="1">
        <v>0</v>
      </c>
      <c r="I4876" s="1">
        <v>0</v>
      </c>
      <c r="J4876" s="1">
        <v>0</v>
      </c>
      <c r="K4876" s="2">
        <v>1.35</v>
      </c>
    </row>
    <row r="4877" spans="1:12">
      <c r="A4877" s="3" t="s">
        <v>2194</v>
      </c>
      <c r="B4877" s="3" t="s">
        <v>3663</v>
      </c>
      <c r="C4877" s="3" t="s">
        <v>4854</v>
      </c>
      <c r="D4877" s="3"/>
      <c r="E4877" s="2" t="str">
        <f>HYPERLINK("https://old.ukr-mobil.com/index.php?route=product&amp;product_id=10004851", "Перейти")</f>
        <v>Перейти</v>
      </c>
      <c r="F4877" s="2">
        <v>10004851</v>
      </c>
      <c r="G4877" s="4" t="s">
        <v>5025</v>
      </c>
      <c r="H4877" s="1">
        <v>0</v>
      </c>
      <c r="I4877" s="1">
        <v>0</v>
      </c>
      <c r="J4877" s="1">
        <v>1</v>
      </c>
      <c r="K4877" s="2">
        <v>0.75</v>
      </c>
    </row>
    <row r="4878" spans="1:12">
      <c r="A4878" s="3" t="s">
        <v>2194</v>
      </c>
      <c r="B4878" s="3" t="s">
        <v>3663</v>
      </c>
      <c r="C4878" s="3" t="s">
        <v>4854</v>
      </c>
      <c r="D4878" s="3"/>
      <c r="E4878" s="2" t="str">
        <f>HYPERLINK("https://old.ukr-mobil.com/steklo_kamery_xiaomi_redmi_note_5_redmi_note_5_pro_s_ramkoj_black_10000953", "Перейти")</f>
        <v>Перейти</v>
      </c>
      <c r="F4878" s="2">
        <v>10000953</v>
      </c>
      <c r="G4878" s="4" t="s">
        <v>5026</v>
      </c>
      <c r="H4878" s="1">
        <v>0</v>
      </c>
      <c r="I4878" s="1">
        <v>0</v>
      </c>
      <c r="J4878" s="1">
        <v>0</v>
      </c>
      <c r="K4878" s="2">
        <v>1.0</v>
      </c>
    </row>
    <row r="4879" spans="1:12">
      <c r="A4879" s="3" t="s">
        <v>2194</v>
      </c>
      <c r="B4879" s="3" t="s">
        <v>3663</v>
      </c>
      <c r="C4879" s="3" t="s">
        <v>4854</v>
      </c>
      <c r="D4879" s="3"/>
      <c r="E4879" s="2" t="str">
        <f>HYPERLINK("https://old.ukr-mobil.com/steklo_kamery_xiaomi_redmi_note_5_redmi_note_5_pro_s_ramkoj_blue_10000952", "Перейти")</f>
        <v>Перейти</v>
      </c>
      <c r="F4879" s="2">
        <v>10000952</v>
      </c>
      <c r="G4879" s="4" t="s">
        <v>5027</v>
      </c>
      <c r="H4879" s="1">
        <v>0</v>
      </c>
      <c r="I4879" s="1">
        <v>0</v>
      </c>
      <c r="J4879" s="1">
        <v>0</v>
      </c>
      <c r="K4879" s="2">
        <v>1.0</v>
      </c>
    </row>
    <row r="4880" spans="1:12">
      <c r="A4880" s="3" t="s">
        <v>2194</v>
      </c>
      <c r="B4880" s="3" t="s">
        <v>3663</v>
      </c>
      <c r="C4880" s="3" t="s">
        <v>4854</v>
      </c>
      <c r="D4880" s="3"/>
      <c r="E4880" s="2" t="str">
        <f>HYPERLINK("https://old.ukr-mobil.com/steklo_kamery_xiaomi_redmi_note_6_pro_s_ramkoj_black_10000965", "Перейти")</f>
        <v>Перейти</v>
      </c>
      <c r="F4880" s="2">
        <v>10000965</v>
      </c>
      <c r="G4880" s="4" t="s">
        <v>5028</v>
      </c>
      <c r="H4880" s="1">
        <v>0</v>
      </c>
      <c r="I4880" s="1">
        <v>0</v>
      </c>
      <c r="J4880" s="1">
        <v>0</v>
      </c>
      <c r="K4880" s="2">
        <v>0.85</v>
      </c>
    </row>
    <row r="4881" spans="1:12">
      <c r="A4881" s="3" t="s">
        <v>2194</v>
      </c>
      <c r="B4881" s="3" t="s">
        <v>3663</v>
      </c>
      <c r="C4881" s="3" t="s">
        <v>4854</v>
      </c>
      <c r="D4881" s="3"/>
      <c r="E4881" s="2" t="str">
        <f>HYPERLINK("https://old.ukr-mobil.com/steklo_kamery_xiaomi_redmi_note_6_pro_s_ramkoj_blue_10000964", "Перейти")</f>
        <v>Перейти</v>
      </c>
      <c r="F4881" s="2">
        <v>10000964</v>
      </c>
      <c r="G4881" s="4" t="s">
        <v>5029</v>
      </c>
      <c r="H4881" s="1">
        <v>0</v>
      </c>
      <c r="I4881" s="1">
        <v>0</v>
      </c>
      <c r="J4881" s="1">
        <v>0</v>
      </c>
      <c r="K4881" s="2">
        <v>0.85</v>
      </c>
    </row>
    <row r="4882" spans="1:12">
      <c r="A4882" s="3" t="s">
        <v>2194</v>
      </c>
      <c r="B4882" s="3" t="s">
        <v>3663</v>
      </c>
      <c r="C4882" s="3" t="s">
        <v>4854</v>
      </c>
      <c r="D4882" s="3"/>
      <c r="E4882" s="2" t="str">
        <f>HYPERLINK("https://old.ukr-mobil.com/steklo_kamery_xiaomi_redmi_note_7_black_10001111", "Перейти")</f>
        <v>Перейти</v>
      </c>
      <c r="F4882" s="2">
        <v>10001111</v>
      </c>
      <c r="G4882" s="4" t="s">
        <v>5030</v>
      </c>
      <c r="H4882" s="1">
        <v>0</v>
      </c>
      <c r="I4882" s="1">
        <v>0</v>
      </c>
      <c r="J4882" s="1">
        <v>0</v>
      </c>
      <c r="K4882" s="2">
        <v>0.5</v>
      </c>
    </row>
    <row r="4883" spans="1:12">
      <c r="A4883" s="3" t="s">
        <v>2194</v>
      </c>
      <c r="B4883" s="3" t="s">
        <v>3663</v>
      </c>
      <c r="C4883" s="3" t="s">
        <v>4854</v>
      </c>
      <c r="D4883" s="3"/>
      <c r="E4883" s="2" t="str">
        <f>HYPERLINK("https://old.ukr-mobil.com/steklo_kamery_xiaomi_redmi_note_7_s_ramkoj_black_10000961", "Перейти")</f>
        <v>Перейти</v>
      </c>
      <c r="F4883" s="2">
        <v>10000961</v>
      </c>
      <c r="G4883" s="4" t="s">
        <v>5031</v>
      </c>
      <c r="H4883" s="1">
        <v>0</v>
      </c>
      <c r="I4883" s="1">
        <v>0</v>
      </c>
      <c r="J4883" s="1">
        <v>0</v>
      </c>
      <c r="K4883" s="2">
        <v>1.35</v>
      </c>
    </row>
    <row r="4884" spans="1:12">
      <c r="A4884" s="3" t="s">
        <v>2194</v>
      </c>
      <c r="B4884" s="3" t="s">
        <v>3663</v>
      </c>
      <c r="C4884" s="3" t="s">
        <v>4854</v>
      </c>
      <c r="D4884" s="3"/>
      <c r="E4884" s="2" t="str">
        <f>HYPERLINK("https://old.ukr-mobil.com/steklo_kamery_xiaomi_redmi_note_7_s_ramkoj_blue_10000960", "Перейти")</f>
        <v>Перейти</v>
      </c>
      <c r="F4884" s="2">
        <v>10000960</v>
      </c>
      <c r="G4884" s="4" t="s">
        <v>5032</v>
      </c>
      <c r="H4884" s="1">
        <v>0</v>
      </c>
      <c r="I4884" s="1">
        <v>0</v>
      </c>
      <c r="J4884" s="1">
        <v>0</v>
      </c>
      <c r="K4884" s="2">
        <v>1.35</v>
      </c>
    </row>
    <row r="4885" spans="1:12">
      <c r="A4885" s="3" t="s">
        <v>2194</v>
      </c>
      <c r="B4885" s="3" t="s">
        <v>3663</v>
      </c>
      <c r="C4885" s="3" t="s">
        <v>4854</v>
      </c>
      <c r="D4885" s="3"/>
      <c r="E4885" s="2" t="str">
        <f>HYPERLINK("https://old.ukr-mobil.com/steklo_kamery_xiaomi_redmi_note_8_pro_black_10000962", "Перейти")</f>
        <v>Перейти</v>
      </c>
      <c r="F4885" s="2">
        <v>10000962</v>
      </c>
      <c r="G4885" s="4" t="s">
        <v>5033</v>
      </c>
      <c r="H4885" s="1">
        <v>0</v>
      </c>
      <c r="I4885" s="1">
        <v>0</v>
      </c>
      <c r="J4885" s="1">
        <v>0</v>
      </c>
      <c r="K4885" s="2">
        <v>0.75</v>
      </c>
    </row>
    <row r="4886" spans="1:12">
      <c r="A4886" s="3" t="s">
        <v>2194</v>
      </c>
      <c r="B4886" s="3" t="s">
        <v>3663</v>
      </c>
      <c r="C4886" s="3" t="s">
        <v>4854</v>
      </c>
      <c r="D4886" s="3"/>
      <c r="E4886" s="2" t="str">
        <f>HYPERLINK("https://old.ukr-mobil.com/steklo_kamery_xiaomi_redmi_note_8_redmi_note_8t_black_10001331", "Перейти")</f>
        <v>Перейти</v>
      </c>
      <c r="F4886" s="2">
        <v>10001331</v>
      </c>
      <c r="G4886" s="4" t="s">
        <v>5034</v>
      </c>
      <c r="H4886" s="1">
        <v>0</v>
      </c>
      <c r="I4886" s="1">
        <v>0</v>
      </c>
      <c r="J4886" s="1">
        <v>0</v>
      </c>
      <c r="K4886" s="2">
        <v>0.5</v>
      </c>
    </row>
    <row r="4887" spans="1:12">
      <c r="A4887" s="3" t="s">
        <v>2194</v>
      </c>
      <c r="B4887" s="3" t="s">
        <v>3663</v>
      </c>
      <c r="C4887" s="3" t="s">
        <v>4854</v>
      </c>
      <c r="D4887" s="3"/>
      <c r="E4887" s="2" t="str">
        <f>HYPERLINK("https://old.ukr-mobil.com/steklo_kamery_xiaomi_redmi_note_8_redmi_note_8t_s_ramkoj_blue_10000942", "Перейти")</f>
        <v>Перейти</v>
      </c>
      <c r="F4887" s="2">
        <v>10000942</v>
      </c>
      <c r="G4887" s="4" t="s">
        <v>5035</v>
      </c>
      <c r="H4887" s="1">
        <v>0</v>
      </c>
      <c r="I4887" s="1">
        <v>0</v>
      </c>
      <c r="J4887" s="1">
        <v>0</v>
      </c>
      <c r="K4887" s="2">
        <v>1.8</v>
      </c>
    </row>
    <row r="4888" spans="1:12">
      <c r="A4888" s="3" t="s">
        <v>2194</v>
      </c>
      <c r="B4888" s="3" t="s">
        <v>3663</v>
      </c>
      <c r="C4888" s="3" t="s">
        <v>4854</v>
      </c>
      <c r="D4888" s="3"/>
      <c r="E4888" s="2" t="str">
        <f>HYPERLINK("https://old.ukr-mobil.com/steklo_kamery_xiaomi_redmi_note_8_redmi_note_8t_s_ramkoj_silver_10000941", "Перейти")</f>
        <v>Перейти</v>
      </c>
      <c r="F4888" s="2">
        <v>10000941</v>
      </c>
      <c r="G4888" s="4" t="s">
        <v>5036</v>
      </c>
      <c r="H4888" s="1">
        <v>0</v>
      </c>
      <c r="I4888" s="1">
        <v>0</v>
      </c>
      <c r="J4888" s="1">
        <v>0</v>
      </c>
      <c r="K4888" s="2">
        <v>1.8</v>
      </c>
    </row>
    <row r="4889" spans="1:12">
      <c r="A4889" s="3" t="s">
        <v>2194</v>
      </c>
      <c r="B4889" s="3" t="s">
        <v>3663</v>
      </c>
      <c r="C4889" s="3" t="s">
        <v>4854</v>
      </c>
      <c r="D4889" s="3"/>
      <c r="E4889" s="2" t="str">
        <f>HYPERLINK("https://old.ukr-mobil.com/steklo_kamery_xiaomi_redmi_note_9_black_10000958", "Перейти")</f>
        <v>Перейти</v>
      </c>
      <c r="F4889" s="2">
        <v>10000958</v>
      </c>
      <c r="G4889" s="4" t="s">
        <v>5037</v>
      </c>
      <c r="H4889" s="1">
        <v>0</v>
      </c>
      <c r="I4889" s="1">
        <v>0</v>
      </c>
      <c r="J4889" s="1">
        <v>0</v>
      </c>
      <c r="K4889" s="2">
        <v>0.7</v>
      </c>
    </row>
    <row r="4890" spans="1:12">
      <c r="A4890" s="3" t="s">
        <v>2194</v>
      </c>
      <c r="B4890" s="3" t="s">
        <v>3663</v>
      </c>
      <c r="C4890" s="3" t="s">
        <v>4854</v>
      </c>
      <c r="D4890" s="3"/>
      <c r="E4890" s="2" t="str">
        <f>HYPERLINK("https://old.ukr-mobil.com/steklo_kamery_xiaomi_redmi_s2_s_ramkoj_black_10000940", "Перейти")</f>
        <v>Перейти</v>
      </c>
      <c r="F4890" s="2">
        <v>10000940</v>
      </c>
      <c r="G4890" s="4" t="s">
        <v>5038</v>
      </c>
      <c r="H4890" s="1">
        <v>0</v>
      </c>
      <c r="I4890" s="1">
        <v>0</v>
      </c>
      <c r="J4890" s="1">
        <v>0</v>
      </c>
      <c r="K4890" s="2">
        <v>1.1</v>
      </c>
    </row>
    <row r="4891" spans="1:12">
      <c r="A4891" s="3" t="s">
        <v>2194</v>
      </c>
      <c r="B4891" s="3" t="s">
        <v>5039</v>
      </c>
      <c r="C4891" s="3" t="s">
        <v>5040</v>
      </c>
      <c r="D4891" s="3"/>
      <c r="E4891" s="2" t="str">
        <f>HYPERLINK("https://old.ukr-mobil.com/mikroskhema_pamyati_samsung_klm8g2fe3b-b001_9970", "Перейти")</f>
        <v>Перейти</v>
      </c>
      <c r="F4891" s="2">
        <v>9970</v>
      </c>
      <c r="G4891" s="4" t="s">
        <v>5041</v>
      </c>
      <c r="H4891" s="1">
        <v>1</v>
      </c>
      <c r="I4891" s="1">
        <v>1</v>
      </c>
      <c r="J4891" s="1">
        <v>0</v>
      </c>
      <c r="K4891" s="2">
        <v>9.58</v>
      </c>
    </row>
    <row r="4892" spans="1:12">
      <c r="A4892" s="3" t="s">
        <v>2194</v>
      </c>
      <c r="B4892" s="3" t="s">
        <v>5039</v>
      </c>
      <c r="C4892" s="3" t="s">
        <v>5040</v>
      </c>
      <c r="D4892" s="3"/>
      <c r="E4892" s="2" t="str">
        <f>HYPERLINK("https://old.ukr-mobil.com/mikroskhema_pamyati_samsung_kmf720012m-b214_10000370", "Перейти")</f>
        <v>Перейти</v>
      </c>
      <c r="F4892" s="2">
        <v>10000370</v>
      </c>
      <c r="G4892" s="4" t="s">
        <v>5042</v>
      </c>
      <c r="H4892" s="1">
        <v>9</v>
      </c>
      <c r="I4892" s="1">
        <v>2</v>
      </c>
      <c r="J4892" s="1">
        <v>0</v>
      </c>
      <c r="K4892" s="2">
        <v>9.0</v>
      </c>
    </row>
    <row r="4893" spans="1:12">
      <c r="A4893" s="3" t="s">
        <v>2194</v>
      </c>
      <c r="B4893" s="3" t="s">
        <v>5039</v>
      </c>
      <c r="C4893" s="3" t="s">
        <v>5040</v>
      </c>
      <c r="D4893" s="3"/>
      <c r="E4893" s="2" t="str">
        <f>HYPERLINK("https://old.ukr-mobil.com/mikroskhema_pamyati_samsung_kmr820001m-b609_8512", "Перейти")</f>
        <v>Перейти</v>
      </c>
      <c r="F4893" s="2">
        <v>8512</v>
      </c>
      <c r="G4893" s="4" t="s">
        <v>5043</v>
      </c>
      <c r="H4893" s="1">
        <v>4</v>
      </c>
      <c r="I4893" s="1">
        <v>2</v>
      </c>
      <c r="J4893" s="1">
        <v>0</v>
      </c>
      <c r="K4893" s="2">
        <v>16.63</v>
      </c>
    </row>
    <row r="4894" spans="1:12">
      <c r="A4894" s="3" t="s">
        <v>2194</v>
      </c>
      <c r="B4894" s="3" t="s">
        <v>5039</v>
      </c>
      <c r="C4894" s="3" t="s">
        <v>5044</v>
      </c>
      <c r="D4894" s="3"/>
      <c r="E4894" s="2" t="str">
        <f>HYPERLINK("https://old.ukr-mobil.com/mikroskhema_upravleniya_podsvetkoj_lp8566_36pin_ipad_pro_12_9_9138", "Перейти")</f>
        <v>Перейти</v>
      </c>
      <c r="F4894" s="2">
        <v>9138</v>
      </c>
      <c r="G4894" s="4" t="s">
        <v>5045</v>
      </c>
      <c r="H4894" s="1">
        <v>3</v>
      </c>
      <c r="I4894" s="1">
        <v>3</v>
      </c>
      <c r="J4894" s="1">
        <v>0</v>
      </c>
      <c r="K4894" s="2">
        <v>3.75</v>
      </c>
    </row>
    <row r="4895" spans="1:12">
      <c r="A4895" s="3" t="s">
        <v>2194</v>
      </c>
      <c r="B4895" s="3" t="s">
        <v>5039</v>
      </c>
      <c r="C4895" s="3" t="s">
        <v>5044</v>
      </c>
      <c r="D4895" s="3"/>
      <c r="E4895" s="2" t="str">
        <f>HYPERLINK("https://old.ukr-mobil.com/mikroskhema_upravleniya_podsvetkoj_sgm3803df_doogee_ht7_huawei_honor_5a_cam-al00_5_5_honor_5c_honor_5x_9620", "Перейти")</f>
        <v>Перейти</v>
      </c>
      <c r="F4895" s="2">
        <v>9620</v>
      </c>
      <c r="G4895" s="4" t="s">
        <v>5046</v>
      </c>
      <c r="H4895" s="1">
        <v>6</v>
      </c>
      <c r="I4895" s="1">
        <v>0</v>
      </c>
      <c r="J4895" s="1">
        <v>0</v>
      </c>
      <c r="K4895" s="2">
        <v>1.56</v>
      </c>
    </row>
    <row r="4896" spans="1:12">
      <c r="A4896" s="3" t="s">
        <v>2194</v>
      </c>
      <c r="B4896" s="3" t="s">
        <v>5039</v>
      </c>
      <c r="C4896" s="3" t="s">
        <v>5047</v>
      </c>
      <c r="D4896" s="3"/>
      <c r="E4896" s="2" t="str">
        <f>HYPERLINK("https://old.ukr-mobil.com/mikroskhema_upravleniya_zaryadkoj_u2_cbtl1610a1_36pin_iphone_5c_iphone_5s_7525", "Перейти")</f>
        <v>Перейти</v>
      </c>
      <c r="F4896" s="2">
        <v>7525</v>
      </c>
      <c r="G4896" s="4" t="s">
        <v>5048</v>
      </c>
      <c r="H4896" s="1">
        <v>18</v>
      </c>
      <c r="I4896" s="1">
        <v>6</v>
      </c>
      <c r="J4896" s="1">
        <v>1</v>
      </c>
      <c r="K4896" s="2">
        <v>2.0</v>
      </c>
    </row>
    <row r="4897" spans="1:12">
      <c r="A4897" s="3" t="s">
        <v>2194</v>
      </c>
      <c r="B4897" s="3" t="s">
        <v>5039</v>
      </c>
      <c r="C4897" s="3" t="s">
        <v>5049</v>
      </c>
      <c r="D4897" s="3"/>
      <c r="E4897" s="2" t="str">
        <f>HYPERLINK("https://old.ukr-mobil.com/mikroskhema_kontroller_zaryadki_bq27426_lenovo_huawei_meizu_xiaomi_10356", "Перейти")</f>
        <v>Перейти</v>
      </c>
      <c r="F4897" s="2">
        <v>10356</v>
      </c>
      <c r="G4897" s="4" t="s">
        <v>5050</v>
      </c>
      <c r="H4897" s="1">
        <v>17</v>
      </c>
      <c r="I4897" s="1">
        <v>0</v>
      </c>
      <c r="J4897" s="1">
        <v>0</v>
      </c>
      <c r="K4897" s="2">
        <v>2.5</v>
      </c>
    </row>
    <row r="4898" spans="1:12">
      <c r="A4898" s="3" t="s">
        <v>2194</v>
      </c>
      <c r="B4898" s="3" t="s">
        <v>5039</v>
      </c>
      <c r="C4898" s="3" t="s">
        <v>5049</v>
      </c>
      <c r="D4898" s="3"/>
      <c r="E4898" s="2" t="str">
        <f>HYPERLINK("https://old.ukr-mobil.com/mikroskhema_kontroller_pitaniya_pm8937_xiaomi_redmi_3_9619", "Перейти")</f>
        <v>Перейти</v>
      </c>
      <c r="F4898" s="2">
        <v>9619</v>
      </c>
      <c r="G4898" s="4" t="s">
        <v>5051</v>
      </c>
      <c r="H4898" s="1">
        <v>1</v>
      </c>
      <c r="I4898" s="1">
        <v>0</v>
      </c>
      <c r="J4898" s="1">
        <v>0</v>
      </c>
      <c r="K4898" s="2">
        <v>2.5</v>
      </c>
    </row>
    <row r="4899" spans="1:12">
      <c r="A4899" s="3" t="s">
        <v>2194</v>
      </c>
      <c r="B4899" s="3" t="s">
        <v>5039</v>
      </c>
      <c r="C4899" s="3" t="s">
        <v>5049</v>
      </c>
      <c r="D4899" s="3"/>
      <c r="E4899" s="2" t="str">
        <f>HYPERLINK("https://old.ukr-mobil.com/mikroskhema_kontroller_pitaniya_pmd9645_iphone_7_iphone_7_plus_10000455", "Перейти")</f>
        <v>Перейти</v>
      </c>
      <c r="F4899" s="2">
        <v>10000455</v>
      </c>
      <c r="G4899" s="4" t="s">
        <v>5052</v>
      </c>
      <c r="H4899" s="1">
        <v>0</v>
      </c>
      <c r="I4899" s="1">
        <v>1</v>
      </c>
      <c r="J4899" s="1">
        <v>1</v>
      </c>
      <c r="K4899" s="2">
        <v>4.5</v>
      </c>
    </row>
    <row r="4900" spans="1:12">
      <c r="A4900" s="3" t="s">
        <v>2194</v>
      </c>
      <c r="B4900" s="3" t="s">
        <v>5039</v>
      </c>
      <c r="C4900" s="3" t="s">
        <v>5049</v>
      </c>
      <c r="D4900" s="3"/>
      <c r="E4900" s="2" t="str">
        <f>HYPERLINK("https://old.ukr-mobil.com/mikroskhema_kontroller_pitaniya_qualcomm_pm660l_004-01_xiaomi_redmi_note_6_pro_redmi_note_7_10001251", "Перейти")</f>
        <v>Перейти</v>
      </c>
      <c r="F4900" s="2">
        <v>10001251</v>
      </c>
      <c r="G4900" s="4" t="s">
        <v>5053</v>
      </c>
      <c r="H4900" s="1">
        <v>0</v>
      </c>
      <c r="I4900" s="1">
        <v>0</v>
      </c>
      <c r="J4900" s="1">
        <v>0</v>
      </c>
      <c r="K4900" s="2">
        <v>2.25</v>
      </c>
    </row>
    <row r="4901" spans="1:12">
      <c r="A4901" s="3" t="s">
        <v>2194</v>
      </c>
      <c r="B4901" s="3" t="s">
        <v>5054</v>
      </c>
      <c r="C4901" s="3" t="s">
        <v>5055</v>
      </c>
      <c r="D4901" s="3"/>
      <c r="E4901" s="2" t="str">
        <f>HYPERLINK("https://old.ukr-mobil.com/mikrofon_huawei_honor_10_honor_10_lite_mate_20_mate_20_lite_mate_20_pro_nova_3i_p_smart_plus_p_smart_2019_10001888", "Перейти")</f>
        <v>Перейти</v>
      </c>
      <c r="F4901" s="2">
        <v>10001888</v>
      </c>
      <c r="G4901" s="4" t="s">
        <v>5056</v>
      </c>
      <c r="H4901" s="1">
        <v>0</v>
      </c>
      <c r="I4901" s="1">
        <v>0</v>
      </c>
      <c r="J4901" s="1">
        <v>0</v>
      </c>
      <c r="K4901" s="2">
        <v>0.6</v>
      </c>
    </row>
    <row r="4902" spans="1:12">
      <c r="A4902" s="3" t="s">
        <v>2194</v>
      </c>
      <c r="B4902" s="3" t="s">
        <v>5054</v>
      </c>
      <c r="C4902" s="3" t="s">
        <v>1056</v>
      </c>
      <c r="D4902" s="3"/>
      <c r="E4902" s="2" t="str">
        <f>HYPERLINK("https://old.ukr-mobil.com/mikrofon_lg_6_pins_1372", "Перейти")</f>
        <v>Перейти</v>
      </c>
      <c r="F4902" s="2">
        <v>1372</v>
      </c>
      <c r="G4902" s="4" t="s">
        <v>5057</v>
      </c>
      <c r="H4902" s="1">
        <v>49</v>
      </c>
      <c r="I4902" s="1">
        <v>0</v>
      </c>
      <c r="J4902" s="1">
        <v>0</v>
      </c>
      <c r="K4902" s="2">
        <v>1.21</v>
      </c>
    </row>
    <row r="4903" spans="1:12">
      <c r="A4903" s="3" t="s">
        <v>2194</v>
      </c>
      <c r="B4903" s="3" t="s">
        <v>5054</v>
      </c>
      <c r="C4903" s="3" t="s">
        <v>653</v>
      </c>
      <c r="D4903" s="3"/>
      <c r="E4903" s="2" t="str">
        <f>HYPERLINK("https://old.ukr-mobil.com/mikrofon_samsung_shlejf_1594", "Перейти")</f>
        <v>Перейти</v>
      </c>
      <c r="F4903" s="2">
        <v>1594</v>
      </c>
      <c r="G4903" s="4" t="s">
        <v>5058</v>
      </c>
      <c r="H4903" s="1">
        <v>103</v>
      </c>
      <c r="I4903" s="1">
        <v>0</v>
      </c>
      <c r="J4903" s="1">
        <v>0</v>
      </c>
      <c r="K4903" s="2">
        <v>0.3</v>
      </c>
    </row>
    <row r="4904" spans="1:12">
      <c r="A4904" s="3" t="s">
        <v>2194</v>
      </c>
      <c r="B4904" s="3" t="s">
        <v>5054</v>
      </c>
      <c r="C4904" s="3" t="s">
        <v>653</v>
      </c>
      <c r="D4904" s="3"/>
      <c r="E4904" s="2" t="str">
        <f>HYPERLINK("https://old.ukr-mobil.com/mikrofon_samsung_a315_galaxy_a31_original_10001890", "Перейти")</f>
        <v>Перейти</v>
      </c>
      <c r="F4904" s="2">
        <v>10001890</v>
      </c>
      <c r="G4904" s="4" t="s">
        <v>5059</v>
      </c>
      <c r="H4904" s="1">
        <v>0</v>
      </c>
      <c r="I4904" s="1">
        <v>0</v>
      </c>
      <c r="J4904" s="1">
        <v>0</v>
      </c>
      <c r="K4904" s="2">
        <v>0.85</v>
      </c>
    </row>
    <row r="4905" spans="1:12">
      <c r="A4905" s="3" t="s">
        <v>2194</v>
      </c>
      <c r="B4905" s="3" t="s">
        <v>5054</v>
      </c>
      <c r="C4905" s="3" t="s">
        <v>653</v>
      </c>
      <c r="D4905" s="3"/>
      <c r="E4905" s="2" t="str">
        <f>HYPERLINK("https://old.ukr-mobil.com/mikrofon_samsung_g950_galaxy_s8_g955_galaxy_s8_plus_g960_galaxy_s9_g965_galaxy_s9_plus_n960_galaxy_note_9_original_10001889", "Перейти")</f>
        <v>Перейти</v>
      </c>
      <c r="F4905" s="2">
        <v>10001889</v>
      </c>
      <c r="G4905" s="4" t="s">
        <v>5060</v>
      </c>
      <c r="H4905" s="1">
        <v>0</v>
      </c>
      <c r="I4905" s="1">
        <v>0</v>
      </c>
      <c r="J4905" s="1">
        <v>0</v>
      </c>
      <c r="K4905" s="2">
        <v>0.75</v>
      </c>
    </row>
    <row r="4906" spans="1:12">
      <c r="A4906" s="3" t="s">
        <v>2194</v>
      </c>
      <c r="B4906" s="3" t="s">
        <v>5054</v>
      </c>
      <c r="C4906" s="3" t="s">
        <v>814</v>
      </c>
      <c r="D4906" s="3"/>
      <c r="E4906" s="2" t="str">
        <f>HYPERLINK("https://old.ukr-mobil.com/mikrofon_xiaomi_mi3_9953", "Перейти")</f>
        <v>Перейти</v>
      </c>
      <c r="F4906" s="2">
        <v>9953</v>
      </c>
      <c r="G4906" s="4" t="s">
        <v>5061</v>
      </c>
      <c r="H4906" s="1">
        <v>91</v>
      </c>
      <c r="I4906" s="1">
        <v>0</v>
      </c>
      <c r="J4906" s="1">
        <v>0</v>
      </c>
      <c r="K4906" s="2">
        <v>0.81</v>
      </c>
    </row>
    <row r="4907" spans="1:12">
      <c r="A4907" s="3" t="s">
        <v>2194</v>
      </c>
      <c r="B4907" s="3" t="s">
        <v>5062</v>
      </c>
      <c r="C4907" s="3"/>
      <c r="D4907" s="3"/>
      <c r="E4907" s="2" t="str">
        <f>HYPERLINK("https://old.ukr-mobil.com/bulavka_dlya_sim_karty_iphone_3612", "Перейти")</f>
        <v>Перейти</v>
      </c>
      <c r="F4907" s="2">
        <v>3612</v>
      </c>
      <c r="G4907" s="4" t="s">
        <v>5063</v>
      </c>
      <c r="H4907" s="1">
        <v>14</v>
      </c>
      <c r="I4907" s="1">
        <v>0</v>
      </c>
      <c r="J4907" s="1">
        <v>9</v>
      </c>
      <c r="K4907" s="2">
        <v>0.35</v>
      </c>
    </row>
    <row r="4908" spans="1:12">
      <c r="A4908" s="3" t="s">
        <v>2194</v>
      </c>
      <c r="B4908" s="3" t="s">
        <v>5062</v>
      </c>
      <c r="C4908" s="3"/>
      <c r="D4908" s="3"/>
      <c r="E4908" s="2" t="str">
        <f>HYPERLINK("https://old.ukr-mobil.com/roz_m_na_zaryadku_redmi_7_micro-usb_10002882", "Перейти")</f>
        <v>Перейти</v>
      </c>
      <c r="F4908" s="2">
        <v>10002882</v>
      </c>
      <c r="G4908" s="4" t="s">
        <v>5064</v>
      </c>
      <c r="H4908" s="1">
        <v>5</v>
      </c>
      <c r="I4908" s="1">
        <v>2</v>
      </c>
      <c r="J4908" s="1">
        <v>3</v>
      </c>
      <c r="K4908" s="2">
        <v>0.6</v>
      </c>
    </row>
    <row r="4909" spans="1:12">
      <c r="A4909" s="3" t="s">
        <v>2194</v>
      </c>
      <c r="B4909" s="3" t="s">
        <v>5065</v>
      </c>
      <c r="C4909" s="3" t="s">
        <v>1981</v>
      </c>
      <c r="D4909" s="3"/>
      <c r="E4909" s="2" t="str">
        <f>HYPERLINK("https://old.ukr-mobil.com/konnektor_zaryadki_i-phone_2g_513", "Перейти")</f>
        <v>Перейти</v>
      </c>
      <c r="F4909" s="2">
        <v>513</v>
      </c>
      <c r="G4909" s="4" t="s">
        <v>5066</v>
      </c>
      <c r="H4909" s="1">
        <v>28</v>
      </c>
      <c r="I4909" s="1">
        <v>0</v>
      </c>
      <c r="J4909" s="1">
        <v>0</v>
      </c>
      <c r="K4909" s="2">
        <v>0.81</v>
      </c>
    </row>
    <row r="4910" spans="1:12">
      <c r="A4910" s="3" t="s">
        <v>2194</v>
      </c>
      <c r="B4910" s="3" t="s">
        <v>5065</v>
      </c>
      <c r="C4910" s="3" t="s">
        <v>1981</v>
      </c>
      <c r="D4910" s="3"/>
      <c r="E4910" s="2" t="str">
        <f>HYPERLINK("https://old.ukr-mobil.com/konnektor_zaryadki_asus_fonepad_7_fe170cg_htc_s710e_incredible_s_sony_d2004_xperia_e1_d2005_xperia_e1_d2104_xperia_e1_ds_d2105_xperia_e1_ds_d211_9932", "Перейти")</f>
        <v>Перейти</v>
      </c>
      <c r="F4910" s="2">
        <v>9932</v>
      </c>
      <c r="G4910" s="4" t="s">
        <v>5067</v>
      </c>
      <c r="H4910" s="1">
        <v>91</v>
      </c>
      <c r="I4910" s="1">
        <v>12</v>
      </c>
      <c r="J4910" s="1">
        <v>0</v>
      </c>
      <c r="K4910" s="2">
        <v>0.66</v>
      </c>
    </row>
    <row r="4911" spans="1:12">
      <c r="A4911" s="3" t="s">
        <v>2194</v>
      </c>
      <c r="B4911" s="3" t="s">
        <v>5065</v>
      </c>
      <c r="C4911" s="3" t="s">
        <v>1981</v>
      </c>
      <c r="D4911" s="3"/>
      <c r="E4911" s="2" t="str">
        <f>HYPERLINK("https://old.ukr-mobil.com/konnektor_zaryadki_asus_zenfone_c_zc451cg_8562", "Перейти")</f>
        <v>Перейти</v>
      </c>
      <c r="F4911" s="2">
        <v>8562</v>
      </c>
      <c r="G4911" s="4" t="s">
        <v>5068</v>
      </c>
      <c r="H4911" s="1">
        <v>1</v>
      </c>
      <c r="I4911" s="1">
        <v>0</v>
      </c>
      <c r="J4911" s="1">
        <v>0</v>
      </c>
      <c r="K4911" s="2">
        <v>0.91</v>
      </c>
    </row>
    <row r="4912" spans="1:12">
      <c r="A4912" s="3" t="s">
        <v>2194</v>
      </c>
      <c r="B4912" s="3" t="s">
        <v>5065</v>
      </c>
      <c r="C4912" s="3" t="s">
        <v>1981</v>
      </c>
      <c r="D4912" s="3"/>
      <c r="E4912" s="2" t="str">
        <f>HYPERLINK("https://old.ukr-mobil.com/konnektor_zaryadki_asus_zenfone_go_zc500tg_z00vd_zb500kl_8559", "Перейти")</f>
        <v>Перейти</v>
      </c>
      <c r="F4912" s="2">
        <v>8559</v>
      </c>
      <c r="G4912" s="4" t="s">
        <v>5069</v>
      </c>
      <c r="H4912" s="1">
        <v>0</v>
      </c>
      <c r="I4912" s="1">
        <v>0</v>
      </c>
      <c r="J4912" s="1">
        <v>0</v>
      </c>
      <c r="K4912" s="2">
        <v>0.86</v>
      </c>
    </row>
    <row r="4913" spans="1:12">
      <c r="A4913" s="3" t="s">
        <v>2194</v>
      </c>
      <c r="B4913" s="3" t="s">
        <v>5065</v>
      </c>
      <c r="C4913" s="3" t="s">
        <v>1981</v>
      </c>
      <c r="D4913" s="3"/>
      <c r="E4913" s="2" t="str">
        <f>HYPERLINK("https://old.ukr-mobil.com/konnektor_zaryadki_fly_ds103_ds105_ds107_ds113_ds120_e130_e145_5317", "Перейти")</f>
        <v>Перейти</v>
      </c>
      <c r="F4913" s="2">
        <v>5317</v>
      </c>
      <c r="G4913" s="4" t="s">
        <v>5070</v>
      </c>
      <c r="H4913" s="1">
        <v>53</v>
      </c>
      <c r="I4913" s="1">
        <v>0</v>
      </c>
      <c r="J4913" s="1">
        <v>0</v>
      </c>
      <c r="K4913" s="2">
        <v>0.5</v>
      </c>
    </row>
    <row r="4914" spans="1:12">
      <c r="A4914" s="3" t="s">
        <v>2194</v>
      </c>
      <c r="B4914" s="3" t="s">
        <v>5065</v>
      </c>
      <c r="C4914" s="3" t="s">
        <v>1981</v>
      </c>
      <c r="D4914" s="3"/>
      <c r="E4914" s="2" t="str">
        <f>HYPERLINK("https://old.ukr-mobil.com/konnektor_zaryadki_fly_ds106_ds125_ds128_ds130_e141tv_e145_e157_iq235_iq237_iq238_iq255_iq256_iq430_iq442_iq443_iq444_5318", "Перейти")</f>
        <v>Перейти</v>
      </c>
      <c r="F4914" s="2">
        <v>5318</v>
      </c>
      <c r="G4914" s="4" t="s">
        <v>5071</v>
      </c>
      <c r="H4914" s="1">
        <v>0</v>
      </c>
      <c r="I4914" s="1">
        <v>0</v>
      </c>
      <c r="J4914" s="1">
        <v>0</v>
      </c>
      <c r="K4914" s="2">
        <v>0.5</v>
      </c>
    </row>
    <row r="4915" spans="1:12">
      <c r="A4915" s="3" t="s">
        <v>2194</v>
      </c>
      <c r="B4915" s="3" t="s">
        <v>5065</v>
      </c>
      <c r="C4915" s="3" t="s">
        <v>1981</v>
      </c>
      <c r="D4915" s="3"/>
      <c r="E4915" s="2" t="str">
        <f>HYPERLINK("https://old.ukr-mobil.com/konnektor_zaryadki_g3_d850_g3_d851_g3_d855_g3_f400_g3_ls990_for_sprint_g3_vs985_11_pin_5324", "Перейти")</f>
        <v>Перейти</v>
      </c>
      <c r="F4915" s="2">
        <v>5324</v>
      </c>
      <c r="G4915" s="4" t="s">
        <v>5072</v>
      </c>
      <c r="H4915" s="1">
        <v>28</v>
      </c>
      <c r="I4915" s="1">
        <v>0</v>
      </c>
      <c r="J4915" s="1">
        <v>0</v>
      </c>
      <c r="K4915" s="2">
        <v>0.86</v>
      </c>
    </row>
    <row r="4916" spans="1:12">
      <c r="A4916" s="3" t="s">
        <v>2194</v>
      </c>
      <c r="B4916" s="3" t="s">
        <v>5065</v>
      </c>
      <c r="C4916" s="3" t="s">
        <v>1981</v>
      </c>
      <c r="D4916" s="3"/>
      <c r="E4916" s="2" t="str">
        <f>HYPERLINK("https://old.ukr-mobil.com/konnektor_zaryadki_google_pixel_3_pixel_3a_usb_type-c_10003758", "Перейти")</f>
        <v>Перейти</v>
      </c>
      <c r="F4916" s="2">
        <v>10003758</v>
      </c>
      <c r="G4916" s="4" t="s">
        <v>5073</v>
      </c>
      <c r="H4916" s="1">
        <v>0</v>
      </c>
      <c r="I4916" s="1">
        <v>0</v>
      </c>
      <c r="J4916" s="1">
        <v>0</v>
      </c>
      <c r="K4916" s="2">
        <v>1.5</v>
      </c>
    </row>
    <row r="4917" spans="1:12">
      <c r="A4917" s="3" t="s">
        <v>2194</v>
      </c>
      <c r="B4917" s="3" t="s">
        <v>5065</v>
      </c>
      <c r="C4917" s="3" t="s">
        <v>1981</v>
      </c>
      <c r="D4917" s="3"/>
      <c r="E4917" s="2" t="str">
        <f>HYPERLINK("https://old.ukr-mobil.com/konnektor_zaryadki_google_pixel_4_pixel_4a_usb_type-c_10003759", "Перейти")</f>
        <v>Перейти</v>
      </c>
      <c r="F4917" s="2">
        <v>10003759</v>
      </c>
      <c r="G4917" s="4" t="s">
        <v>5074</v>
      </c>
      <c r="H4917" s="1">
        <v>0</v>
      </c>
      <c r="I4917" s="1">
        <v>0</v>
      </c>
      <c r="J4917" s="1">
        <v>0</v>
      </c>
      <c r="K4917" s="2">
        <v>1.65</v>
      </c>
    </row>
    <row r="4918" spans="1:12">
      <c r="A4918" s="3" t="s">
        <v>2194</v>
      </c>
      <c r="B4918" s="3" t="s">
        <v>5065</v>
      </c>
      <c r="C4918" s="3" t="s">
        <v>1981</v>
      </c>
      <c r="D4918" s="3"/>
      <c r="E4918" s="2" t="str">
        <f>HYPERLINK("https://old.ukr-mobil.com/index.php?route=product&amp;product_id=10005035", "Перейти")</f>
        <v>Перейти</v>
      </c>
      <c r="F4918" s="2">
        <v>10005035</v>
      </c>
      <c r="G4918" s="4" t="s">
        <v>5075</v>
      </c>
      <c r="H4918" s="1">
        <v>13</v>
      </c>
      <c r="I4918" s="1">
        <v>10</v>
      </c>
      <c r="J4918" s="1">
        <v>7</v>
      </c>
      <c r="K4918" s="2">
        <v>0.0</v>
      </c>
    </row>
    <row r="4919" spans="1:12">
      <c r="A4919" s="3" t="s">
        <v>2194</v>
      </c>
      <c r="B4919" s="3" t="s">
        <v>5065</v>
      </c>
      <c r="C4919" s="3" t="s">
        <v>1981</v>
      </c>
      <c r="D4919" s="3"/>
      <c r="E4919" s="2" t="str">
        <f>HYPERLINK("https://old.ukr-mobil.com/index.php?route=product&amp;product_id=10005036", "Перейти")</f>
        <v>Перейти</v>
      </c>
      <c r="F4919" s="2">
        <v>10005036</v>
      </c>
      <c r="G4919" s="4" t="s">
        <v>5076</v>
      </c>
      <c r="H4919" s="1">
        <v>13</v>
      </c>
      <c r="I4919" s="1">
        <v>10</v>
      </c>
      <c r="J4919" s="1">
        <v>7</v>
      </c>
      <c r="K4919" s="2">
        <v>0.0</v>
      </c>
    </row>
    <row r="4920" spans="1:12">
      <c r="A4920" s="3" t="s">
        <v>2194</v>
      </c>
      <c r="B4920" s="3" t="s">
        <v>5065</v>
      </c>
      <c r="C4920" s="3" t="s">
        <v>1981</v>
      </c>
      <c r="D4920" s="3"/>
      <c r="E4920" s="2" t="str">
        <f>HYPERLINK("https://old.ukr-mobil.com/index.php?route=product&amp;product_id=10005032", "Перейти")</f>
        <v>Перейти</v>
      </c>
      <c r="F4920" s="2">
        <v>10005032</v>
      </c>
      <c r="G4920" s="4" t="s">
        <v>5077</v>
      </c>
      <c r="H4920" s="1">
        <v>13</v>
      </c>
      <c r="I4920" s="1">
        <v>10</v>
      </c>
      <c r="J4920" s="1">
        <v>7</v>
      </c>
      <c r="K4920" s="2">
        <v>0.0</v>
      </c>
    </row>
    <row r="4921" spans="1:12">
      <c r="A4921" s="3" t="s">
        <v>2194</v>
      </c>
      <c r="B4921" s="3" t="s">
        <v>5065</v>
      </c>
      <c r="C4921" s="3" t="s">
        <v>1981</v>
      </c>
      <c r="D4921" s="3"/>
      <c r="E4921" s="2" t="str">
        <f>HYPERLINK("https://old.ukr-mobil.com/index.php?route=product&amp;product_id=10005030", "Перейти")</f>
        <v>Перейти</v>
      </c>
      <c r="F4921" s="2">
        <v>10005030</v>
      </c>
      <c r="G4921" s="4" t="s">
        <v>5078</v>
      </c>
      <c r="H4921" s="1">
        <v>13</v>
      </c>
      <c r="I4921" s="1">
        <v>10</v>
      </c>
      <c r="J4921" s="1">
        <v>7</v>
      </c>
      <c r="K4921" s="2">
        <v>0.0</v>
      </c>
    </row>
    <row r="4922" spans="1:12">
      <c r="A4922" s="3" t="s">
        <v>2194</v>
      </c>
      <c r="B4922" s="3" t="s">
        <v>5065</v>
      </c>
      <c r="C4922" s="3" t="s">
        <v>1981</v>
      </c>
      <c r="D4922" s="3"/>
      <c r="E4922" s="2" t="str">
        <f>HYPERLINK("https://old.ukr-mobil.com/index.php?route=product&amp;product_id=10005031", "Перейти")</f>
        <v>Перейти</v>
      </c>
      <c r="F4922" s="2">
        <v>10005031</v>
      </c>
      <c r="G4922" s="4" t="s">
        <v>5079</v>
      </c>
      <c r="H4922" s="1">
        <v>13</v>
      </c>
      <c r="I4922" s="1">
        <v>10</v>
      </c>
      <c r="J4922" s="1">
        <v>7</v>
      </c>
      <c r="K4922" s="2">
        <v>0.0</v>
      </c>
    </row>
    <row r="4923" spans="1:12">
      <c r="A4923" s="3" t="s">
        <v>2194</v>
      </c>
      <c r="B4923" s="3" t="s">
        <v>5065</v>
      </c>
      <c r="C4923" s="3" t="s">
        <v>1981</v>
      </c>
      <c r="D4923" s="3"/>
      <c r="E4923" s="2" t="str">
        <f>HYPERLINK("https://old.ukr-mobil.com/index.php?route=product&amp;product_id=10005034", "Перейти")</f>
        <v>Перейти</v>
      </c>
      <c r="F4923" s="2">
        <v>10005034</v>
      </c>
      <c r="G4923" s="4" t="s">
        <v>5080</v>
      </c>
      <c r="H4923" s="1">
        <v>13</v>
      </c>
      <c r="I4923" s="1">
        <v>10</v>
      </c>
      <c r="J4923" s="1">
        <v>7</v>
      </c>
      <c r="K4923" s="2">
        <v>0.0</v>
      </c>
    </row>
    <row r="4924" spans="1:12">
      <c r="A4924" s="3" t="s">
        <v>2194</v>
      </c>
      <c r="B4924" s="3" t="s">
        <v>5065</v>
      </c>
      <c r="C4924" s="3" t="s">
        <v>1981</v>
      </c>
      <c r="D4924" s="3"/>
      <c r="E4924" s="2" t="str">
        <f>HYPERLINK("https://old.ukr-mobil.com/index.php?route=product&amp;product_id=10005033", "Перейти")</f>
        <v>Перейти</v>
      </c>
      <c r="F4924" s="2">
        <v>10005033</v>
      </c>
      <c r="G4924" s="4" t="s">
        <v>5081</v>
      </c>
      <c r="H4924" s="1">
        <v>13</v>
      </c>
      <c r="I4924" s="1">
        <v>10</v>
      </c>
      <c r="J4924" s="1">
        <v>7</v>
      </c>
      <c r="K4924" s="2">
        <v>0.0</v>
      </c>
    </row>
    <row r="4925" spans="1:12">
      <c r="A4925" s="3" t="s">
        <v>2194</v>
      </c>
      <c r="B4925" s="3" t="s">
        <v>5065</v>
      </c>
      <c r="C4925" s="3" t="s">
        <v>1981</v>
      </c>
      <c r="D4925" s="3"/>
      <c r="E4925" s="2" t="str">
        <f>HYPERLINK("https://old.ukr-mobil.com/konnektor_zaryadki_huawei_g600_5333", "Перейти")</f>
        <v>Перейти</v>
      </c>
      <c r="F4925" s="2">
        <v>5333</v>
      </c>
      <c r="G4925" s="4" t="s">
        <v>5082</v>
      </c>
      <c r="H4925" s="1">
        <v>0</v>
      </c>
      <c r="I4925" s="1">
        <v>0</v>
      </c>
      <c r="J4925" s="1">
        <v>0</v>
      </c>
      <c r="K4925" s="2">
        <v>1.01</v>
      </c>
    </row>
    <row r="4926" spans="1:12">
      <c r="A4926" s="3" t="s">
        <v>2194</v>
      </c>
      <c r="B4926" s="3" t="s">
        <v>5065</v>
      </c>
      <c r="C4926" s="3" t="s">
        <v>1981</v>
      </c>
      <c r="D4926" s="3"/>
      <c r="E4926" s="2" t="str">
        <f>HYPERLINK("https://old.ukr-mobil.com/konnektor_zaryadki_huawei_mate_10_usb_type-c_11653", "Перейти")</f>
        <v>Перейти</v>
      </c>
      <c r="F4926" s="2">
        <v>11653</v>
      </c>
      <c r="G4926" s="4" t="s">
        <v>5083</v>
      </c>
      <c r="H4926" s="1">
        <v>0</v>
      </c>
      <c r="I4926" s="1">
        <v>0</v>
      </c>
      <c r="J4926" s="1">
        <v>0</v>
      </c>
      <c r="K4926" s="2">
        <v>1.01</v>
      </c>
    </row>
    <row r="4927" spans="1:12">
      <c r="A4927" s="3" t="s">
        <v>2194</v>
      </c>
      <c r="B4927" s="3" t="s">
        <v>5065</v>
      </c>
      <c r="C4927" s="3" t="s">
        <v>1981</v>
      </c>
      <c r="D4927" s="3"/>
      <c r="E4927" s="2" t="str">
        <f>HYPERLINK("https://old.ukr-mobil.com/konnektor_zaryadki_huawei_nexus_6p_usb_type-c_9934", "Перейти")</f>
        <v>Перейти</v>
      </c>
      <c r="F4927" s="2">
        <v>9934</v>
      </c>
      <c r="G4927" s="4" t="s">
        <v>5084</v>
      </c>
      <c r="H4927" s="1">
        <v>2</v>
      </c>
      <c r="I4927" s="1">
        <v>0</v>
      </c>
      <c r="J4927" s="1">
        <v>0</v>
      </c>
      <c r="K4927" s="2">
        <v>1.76</v>
      </c>
    </row>
    <row r="4928" spans="1:12">
      <c r="A4928" s="3" t="s">
        <v>2194</v>
      </c>
      <c r="B4928" s="3" t="s">
        <v>5065</v>
      </c>
      <c r="C4928" s="3" t="s">
        <v>1981</v>
      </c>
      <c r="D4928" s="3"/>
      <c r="E4928" s="2" t="str">
        <f>HYPERLINK("https://old.ukr-mobil.com/konnektor_zaryadki_huawei_p_smart_z_y9_prime_2019_18_pins_usb_type-c_10002412", "Перейти")</f>
        <v>Перейти</v>
      </c>
      <c r="F4928" s="2">
        <v>10002412</v>
      </c>
      <c r="G4928" s="4" t="s">
        <v>5085</v>
      </c>
      <c r="H4928" s="1">
        <v>93</v>
      </c>
      <c r="I4928" s="1">
        <v>21</v>
      </c>
      <c r="J4928" s="1">
        <v>19</v>
      </c>
      <c r="K4928" s="2">
        <v>0.6</v>
      </c>
    </row>
    <row r="4929" spans="1:12">
      <c r="A4929" s="3" t="s">
        <v>2194</v>
      </c>
      <c r="B4929" s="3" t="s">
        <v>5065</v>
      </c>
      <c r="C4929" s="3" t="s">
        <v>1981</v>
      </c>
      <c r="D4929" s="3"/>
      <c r="E4929" s="2" t="str">
        <f>HYPERLINK("https://old.ukr-mobil.com/konnektor_zaryadki_huawei_p_smart_p_smart_plus_p9_lite_y6_2019_y7_2018_honor_10_lite_honor_7a_honor_7x_honor_9_lite_5_pins_micro_usb_10002411", "Перейти")</f>
        <v>Перейти</v>
      </c>
      <c r="F4929" s="2">
        <v>10002411</v>
      </c>
      <c r="G4929" s="4" t="s">
        <v>5086</v>
      </c>
      <c r="H4929" s="1">
        <v>0</v>
      </c>
      <c r="I4929" s="1">
        <v>0</v>
      </c>
      <c r="J4929" s="1">
        <v>0</v>
      </c>
      <c r="K4929" s="2">
        <v>0.37</v>
      </c>
    </row>
    <row r="4930" spans="1:12">
      <c r="A4930" s="3" t="s">
        <v>2194</v>
      </c>
      <c r="B4930" s="3" t="s">
        <v>5065</v>
      </c>
      <c r="C4930" s="3" t="s">
        <v>1981</v>
      </c>
      <c r="D4930" s="3"/>
      <c r="E4930" s="2" t="str">
        <f>HYPERLINK("https://old.ukr-mobil.com/konnektor_zaryadki_huawei_p10_vtr-l29_p10_plus_usb_type-c_11652", "Перейти")</f>
        <v>Перейти</v>
      </c>
      <c r="F4930" s="2">
        <v>11652</v>
      </c>
      <c r="G4930" s="4" t="s">
        <v>5087</v>
      </c>
      <c r="H4930" s="1">
        <v>0</v>
      </c>
      <c r="I4930" s="1">
        <v>0</v>
      </c>
      <c r="J4930" s="1">
        <v>0</v>
      </c>
      <c r="K4930" s="2">
        <v>1.51</v>
      </c>
    </row>
    <row r="4931" spans="1:12">
      <c r="A4931" s="3" t="s">
        <v>2194</v>
      </c>
      <c r="B4931" s="3" t="s">
        <v>5065</v>
      </c>
      <c r="C4931" s="3" t="s">
        <v>1981</v>
      </c>
      <c r="D4931" s="3"/>
      <c r="E4931" s="2" t="str">
        <f>HYPERLINK("https://old.ukr-mobil.com/konnektor_zaryadki_huawei_p9_lite_y3_2017_y5_2017_y6_ii_y7_2017_samsung_t290_galaxy_tab_a_8_0_wifi_t295_galaxy_tab_a_8_0_5_pin_micro-usb_10002408", "Перейти")</f>
        <v>Перейти</v>
      </c>
      <c r="F4931" s="2">
        <v>10002408</v>
      </c>
      <c r="G4931" s="4" t="s">
        <v>5088</v>
      </c>
      <c r="H4931" s="1">
        <v>41</v>
      </c>
      <c r="I4931" s="1">
        <v>8</v>
      </c>
      <c r="J4931" s="1">
        <v>23</v>
      </c>
      <c r="K4931" s="2">
        <v>0.65</v>
      </c>
    </row>
    <row r="4932" spans="1:12">
      <c r="A4932" s="3" t="s">
        <v>2194</v>
      </c>
      <c r="B4932" s="3" t="s">
        <v>5065</v>
      </c>
      <c r="C4932" s="3" t="s">
        <v>1981</v>
      </c>
      <c r="D4932" s="3"/>
      <c r="E4932" s="2" t="str">
        <f>HYPERLINK("https://old.ukr-mobil.com/konnektor_zaryadki_huawei_y210_5332", "Перейти")</f>
        <v>Перейти</v>
      </c>
      <c r="F4932" s="2">
        <v>5332</v>
      </c>
      <c r="G4932" s="4" t="s">
        <v>5089</v>
      </c>
      <c r="H4932" s="1">
        <v>0</v>
      </c>
      <c r="I4932" s="1">
        <v>9</v>
      </c>
      <c r="J4932" s="1">
        <v>18</v>
      </c>
      <c r="K4932" s="2">
        <v>0.81</v>
      </c>
    </row>
    <row r="4933" spans="1:12">
      <c r="A4933" s="3" t="s">
        <v>2194</v>
      </c>
      <c r="B4933" s="3" t="s">
        <v>5065</v>
      </c>
      <c r="C4933" s="3" t="s">
        <v>1981</v>
      </c>
      <c r="D4933" s="3"/>
      <c r="E4933" s="2" t="str">
        <f>HYPERLINK("https://old.ukr-mobil.com/konnektor_zaryadki_iq440_iq436i_era_nano_9_iq4404_iq452_iq456_era_life_2_iq4601_era_style_2_sony_c1503_c1504_c1505_c1604_c1605_4757", "Перейти")</f>
        <v>Перейти</v>
      </c>
      <c r="F4933" s="2">
        <v>4757</v>
      </c>
      <c r="G4933" s="4" t="s">
        <v>5090</v>
      </c>
      <c r="H4933" s="1">
        <v>48</v>
      </c>
      <c r="I4933" s="1">
        <v>0</v>
      </c>
      <c r="J4933" s="1">
        <v>0</v>
      </c>
      <c r="K4933" s="2">
        <v>3.02</v>
      </c>
    </row>
    <row r="4934" spans="1:12">
      <c r="A4934" s="3" t="s">
        <v>2194</v>
      </c>
      <c r="B4934" s="3" t="s">
        <v>5065</v>
      </c>
      <c r="C4934" s="3" t="s">
        <v>1981</v>
      </c>
      <c r="D4934" s="3"/>
      <c r="E4934" s="2" t="str">
        <f>HYPERLINK("https://old.ukr-mobil.com/konnektor_zaryadki_lenovo_a3000_a3300_a3500_a5000_a7000_a10-30_a10-70_a7600_a7-50_5_pin_micro-usb_tip-b_10185", "Перейти")</f>
        <v>Перейти</v>
      </c>
      <c r="F4934" s="2">
        <v>10185</v>
      </c>
      <c r="G4934" s="4" t="s">
        <v>5091</v>
      </c>
      <c r="H4934" s="1">
        <v>350</v>
      </c>
      <c r="I4934" s="1">
        <v>7</v>
      </c>
      <c r="J4934" s="1">
        <v>2</v>
      </c>
      <c r="K4934" s="2">
        <v>0.55</v>
      </c>
    </row>
    <row r="4935" spans="1:12">
      <c r="A4935" s="3" t="s">
        <v>2194</v>
      </c>
      <c r="B4935" s="3" t="s">
        <v>5065</v>
      </c>
      <c r="C4935" s="3" t="s">
        <v>1981</v>
      </c>
      <c r="D4935" s="3"/>
      <c r="E4935" s="2" t="str">
        <f>HYPERLINK("https://old.ukr-mobil.com/konnektor_zaryadki_lenovo_s850_z90-7_vibe_shot_5_pin_9523", "Перейти")</f>
        <v>Перейти</v>
      </c>
      <c r="F4935" s="2">
        <v>9523</v>
      </c>
      <c r="G4935" s="4" t="s">
        <v>5092</v>
      </c>
      <c r="H4935" s="1">
        <v>3</v>
      </c>
      <c r="I4935" s="1">
        <v>10</v>
      </c>
      <c r="J4935" s="1">
        <v>0</v>
      </c>
      <c r="K4935" s="2">
        <v>0.66</v>
      </c>
    </row>
    <row r="4936" spans="1:12">
      <c r="A4936" s="3" t="s">
        <v>2194</v>
      </c>
      <c r="B4936" s="3" t="s">
        <v>5065</v>
      </c>
      <c r="C4936" s="3" t="s">
        <v>1981</v>
      </c>
      <c r="D4936" s="3"/>
      <c r="E4936" s="2" t="str">
        <f>HYPERLINK("https://old.ukr-mobil.com/konnektor_zaryadki_lg_b2000_c3600_kg130_kg330_290", "Перейти")</f>
        <v>Перейти</v>
      </c>
      <c r="F4936" s="2">
        <v>290</v>
      </c>
      <c r="G4936" s="4" t="s">
        <v>5093</v>
      </c>
      <c r="H4936" s="1">
        <v>110</v>
      </c>
      <c r="I4936" s="1">
        <v>0</v>
      </c>
      <c r="J4936" s="1">
        <v>0</v>
      </c>
      <c r="K4936" s="2">
        <v>0.6</v>
      </c>
    </row>
    <row r="4937" spans="1:12">
      <c r="A4937" s="3" t="s">
        <v>2194</v>
      </c>
      <c r="B4937" s="3" t="s">
        <v>5065</v>
      </c>
      <c r="C4937" s="3" t="s">
        <v>1981</v>
      </c>
      <c r="D4937" s="3"/>
      <c r="E4937" s="2" t="str">
        <f>HYPERLINK("https://old.ukr-mobil.com/konnektor_zaryadki_lg_g4_h810_h815_h818_d380_d335_8558", "Перейти")</f>
        <v>Перейти</v>
      </c>
      <c r="F4937" s="2">
        <v>8558</v>
      </c>
      <c r="G4937" s="4" t="s">
        <v>5094</v>
      </c>
      <c r="H4937" s="1">
        <v>0</v>
      </c>
      <c r="I4937" s="1">
        <v>0</v>
      </c>
      <c r="J4937" s="1">
        <v>0</v>
      </c>
      <c r="K4937" s="2">
        <v>1.01</v>
      </c>
    </row>
    <row r="4938" spans="1:12">
      <c r="A4938" s="3" t="s">
        <v>2194</v>
      </c>
      <c r="B4938" s="3" t="s">
        <v>5065</v>
      </c>
      <c r="C4938" s="3" t="s">
        <v>1981</v>
      </c>
      <c r="D4938" s="3"/>
      <c r="E4938" s="2" t="str">
        <f>HYPERLINK("https://old.ukr-mobil.com/konnektor_zaryadki_lg_g5_h820_g5_h830_g5_h850_g5_ls992_g5_se_h840_g5_se_h845_g5_us992_g5_vs987_usb_type-c_8419", "Перейти")</f>
        <v>Перейти</v>
      </c>
      <c r="F4938" s="2">
        <v>8419</v>
      </c>
      <c r="G4938" s="4" t="s">
        <v>5095</v>
      </c>
      <c r="H4938" s="1">
        <v>29</v>
      </c>
      <c r="I4938" s="1">
        <v>0</v>
      </c>
      <c r="J4938" s="1">
        <v>0</v>
      </c>
      <c r="K4938" s="2">
        <v>1.01</v>
      </c>
    </row>
    <row r="4939" spans="1:12">
      <c r="A4939" s="3" t="s">
        <v>2194</v>
      </c>
      <c r="B4939" s="3" t="s">
        <v>5065</v>
      </c>
      <c r="C4939" s="3" t="s">
        <v>1981</v>
      </c>
      <c r="D4939" s="3"/>
      <c r="E4939" s="2" t="str">
        <f>HYPERLINK("https://old.ukr-mobil.com/konnektor_zaryadki_lg_h870_g6_h871_h872_h873_ls993_us997_vs998_usb_type-c_11651", "Перейти")</f>
        <v>Перейти</v>
      </c>
      <c r="F4939" s="2">
        <v>11651</v>
      </c>
      <c r="G4939" s="4" t="s">
        <v>5096</v>
      </c>
      <c r="H4939" s="1">
        <v>28</v>
      </c>
      <c r="I4939" s="1">
        <v>22</v>
      </c>
      <c r="J4939" s="1">
        <v>8</v>
      </c>
      <c r="K4939" s="2">
        <v>1.45</v>
      </c>
    </row>
    <row r="4940" spans="1:12">
      <c r="A4940" s="3" t="s">
        <v>2194</v>
      </c>
      <c r="B4940" s="3" t="s">
        <v>5065</v>
      </c>
      <c r="C4940" s="3" t="s">
        <v>1981</v>
      </c>
      <c r="D4940" s="3"/>
      <c r="E4940" s="2" t="str">
        <f>HYPERLINK("https://old.ukr-mobil.com/konnektor_zaryadki_lg_km500_1253", "Перейти")</f>
        <v>Перейти</v>
      </c>
      <c r="F4940" s="2">
        <v>1253</v>
      </c>
      <c r="G4940" s="4" t="s">
        <v>5097</v>
      </c>
      <c r="H4940" s="1">
        <v>0</v>
      </c>
      <c r="I4940" s="1">
        <v>0</v>
      </c>
      <c r="J4940" s="1">
        <v>0</v>
      </c>
      <c r="K4940" s="2">
        <v>0.6</v>
      </c>
    </row>
    <row r="4941" spans="1:12">
      <c r="A4941" s="3" t="s">
        <v>2194</v>
      </c>
      <c r="B4941" s="3" t="s">
        <v>5065</v>
      </c>
      <c r="C4941" s="3" t="s">
        <v>1981</v>
      </c>
      <c r="D4941" s="3"/>
      <c r="E4941" s="2" t="str">
        <f>HYPERLINK("https://old.ukr-mobil.com/konnektor_zaryadki_meizu_mx5_8579", "Перейти")</f>
        <v>Перейти</v>
      </c>
      <c r="F4941" s="2">
        <v>8579</v>
      </c>
      <c r="G4941" s="4" t="s">
        <v>5098</v>
      </c>
      <c r="H4941" s="1">
        <v>14</v>
      </c>
      <c r="I4941" s="1">
        <v>0</v>
      </c>
      <c r="J4941" s="1">
        <v>0</v>
      </c>
      <c r="K4941" s="2">
        <v>0.76</v>
      </c>
    </row>
    <row r="4942" spans="1:12">
      <c r="A4942" s="3" t="s">
        <v>2194</v>
      </c>
      <c r="B4942" s="3" t="s">
        <v>5065</v>
      </c>
      <c r="C4942" s="3" t="s">
        <v>1981</v>
      </c>
      <c r="D4942" s="3"/>
      <c r="E4942" s="2" t="str">
        <f>HYPERLINK("https://old.ukr-mobil.com/konnektor_zaryadki_meizu_mx5_pro_usb_type-c_8582", "Перейти")</f>
        <v>Перейти</v>
      </c>
      <c r="F4942" s="2">
        <v>8582</v>
      </c>
      <c r="G4942" s="4" t="s">
        <v>5099</v>
      </c>
      <c r="H4942" s="1">
        <v>31</v>
      </c>
      <c r="I4942" s="1">
        <v>0</v>
      </c>
      <c r="J4942" s="1">
        <v>3</v>
      </c>
      <c r="K4942" s="2">
        <v>2.52</v>
      </c>
    </row>
    <row r="4943" spans="1:12">
      <c r="A4943" s="3" t="s">
        <v>2194</v>
      </c>
      <c r="B4943" s="3" t="s">
        <v>5065</v>
      </c>
      <c r="C4943" s="3" t="s">
        <v>1981</v>
      </c>
      <c r="D4943" s="3"/>
      <c r="E4943" s="2" t="str">
        <f>HYPERLINK("https://old.ukr-mobil.com/konnektor_zaryadki_motorola_g8_play_xt2015_g9_play_xt2083_e7_plus_xt2081_usb_type-c_10003846", "Перейти")</f>
        <v>Перейти</v>
      </c>
      <c r="F4943" s="2">
        <v>10003846</v>
      </c>
      <c r="G4943" s="4" t="s">
        <v>5100</v>
      </c>
      <c r="H4943" s="1">
        <v>81</v>
      </c>
      <c r="I4943" s="1">
        <v>23</v>
      </c>
      <c r="J4943" s="1">
        <v>11</v>
      </c>
      <c r="K4943" s="2">
        <v>0.95</v>
      </c>
    </row>
    <row r="4944" spans="1:12">
      <c r="A4944" s="3" t="s">
        <v>2194</v>
      </c>
      <c r="B4944" s="3" t="s">
        <v>5065</v>
      </c>
      <c r="C4944" s="3" t="s">
        <v>1981</v>
      </c>
      <c r="D4944" s="3"/>
      <c r="E4944" s="2" t="str">
        <f>HYPERLINK("https://old.ukr-mobil.com/konnektor_zaryadki_xt1650_moto_x_xt1635-02_moto_z_play_usb_type-c_11650", "Перейти")</f>
        <v>Перейти</v>
      </c>
      <c r="F4944" s="2">
        <v>11650</v>
      </c>
      <c r="G4944" s="4" t="s">
        <v>5101</v>
      </c>
      <c r="H4944" s="1">
        <v>0</v>
      </c>
      <c r="I4944" s="1">
        <v>0</v>
      </c>
      <c r="J4944" s="1">
        <v>0</v>
      </c>
      <c r="K4944" s="2">
        <v>0.75</v>
      </c>
    </row>
    <row r="4945" spans="1:12">
      <c r="A4945" s="3" t="s">
        <v>2194</v>
      </c>
      <c r="B4945" s="3" t="s">
        <v>5065</v>
      </c>
      <c r="C4945" s="3" t="s">
        <v>1981</v>
      </c>
      <c r="D4945" s="3"/>
      <c r="E4945" s="2" t="str">
        <f>HYPERLINK("https://old.ukr-mobil.com/konnektor_zaryadki_motorola_xt1929_moto_z3_play_usb_type-c_10002157", "Перейти")</f>
        <v>Перейти</v>
      </c>
      <c r="F4945" s="2">
        <v>10002157</v>
      </c>
      <c r="G4945" s="4" t="s">
        <v>5102</v>
      </c>
      <c r="H4945" s="1">
        <v>11</v>
      </c>
      <c r="I4945" s="1">
        <v>0</v>
      </c>
      <c r="J4945" s="1">
        <v>7</v>
      </c>
      <c r="K4945" s="2">
        <v>1.25</v>
      </c>
    </row>
    <row r="4946" spans="1:12">
      <c r="A4946" s="3" t="s">
        <v>2194</v>
      </c>
      <c r="B4946" s="3" t="s">
        <v>5065</v>
      </c>
      <c r="C4946" s="3" t="s">
        <v>1981</v>
      </c>
      <c r="D4946" s="3"/>
      <c r="E4946" s="2" t="str">
        <f>HYPERLINK("https://old.ukr-mobil.com/konnektor_zaryadki_motorola_xt1941-2_moto_p30_play_usb_type-c_10002169", "Перейти")</f>
        <v>Перейти</v>
      </c>
      <c r="F4946" s="2">
        <v>10002169</v>
      </c>
      <c r="G4946" s="4" t="s">
        <v>5103</v>
      </c>
      <c r="H4946" s="1">
        <v>18</v>
      </c>
      <c r="I4946" s="1">
        <v>0</v>
      </c>
      <c r="J4946" s="1">
        <v>9</v>
      </c>
      <c r="K4946" s="2">
        <v>1.5</v>
      </c>
    </row>
    <row r="4947" spans="1:12">
      <c r="A4947" s="3" t="s">
        <v>2194</v>
      </c>
      <c r="B4947" s="3" t="s">
        <v>5065</v>
      </c>
      <c r="C4947" s="3" t="s">
        <v>1981</v>
      </c>
      <c r="D4947" s="3"/>
      <c r="E4947" s="2" t="str">
        <f>HYPERLINK("https://old.ukr-mobil.com/konnektor_zaryadki_motorola_xt1952_moto_g7_play_xt2045-2_moto_g8_xt2087_moto_g9_plus_usb_type-c_10002155", "Перейти")</f>
        <v>Перейти</v>
      </c>
      <c r="F4947" s="2">
        <v>10002155</v>
      </c>
      <c r="G4947" s="4" t="s">
        <v>5104</v>
      </c>
      <c r="H4947" s="1">
        <v>108</v>
      </c>
      <c r="I4947" s="1">
        <v>44</v>
      </c>
      <c r="J4947" s="1">
        <v>17</v>
      </c>
      <c r="K4947" s="2">
        <v>0.8</v>
      </c>
    </row>
    <row r="4948" spans="1:12">
      <c r="A4948" s="3" t="s">
        <v>2194</v>
      </c>
      <c r="B4948" s="3" t="s">
        <v>5065</v>
      </c>
      <c r="C4948" s="3" t="s">
        <v>1981</v>
      </c>
      <c r="D4948" s="3"/>
      <c r="E4948" s="2" t="str">
        <f>HYPERLINK("https://old.ukr-mobil.com/konnektor_zaryadki_motorola_xt1962_moto_g7_xt1965_moto_g7_plus_xt2019_moto_g8_plus_usb_type-c_10002156", "Перейти")</f>
        <v>Перейти</v>
      </c>
      <c r="F4948" s="2">
        <v>10002156</v>
      </c>
      <c r="G4948" s="4" t="s">
        <v>5105</v>
      </c>
      <c r="H4948" s="1">
        <v>0</v>
      </c>
      <c r="I4948" s="1">
        <v>0</v>
      </c>
      <c r="J4948" s="1">
        <v>0</v>
      </c>
      <c r="K4948" s="2">
        <v>0.95</v>
      </c>
    </row>
    <row r="4949" spans="1:12">
      <c r="A4949" s="3" t="s">
        <v>2194</v>
      </c>
      <c r="B4949" s="3" t="s">
        <v>5065</v>
      </c>
      <c r="C4949" s="3" t="s">
        <v>1981</v>
      </c>
      <c r="D4949" s="3"/>
      <c r="E4949" s="2" t="str">
        <f>HYPERLINK("https://old.ukr-mobil.com/konnektor_zaryadki_motorola_xt2013-2_moto_one_action_usb_type-c_10002168", "Перейти")</f>
        <v>Перейти</v>
      </c>
      <c r="F4949" s="2">
        <v>10002168</v>
      </c>
      <c r="G4949" s="4" t="s">
        <v>5106</v>
      </c>
      <c r="H4949" s="1">
        <v>8</v>
      </c>
      <c r="I4949" s="1">
        <v>4</v>
      </c>
      <c r="J4949" s="1">
        <v>8</v>
      </c>
      <c r="K4949" s="2">
        <v>1.25</v>
      </c>
    </row>
    <row r="4950" spans="1:12">
      <c r="A4950" s="3" t="s">
        <v>2194</v>
      </c>
      <c r="B4950" s="3" t="s">
        <v>5065</v>
      </c>
      <c r="C4950" s="3" t="s">
        <v>1981</v>
      </c>
      <c r="D4950" s="3"/>
      <c r="E4950" s="2" t="str">
        <f>HYPERLINK("https://old.ukr-mobil.com/konnektor_zaryadki_nokia_800_lumia_n900_4087", "Перейти")</f>
        <v>Перейти</v>
      </c>
      <c r="F4950" s="2">
        <v>4087</v>
      </c>
      <c r="G4950" s="4" t="s">
        <v>5107</v>
      </c>
      <c r="H4950" s="1">
        <v>0</v>
      </c>
      <c r="I4950" s="1">
        <v>0</v>
      </c>
      <c r="J4950" s="1">
        <v>0</v>
      </c>
      <c r="K4950" s="2">
        <v>1.51</v>
      </c>
    </row>
    <row r="4951" spans="1:12">
      <c r="A4951" s="3" t="s">
        <v>2194</v>
      </c>
      <c r="B4951" s="3" t="s">
        <v>5065</v>
      </c>
      <c r="C4951" s="3" t="s">
        <v>1981</v>
      </c>
      <c r="D4951" s="3"/>
      <c r="E4951" s="2" t="str">
        <f>HYPERLINK("https://old.ukr-mobil.com/konnektor_zaryadki_nokia_8600_6500s_254", "Перейти")</f>
        <v>Перейти</v>
      </c>
      <c r="F4951" s="2">
        <v>254</v>
      </c>
      <c r="G4951" s="4" t="s">
        <v>5108</v>
      </c>
      <c r="H4951" s="1">
        <v>0</v>
      </c>
      <c r="I4951" s="1">
        <v>5843</v>
      </c>
      <c r="J4951" s="1">
        <v>0</v>
      </c>
      <c r="K4951" s="2">
        <v>0.4</v>
      </c>
    </row>
    <row r="4952" spans="1:12">
      <c r="A4952" s="3" t="s">
        <v>2194</v>
      </c>
      <c r="B4952" s="3" t="s">
        <v>5065</v>
      </c>
      <c r="C4952" s="3" t="s">
        <v>1981</v>
      </c>
      <c r="D4952" s="3"/>
      <c r="E4952" s="2" t="str">
        <f>HYPERLINK("https://old.ukr-mobil.com/konnektor_zaryadki_nokia_8800_1368", "Перейти")</f>
        <v>Перейти</v>
      </c>
      <c r="F4952" s="2">
        <v>1368</v>
      </c>
      <c r="G4952" s="4" t="s">
        <v>5109</v>
      </c>
      <c r="H4952" s="1">
        <v>0</v>
      </c>
      <c r="I4952" s="1">
        <v>0</v>
      </c>
      <c r="J4952" s="1">
        <v>0</v>
      </c>
      <c r="K4952" s="2">
        <v>0.6</v>
      </c>
    </row>
    <row r="4953" spans="1:12">
      <c r="A4953" s="3" t="s">
        <v>2194</v>
      </c>
      <c r="B4953" s="3" t="s">
        <v>5065</v>
      </c>
      <c r="C4953" s="3" t="s">
        <v>1981</v>
      </c>
      <c r="D4953" s="3"/>
      <c r="E4953" s="2" t="str">
        <f>HYPERLINK("https://old.ukr-mobil.com/konnektor_zaryadki_nokia_8800se_1366", "Перейти")</f>
        <v>Перейти</v>
      </c>
      <c r="F4953" s="2">
        <v>1366</v>
      </c>
      <c r="G4953" s="4" t="s">
        <v>5110</v>
      </c>
      <c r="H4953" s="1">
        <v>0</v>
      </c>
      <c r="I4953" s="1">
        <v>0</v>
      </c>
      <c r="J4953" s="1">
        <v>0</v>
      </c>
      <c r="K4953" s="2">
        <v>1.11</v>
      </c>
    </row>
    <row r="4954" spans="1:12">
      <c r="A4954" s="3" t="s">
        <v>2194</v>
      </c>
      <c r="B4954" s="3" t="s">
        <v>5065</v>
      </c>
      <c r="C4954" s="3" t="s">
        <v>1981</v>
      </c>
      <c r="D4954" s="3"/>
      <c r="E4954" s="2" t="str">
        <f>HYPERLINK("https://old.ukr-mobil.com/konnektor_zaryadki_nokia_e52_e55_n97_1256", "Перейти")</f>
        <v>Перейти</v>
      </c>
      <c r="F4954" s="2">
        <v>1256</v>
      </c>
      <c r="G4954" s="4" t="s">
        <v>5111</v>
      </c>
      <c r="H4954" s="1">
        <v>80</v>
      </c>
      <c r="I4954" s="1">
        <v>0</v>
      </c>
      <c r="J4954" s="1">
        <v>0</v>
      </c>
      <c r="K4954" s="2">
        <v>0.4</v>
      </c>
    </row>
    <row r="4955" spans="1:12">
      <c r="A4955" s="3" t="s">
        <v>2194</v>
      </c>
      <c r="B4955" s="3" t="s">
        <v>5065</v>
      </c>
      <c r="C4955" s="3" t="s">
        <v>1981</v>
      </c>
      <c r="D4955" s="3"/>
      <c r="E4955" s="2" t="str">
        <f>HYPERLINK("https://old.ukr-mobil.com/konnektor_zaryadki_nokia_e7_3942", "Перейти")</f>
        <v>Перейти</v>
      </c>
      <c r="F4955" s="2">
        <v>3942</v>
      </c>
      <c r="G4955" s="4" t="s">
        <v>5112</v>
      </c>
      <c r="H4955" s="1">
        <v>0</v>
      </c>
      <c r="I4955" s="1">
        <v>0</v>
      </c>
      <c r="J4955" s="1">
        <v>0</v>
      </c>
      <c r="K4955" s="2">
        <v>0.5</v>
      </c>
    </row>
    <row r="4956" spans="1:12">
      <c r="A4956" s="3" t="s">
        <v>2194</v>
      </c>
      <c r="B4956" s="3" t="s">
        <v>5065</v>
      </c>
      <c r="C4956" s="3" t="s">
        <v>1981</v>
      </c>
      <c r="D4956" s="3"/>
      <c r="E4956" s="2" t="str">
        <f>HYPERLINK("https://old.ukr-mobil.com/konnektor_zaryadki_nokia_n78_n81_n82_c7_1255", "Перейти")</f>
        <v>Перейти</v>
      </c>
      <c r="F4956" s="2">
        <v>1255</v>
      </c>
      <c r="G4956" s="4" t="s">
        <v>5113</v>
      </c>
      <c r="H4956" s="1">
        <v>0</v>
      </c>
      <c r="I4956" s="1">
        <v>0</v>
      </c>
      <c r="J4956" s="1">
        <v>0</v>
      </c>
      <c r="K4956" s="2">
        <v>0.3</v>
      </c>
    </row>
    <row r="4957" spans="1:12">
      <c r="A4957" s="3" t="s">
        <v>2194</v>
      </c>
      <c r="B4957" s="3" t="s">
        <v>5065</v>
      </c>
      <c r="C4957" s="3" t="s">
        <v>1981</v>
      </c>
      <c r="D4957" s="3"/>
      <c r="E4957" s="2" t="str">
        <f>HYPERLINK("https://old.ukr-mobil.com/konnektor_zaryadki_samsung_a205_galaxy_a20_a305_a30_a405_a40_a505_a50_a705_a70_usb_type_c_10001328", "Перейти")</f>
        <v>Перейти</v>
      </c>
      <c r="F4957" s="2">
        <v>10001328</v>
      </c>
      <c r="G4957" s="4" t="s">
        <v>5114</v>
      </c>
      <c r="H4957" s="1">
        <v>0</v>
      </c>
      <c r="I4957" s="1">
        <v>2</v>
      </c>
      <c r="J4957" s="1">
        <v>0</v>
      </c>
      <c r="K4957" s="2">
        <v>0.6</v>
      </c>
    </row>
    <row r="4958" spans="1:12">
      <c r="A4958" s="3" t="s">
        <v>2194</v>
      </c>
      <c r="B4958" s="3" t="s">
        <v>5065</v>
      </c>
      <c r="C4958" s="3" t="s">
        <v>1981</v>
      </c>
      <c r="D4958" s="3"/>
      <c r="E4958" s="2" t="str">
        <f>HYPERLINK("https://old.ukr-mobil.com/konnektor_zaryadki_samsung_a207_galaxy_a20s_16_pin_usb_type_c_10002410", "Перейти")</f>
        <v>Перейти</v>
      </c>
      <c r="F4958" s="2">
        <v>10002410</v>
      </c>
      <c r="G4958" s="4" t="s">
        <v>5115</v>
      </c>
      <c r="H4958" s="1">
        <v>4</v>
      </c>
      <c r="I4958" s="1">
        <v>0</v>
      </c>
      <c r="J4958" s="1">
        <v>4</v>
      </c>
      <c r="K4958" s="2">
        <v>0.75</v>
      </c>
    </row>
    <row r="4959" spans="1:12">
      <c r="A4959" s="3" t="s">
        <v>2194</v>
      </c>
      <c r="B4959" s="3" t="s">
        <v>5065</v>
      </c>
      <c r="C4959" s="3" t="s">
        <v>1981</v>
      </c>
      <c r="D4959" s="3"/>
      <c r="E4959" s="2" t="str">
        <f>HYPERLINK("https://old.ukr-mobil.com/konnektor_zaryadki_samsung_a320_galaxy_a3_2017_a520_galaxy_a5_2017_a720f_galaxy_a7_2017_11053", "Перейти")</f>
        <v>Перейти</v>
      </c>
      <c r="F4959" s="2">
        <v>11053</v>
      </c>
      <c r="G4959" s="4" t="s">
        <v>5116</v>
      </c>
      <c r="H4959" s="1">
        <v>3</v>
      </c>
      <c r="I4959" s="1">
        <v>5</v>
      </c>
      <c r="J4959" s="1">
        <v>0</v>
      </c>
      <c r="K4959" s="2">
        <v>2.27</v>
      </c>
    </row>
    <row r="4960" spans="1:12">
      <c r="A4960" s="3" t="s">
        <v>2194</v>
      </c>
      <c r="B4960" s="3" t="s">
        <v>5065</v>
      </c>
      <c r="C4960" s="3" t="s">
        <v>1981</v>
      </c>
      <c r="D4960" s="3"/>
      <c r="E4960" s="2" t="str">
        <f>HYPERLINK("https://old.ukr-mobil.com/konnektor_zaryadki_samsung_a530_galaxy_a8_2018_a730_galaxy_a8_plus_usb_type-c_10001329", "Перейти")</f>
        <v>Перейти</v>
      </c>
      <c r="F4960" s="2">
        <v>10001329</v>
      </c>
      <c r="G4960" s="4" t="s">
        <v>5117</v>
      </c>
      <c r="H4960" s="1">
        <v>0</v>
      </c>
      <c r="I4960" s="1">
        <v>0</v>
      </c>
      <c r="J4960" s="1">
        <v>0</v>
      </c>
      <c r="K4960" s="2">
        <v>1.7</v>
      </c>
    </row>
    <row r="4961" spans="1:12">
      <c r="A4961" s="3" t="s">
        <v>2194</v>
      </c>
      <c r="B4961" s="3" t="s">
        <v>5065</v>
      </c>
      <c r="C4961" s="3" t="s">
        <v>1981</v>
      </c>
      <c r="D4961" s="3"/>
      <c r="E4961" s="2" t="str">
        <f>HYPERLINK("https://old.ukr-mobil.com/konnektor_zaryadki_samsung_c140_c160_c250_c260_201", "Перейти")</f>
        <v>Перейти</v>
      </c>
      <c r="F4961" s="2">
        <v>201</v>
      </c>
      <c r="G4961" s="4" t="s">
        <v>5118</v>
      </c>
      <c r="H4961" s="1">
        <v>0</v>
      </c>
      <c r="I4961" s="1">
        <v>0</v>
      </c>
      <c r="J4961" s="1">
        <v>0</v>
      </c>
      <c r="K4961" s="2">
        <v>0.45</v>
      </c>
    </row>
    <row r="4962" spans="1:12">
      <c r="A4962" s="3" t="s">
        <v>2194</v>
      </c>
      <c r="B4962" s="3" t="s">
        <v>5065</v>
      </c>
      <c r="C4962" s="3" t="s">
        <v>1981</v>
      </c>
      <c r="D4962" s="3"/>
      <c r="E4962" s="2" t="str">
        <f>HYPERLINK("https://old.ukr-mobil.com/konnektor_zaryadki_samsung_c170_u100_442", "Перейти")</f>
        <v>Перейти</v>
      </c>
      <c r="F4962" s="2">
        <v>442</v>
      </c>
      <c r="G4962" s="4" t="s">
        <v>5119</v>
      </c>
      <c r="H4962" s="1">
        <v>0</v>
      </c>
      <c r="I4962" s="1">
        <v>0</v>
      </c>
      <c r="J4962" s="1">
        <v>0</v>
      </c>
      <c r="K4962" s="2">
        <v>0.4</v>
      </c>
    </row>
    <row r="4963" spans="1:12">
      <c r="A4963" s="3" t="s">
        <v>2194</v>
      </c>
      <c r="B4963" s="3" t="s">
        <v>5065</v>
      </c>
      <c r="C4963" s="3" t="s">
        <v>1981</v>
      </c>
      <c r="D4963" s="3"/>
      <c r="E4963" s="2" t="str">
        <f>HYPERLINK("https://old.ukr-mobil.com/konnektor_zaryadki_samsung_c3312_c3322_c3330_c3350_c3520_c3560_c3752_c3782_e2222_e2530_i9250_s5300_s5360_s5380_s5570_s56_3594", "Перейти")</f>
        <v>Перейти</v>
      </c>
      <c r="F4963" s="2">
        <v>3594</v>
      </c>
      <c r="G4963" s="4" t="s">
        <v>5120</v>
      </c>
      <c r="H4963" s="1">
        <v>0</v>
      </c>
      <c r="I4963" s="1">
        <v>0</v>
      </c>
      <c r="J4963" s="1">
        <v>0</v>
      </c>
      <c r="K4963" s="2">
        <v>0.45</v>
      </c>
    </row>
    <row r="4964" spans="1:12">
      <c r="A4964" s="3" t="s">
        <v>2194</v>
      </c>
      <c r="B4964" s="3" t="s">
        <v>5065</v>
      </c>
      <c r="C4964" s="3" t="s">
        <v>1981</v>
      </c>
      <c r="D4964" s="3"/>
      <c r="E4964" s="2" t="str">
        <f>HYPERLINK("https://old.ukr-mobil.com/konnektor_zaryadki_samsung_e200_200", "Перейти")</f>
        <v>Перейти</v>
      </c>
      <c r="F4964" s="2">
        <v>200</v>
      </c>
      <c r="G4964" s="4" t="s">
        <v>5121</v>
      </c>
      <c r="H4964" s="1">
        <v>6</v>
      </c>
      <c r="I4964" s="1">
        <v>0</v>
      </c>
      <c r="J4964" s="1">
        <v>0</v>
      </c>
      <c r="K4964" s="2">
        <v>0.5</v>
      </c>
    </row>
    <row r="4965" spans="1:12">
      <c r="A4965" s="3" t="s">
        <v>2194</v>
      </c>
      <c r="B4965" s="3" t="s">
        <v>5065</v>
      </c>
      <c r="C4965" s="3" t="s">
        <v>1981</v>
      </c>
      <c r="D4965" s="3"/>
      <c r="E4965" s="2" t="str">
        <f>HYPERLINK("https://old.ukr-mobil.com/konnektor_zaryadki_samsung_g930f_galaxy_s7_g935f_galaxy_s7_edge_11193", "Перейти")</f>
        <v>Перейти</v>
      </c>
      <c r="F4965" s="2">
        <v>11193</v>
      </c>
      <c r="G4965" s="4" t="s">
        <v>5122</v>
      </c>
      <c r="H4965" s="1">
        <v>0</v>
      </c>
      <c r="I4965" s="1">
        <v>0</v>
      </c>
      <c r="J4965" s="1">
        <v>0</v>
      </c>
      <c r="K4965" s="2">
        <v>2.52</v>
      </c>
    </row>
    <row r="4966" spans="1:12">
      <c r="A4966" s="3" t="s">
        <v>2194</v>
      </c>
      <c r="B4966" s="3" t="s">
        <v>5065</v>
      </c>
      <c r="C4966" s="3" t="s">
        <v>1981</v>
      </c>
      <c r="D4966" s="3"/>
      <c r="E4966" s="2" t="str">
        <f>HYPERLINK("https://old.ukr-mobil.com/konnektor_zaryadki_samsung_g950_galaxy_s8_g955_galaxy_s8_plus_usb_type-c_11654", "Перейти")</f>
        <v>Перейти</v>
      </c>
      <c r="F4966" s="2">
        <v>11654</v>
      </c>
      <c r="G4966" s="4" t="s">
        <v>5123</v>
      </c>
      <c r="H4966" s="1">
        <v>92</v>
      </c>
      <c r="I4966" s="1">
        <v>33</v>
      </c>
      <c r="J4966" s="1">
        <v>0</v>
      </c>
      <c r="K4966" s="2">
        <v>0.7</v>
      </c>
    </row>
    <row r="4967" spans="1:12">
      <c r="A4967" s="3" t="s">
        <v>2194</v>
      </c>
      <c r="B4967" s="3" t="s">
        <v>5065</v>
      </c>
      <c r="C4967" s="3" t="s">
        <v>1981</v>
      </c>
      <c r="D4967" s="3"/>
      <c r="E4967" s="2" t="str">
        <f>HYPERLINK("https://old.ukr-mobil.com/konnektor_zaryadki_samsung_g970_galaxy_s10e_g973_galaxy_s10_g975_galaxy_s10_plus_usb_type-c_12178", "Перейти")</f>
        <v>Перейти</v>
      </c>
      <c r="F4967" s="2">
        <v>12178</v>
      </c>
      <c r="G4967" s="4" t="s">
        <v>5124</v>
      </c>
      <c r="H4967" s="1">
        <v>87</v>
      </c>
      <c r="I4967" s="1">
        <v>22</v>
      </c>
      <c r="J4967" s="1">
        <v>0</v>
      </c>
      <c r="K4967" s="2">
        <v>1.75</v>
      </c>
    </row>
    <row r="4968" spans="1:12">
      <c r="A4968" s="3" t="s">
        <v>2194</v>
      </c>
      <c r="B4968" s="3" t="s">
        <v>5065</v>
      </c>
      <c r="C4968" s="3" t="s">
        <v>1981</v>
      </c>
      <c r="D4968" s="3"/>
      <c r="E4968" s="2" t="str">
        <f>HYPERLINK("https://old.ukr-mobil.com/konnektor_zaryadki_samsung_i8160_4503", "Перейти")</f>
        <v>Перейти</v>
      </c>
      <c r="F4968" s="2">
        <v>4503</v>
      </c>
      <c r="G4968" s="4" t="s">
        <v>5125</v>
      </c>
      <c r="H4968" s="1">
        <v>22</v>
      </c>
      <c r="I4968" s="1">
        <v>0</v>
      </c>
      <c r="J4968" s="1">
        <v>0</v>
      </c>
      <c r="K4968" s="2">
        <v>1.26</v>
      </c>
    </row>
    <row r="4969" spans="1:12">
      <c r="A4969" s="3" t="s">
        <v>2194</v>
      </c>
      <c r="B4969" s="3" t="s">
        <v>5065</v>
      </c>
      <c r="C4969" s="3" t="s">
        <v>1981</v>
      </c>
      <c r="D4969" s="3"/>
      <c r="E4969" s="2" t="str">
        <f>HYPERLINK("https://old.ukr-mobil.com/konnektor_zaryadki_samsung_i8262_i9190_i9195_s5310_s6310_5611", "Перейти")</f>
        <v>Перейти</v>
      </c>
      <c r="F4969" s="2">
        <v>5611</v>
      </c>
      <c r="G4969" s="4" t="s">
        <v>5126</v>
      </c>
      <c r="H4969" s="1">
        <v>145</v>
      </c>
      <c r="I4969" s="1">
        <v>0</v>
      </c>
      <c r="J4969" s="1">
        <v>0</v>
      </c>
      <c r="K4969" s="2">
        <v>0.5</v>
      </c>
    </row>
    <row r="4970" spans="1:12">
      <c r="A4970" s="3" t="s">
        <v>2194</v>
      </c>
      <c r="B4970" s="3" t="s">
        <v>5065</v>
      </c>
      <c r="C4970" s="3" t="s">
        <v>1981</v>
      </c>
      <c r="D4970" s="3"/>
      <c r="E4970" s="2" t="str">
        <f>HYPERLINK("https://old.ukr-mobil.com/konnektor_zaryadki_samsung_i9070_s5310_i9050_i699_s6108_s6358_i727_s6102_s6532_3598", "Перейти")</f>
        <v>Перейти</v>
      </c>
      <c r="F4970" s="2">
        <v>3598</v>
      </c>
      <c r="G4970" s="4" t="s">
        <v>5127</v>
      </c>
      <c r="H4970" s="1">
        <v>271</v>
      </c>
      <c r="I4970" s="1">
        <v>2</v>
      </c>
      <c r="J4970" s="1">
        <v>30</v>
      </c>
      <c r="K4970" s="2">
        <v>0.55</v>
      </c>
    </row>
    <row r="4971" spans="1:12">
      <c r="A4971" s="3" t="s">
        <v>2194</v>
      </c>
      <c r="B4971" s="3" t="s">
        <v>5065</v>
      </c>
      <c r="C4971" s="3" t="s">
        <v>1981</v>
      </c>
      <c r="D4971" s="3"/>
      <c r="E4971" s="2" t="str">
        <f>HYPERLINK("https://old.ukr-mobil.com/konnektor_zaryadki_samsung_n950_galaxy_note_8_usb_type-c_11655", "Перейти")</f>
        <v>Перейти</v>
      </c>
      <c r="F4971" s="2">
        <v>11655</v>
      </c>
      <c r="G4971" s="4" t="s">
        <v>5128</v>
      </c>
      <c r="H4971" s="1">
        <v>30</v>
      </c>
      <c r="I4971" s="1">
        <v>10</v>
      </c>
      <c r="J4971" s="1">
        <v>10</v>
      </c>
      <c r="K4971" s="2">
        <v>1.51</v>
      </c>
    </row>
    <row r="4972" spans="1:12">
      <c r="A4972" s="3" t="s">
        <v>2194</v>
      </c>
      <c r="B4972" s="3" t="s">
        <v>5065</v>
      </c>
      <c r="C4972" s="3" t="s">
        <v>1981</v>
      </c>
      <c r="D4972" s="3"/>
      <c r="E4972" s="2" t="str">
        <f>HYPERLINK("https://old.ukr-mobil.com/konnektor_zaryadki_samsung_samsung_p3200_galaxy_tab3_p5200_galaxy_tab3_p5210_galaxy_tab3_t210_t2100_galaxy_tab_3_t2110_galaxy_tab_3_t230_galaxy_5519", "Перейти")</f>
        <v>Перейти</v>
      </c>
      <c r="F4972" s="2">
        <v>5519</v>
      </c>
      <c r="G4972" s="4" t="s">
        <v>5129</v>
      </c>
      <c r="H4972" s="1">
        <v>55</v>
      </c>
      <c r="I4972" s="1">
        <v>17</v>
      </c>
      <c r="J4972" s="1">
        <v>0</v>
      </c>
      <c r="K4972" s="2">
        <v>0.55</v>
      </c>
    </row>
    <row r="4973" spans="1:12">
      <c r="A4973" s="3" t="s">
        <v>2194</v>
      </c>
      <c r="B4973" s="3" t="s">
        <v>5065</v>
      </c>
      <c r="C4973" s="3" t="s">
        <v>1981</v>
      </c>
      <c r="D4973" s="3"/>
      <c r="E4973" s="2" t="str">
        <f>HYPERLINK("https://old.ukr-mobil.com/konnektor_zaryadki_samsung_t110_galaxy_tab_3_lite_7_0_t560_galaxy_tab_e_9_6_t561_galaxy_tab_e_g360_galaxy_core_prime_g361h_galaxy_core_prime_ve_i_8054", "Перейти")</f>
        <v>Перейти</v>
      </c>
      <c r="F4973" s="2">
        <v>8054</v>
      </c>
      <c r="G4973" s="4" t="s">
        <v>5130</v>
      </c>
      <c r="H4973" s="1">
        <v>0</v>
      </c>
      <c r="I4973" s="1">
        <v>2</v>
      </c>
      <c r="J4973" s="1">
        <v>8</v>
      </c>
      <c r="K4973" s="2">
        <v>0.76</v>
      </c>
    </row>
    <row r="4974" spans="1:12">
      <c r="A4974" s="3" t="s">
        <v>2194</v>
      </c>
      <c r="B4974" s="3" t="s">
        <v>5065</v>
      </c>
      <c r="C4974" s="3" t="s">
        <v>1981</v>
      </c>
      <c r="D4974" s="3"/>
      <c r="E4974" s="2" t="str">
        <f>HYPERLINK("https://old.ukr-mobil.com/konnektor_zaryadki_samsung_t330_galaxy_tab_4_t331_t335_t530_t531_t535_11054", "Перейти")</f>
        <v>Перейти</v>
      </c>
      <c r="F4974" s="2">
        <v>11054</v>
      </c>
      <c r="G4974" s="4" t="s">
        <v>5131</v>
      </c>
      <c r="H4974" s="1">
        <v>41</v>
      </c>
      <c r="I4974" s="1">
        <v>14</v>
      </c>
      <c r="J4974" s="1">
        <v>18</v>
      </c>
      <c r="K4974" s="2">
        <v>1.0</v>
      </c>
    </row>
    <row r="4975" spans="1:12">
      <c r="A4975" s="3" t="s">
        <v>2194</v>
      </c>
      <c r="B4975" s="3" t="s">
        <v>5065</v>
      </c>
      <c r="C4975" s="3" t="s">
        <v>1981</v>
      </c>
      <c r="D4975" s="3"/>
      <c r="E4975" s="2" t="str">
        <f>HYPERLINK("https://old.ukr-mobil.com/konnektor_zaryadki_sony_c5502_m36h_xperia_zr_c5503_m36i_xperia_zr_c6902_l39h_xperia_z1_d6502_xperia_z2_d6603_xperia_z3_5_pin_micro-usb_tip-b_11666", "Перейти")</f>
        <v>Перейти</v>
      </c>
      <c r="F4975" s="2">
        <v>11666</v>
      </c>
      <c r="G4975" s="4" t="s">
        <v>5132</v>
      </c>
      <c r="H4975" s="1">
        <v>0</v>
      </c>
      <c r="I4975" s="1">
        <v>0</v>
      </c>
      <c r="J4975" s="1">
        <v>0</v>
      </c>
      <c r="K4975" s="2">
        <v>0.5</v>
      </c>
    </row>
    <row r="4976" spans="1:12">
      <c r="A4976" s="3" t="s">
        <v>2194</v>
      </c>
      <c r="B4976" s="3" t="s">
        <v>5065</v>
      </c>
      <c r="C4976" s="3" t="s">
        <v>1981</v>
      </c>
      <c r="D4976" s="3"/>
      <c r="E4976" s="2" t="str">
        <f>HYPERLINK("https://old.ukr-mobil.com/konnektor_zaryadki_sony_e5603_xperia_m5_e5606_xperia_m5_e5633_xperia_m5_e5653_xperia_m5_e5663_xperia_m5_dual_11662", "Перейти")</f>
        <v>Перейти</v>
      </c>
      <c r="F4976" s="2">
        <v>11662</v>
      </c>
      <c r="G4976" s="4" t="s">
        <v>5133</v>
      </c>
      <c r="H4976" s="1">
        <v>15</v>
      </c>
      <c r="I4976" s="1">
        <v>0</v>
      </c>
      <c r="J4976" s="1">
        <v>0</v>
      </c>
      <c r="K4976" s="2">
        <v>0.66</v>
      </c>
    </row>
    <row r="4977" spans="1:12">
      <c r="A4977" s="3" t="s">
        <v>2194</v>
      </c>
      <c r="B4977" s="3" t="s">
        <v>5065</v>
      </c>
      <c r="C4977" s="3" t="s">
        <v>1981</v>
      </c>
      <c r="D4977" s="3"/>
      <c r="E4977" s="2" t="str">
        <f>HYPERLINK("https://old.ukr-mobil.com/konnektor_zaryadki_sony_e6533_xperia_z3_ds_e6553_xperia_z3_xperia_z4_11665", "Перейти")</f>
        <v>Перейти</v>
      </c>
      <c r="F4977" s="2">
        <v>11665</v>
      </c>
      <c r="G4977" s="4" t="s">
        <v>5134</v>
      </c>
      <c r="H4977" s="1">
        <v>2</v>
      </c>
      <c r="I4977" s="1">
        <v>0</v>
      </c>
      <c r="J4977" s="1">
        <v>0</v>
      </c>
      <c r="K4977" s="2">
        <v>1.31</v>
      </c>
    </row>
    <row r="4978" spans="1:12">
      <c r="A4978" s="3" t="s">
        <v>2194</v>
      </c>
      <c r="B4978" s="3" t="s">
        <v>5065</v>
      </c>
      <c r="C4978" s="3" t="s">
        <v>1981</v>
      </c>
      <c r="D4978" s="3"/>
      <c r="E4978" s="2" t="str">
        <f>HYPERLINK("https://old.ukr-mobil.com/konnektor_zaryadki_sony_f3111_xperia_xa_f3112_xperia_xa_dual_f3113_xperia_xa_f3115_xperia_xa_f3116_xperia_xa_dual_11664", "Перейти")</f>
        <v>Перейти</v>
      </c>
      <c r="F4978" s="2">
        <v>11664</v>
      </c>
      <c r="G4978" s="4" t="s">
        <v>5135</v>
      </c>
      <c r="H4978" s="1">
        <v>0</v>
      </c>
      <c r="I4978" s="1">
        <v>0</v>
      </c>
      <c r="J4978" s="1">
        <v>0</v>
      </c>
      <c r="K4978" s="2">
        <v>0.55</v>
      </c>
    </row>
    <row r="4979" spans="1:12">
      <c r="A4979" s="3" t="s">
        <v>2194</v>
      </c>
      <c r="B4979" s="3" t="s">
        <v>5065</v>
      </c>
      <c r="C4979" s="3" t="s">
        <v>1981</v>
      </c>
      <c r="D4979" s="3"/>
      <c r="E4979" s="2" t="str">
        <f>HYPERLINK("https://old.ukr-mobil.com/konnektor_zaryadki_sony_f3212_xperia_xa_ultra_dual_f3215_xperia_xa_ultra_dual_f3216_xperia_xa_ultra_dual_11663", "Перейти")</f>
        <v>Перейти</v>
      </c>
      <c r="F4979" s="2">
        <v>11663</v>
      </c>
      <c r="G4979" s="4" t="s">
        <v>5136</v>
      </c>
      <c r="H4979" s="1">
        <v>0</v>
      </c>
      <c r="I4979" s="1">
        <v>0</v>
      </c>
      <c r="J4979" s="1">
        <v>0</v>
      </c>
      <c r="K4979" s="2">
        <v>0.6</v>
      </c>
    </row>
    <row r="4980" spans="1:12">
      <c r="A4980" s="3" t="s">
        <v>2194</v>
      </c>
      <c r="B4980" s="3" t="s">
        <v>5065</v>
      </c>
      <c r="C4980" s="3" t="s">
        <v>1981</v>
      </c>
      <c r="D4980" s="3"/>
      <c r="E4980" s="2" t="str">
        <f>HYPERLINK("https://old.ukr-mobil.com/konnektor_zaryadki_sony_g3212_xperia_xa1_ultra_dual_g3221_xperia_xa1_ultra_g3223_xperia_xa1_ultra_g3226_xperia_xa1_ultra_dual_10_pin_usb_type-c_10002426", "Перейти")</f>
        <v>Перейти</v>
      </c>
      <c r="F4980" s="2">
        <v>10002426</v>
      </c>
      <c r="G4980" s="4" t="s">
        <v>5137</v>
      </c>
      <c r="H4980" s="1">
        <v>35</v>
      </c>
      <c r="I4980" s="1">
        <v>0</v>
      </c>
      <c r="J4980" s="1">
        <v>7</v>
      </c>
      <c r="K4980" s="2">
        <v>1.0</v>
      </c>
    </row>
    <row r="4981" spans="1:12">
      <c r="A4981" s="3" t="s">
        <v>2194</v>
      </c>
      <c r="B4981" s="3" t="s">
        <v>5065</v>
      </c>
      <c r="C4981" s="3" t="s">
        <v>1981</v>
      </c>
      <c r="D4981" s="3"/>
      <c r="E4981" s="2" t="str">
        <f>HYPERLINK("https://old.ukr-mobil.com/konnektor_zaryadki_xiaomi_mi_9_usb_type-c_10001327", "Перейти")</f>
        <v>Перейти</v>
      </c>
      <c r="F4981" s="2">
        <v>10001327</v>
      </c>
      <c r="G4981" s="4" t="s">
        <v>5138</v>
      </c>
      <c r="H4981" s="1">
        <v>0</v>
      </c>
      <c r="I4981" s="1">
        <v>14</v>
      </c>
      <c r="J4981" s="1">
        <v>8</v>
      </c>
      <c r="K4981" s="2">
        <v>1.0</v>
      </c>
    </row>
    <row r="4982" spans="1:12">
      <c r="A4982" s="3" t="s">
        <v>2194</v>
      </c>
      <c r="B4982" s="3" t="s">
        <v>5065</v>
      </c>
      <c r="C4982" s="3" t="s">
        <v>1981</v>
      </c>
      <c r="D4982" s="3"/>
      <c r="E4982" s="2" t="str">
        <f>HYPERLINK("https://old.ukr-mobil.com/konnektor_zaryadki_xiaomi_mi_a1_usb_type-c_10001326", "Перейти")</f>
        <v>Перейти</v>
      </c>
      <c r="F4982" s="2">
        <v>10001326</v>
      </c>
      <c r="G4982" s="4" t="s">
        <v>5139</v>
      </c>
      <c r="H4982" s="1">
        <v>79</v>
      </c>
      <c r="I4982" s="1">
        <v>57</v>
      </c>
      <c r="J4982" s="1">
        <v>32</v>
      </c>
      <c r="K4982" s="2">
        <v>0.6</v>
      </c>
    </row>
    <row r="4983" spans="1:12">
      <c r="A4983" s="3" t="s">
        <v>2194</v>
      </c>
      <c r="B4983" s="3" t="s">
        <v>5065</v>
      </c>
      <c r="C4983" s="3" t="s">
        <v>1981</v>
      </c>
      <c r="D4983" s="3"/>
      <c r="E4983" s="2" t="str">
        <f>HYPERLINK("https://old.ukr-mobil.com/konnektor_zaryadki_xiaomi_mi_a2_lite_redmi_6_pro_samsung_5_pin_micro-usb_10002409", "Перейти")</f>
        <v>Перейти</v>
      </c>
      <c r="F4983" s="2">
        <v>10002409</v>
      </c>
      <c r="G4983" s="4" t="s">
        <v>5140</v>
      </c>
      <c r="H4983" s="1">
        <v>0</v>
      </c>
      <c r="I4983" s="1">
        <v>16</v>
      </c>
      <c r="J4983" s="1">
        <v>95</v>
      </c>
      <c r="K4983" s="2">
        <v>0.37</v>
      </c>
    </row>
    <row r="4984" spans="1:12">
      <c r="A4984" s="3" t="s">
        <v>2194</v>
      </c>
      <c r="B4984" s="3" t="s">
        <v>5065</v>
      </c>
      <c r="C4984" s="3" t="s">
        <v>1981</v>
      </c>
      <c r="D4984" s="3"/>
      <c r="E4984" s="2" t="str">
        <f>HYPERLINK("https://old.ukr-mobil.com/konnektor_zaryadki_xiaomi_mi_a2_mi_6x_usb_type-c_10003848", "Перейти")</f>
        <v>Перейти</v>
      </c>
      <c r="F4984" s="2">
        <v>10003848</v>
      </c>
      <c r="G4984" s="4" t="s">
        <v>5141</v>
      </c>
      <c r="H4984" s="1">
        <v>126</v>
      </c>
      <c r="I4984" s="1">
        <v>66</v>
      </c>
      <c r="J4984" s="1">
        <v>33</v>
      </c>
      <c r="K4984" s="2">
        <v>0.85</v>
      </c>
    </row>
    <row r="4985" spans="1:12">
      <c r="A4985" s="3" t="s">
        <v>2194</v>
      </c>
      <c r="B4985" s="3" t="s">
        <v>5065</v>
      </c>
      <c r="C4985" s="3" t="s">
        <v>1981</v>
      </c>
      <c r="D4985" s="3"/>
      <c r="E4985" s="2" t="str">
        <f>HYPERLINK("https://old.ukr-mobil.com/konnektor_zaryadki_xiaomi_redmi_note_7_redmi_note_8_redmi_note_8t_16_pin_usb_type-c_10001324", "Перейти")</f>
        <v>Перейти</v>
      </c>
      <c r="F4985" s="2">
        <v>10001324</v>
      </c>
      <c r="G4985" s="4" t="s">
        <v>5142</v>
      </c>
      <c r="H4985" s="1">
        <v>212</v>
      </c>
      <c r="I4985" s="1">
        <v>28</v>
      </c>
      <c r="J4985" s="1">
        <v>90</v>
      </c>
      <c r="K4985" s="2">
        <v>0.85</v>
      </c>
    </row>
    <row r="4986" spans="1:12">
      <c r="A4986" s="3" t="s">
        <v>2194</v>
      </c>
      <c r="B4986" s="3" t="s">
        <v>5065</v>
      </c>
      <c r="C4986" s="3" t="s">
        <v>1981</v>
      </c>
      <c r="D4986" s="3"/>
      <c r="E4986" s="2" t="str">
        <f>HYPERLINK("https://old.ukr-mobil.com/konnektor_zaryadki_xiaomi_mi_mix_2_usb_type-c_11658", "Перейти")</f>
        <v>Перейти</v>
      </c>
      <c r="F4986" s="2">
        <v>11658</v>
      </c>
      <c r="G4986" s="4" t="s">
        <v>5143</v>
      </c>
      <c r="H4986" s="1">
        <v>0</v>
      </c>
      <c r="I4986" s="1">
        <v>0</v>
      </c>
      <c r="J4986" s="1">
        <v>0</v>
      </c>
      <c r="K4986" s="2">
        <v>2.02</v>
      </c>
    </row>
    <row r="4987" spans="1:12">
      <c r="A4987" s="3" t="s">
        <v>2194</v>
      </c>
      <c r="B4987" s="3" t="s">
        <v>5065</v>
      </c>
      <c r="C4987" s="3" t="s">
        <v>1981</v>
      </c>
      <c r="D4987" s="3"/>
      <c r="E4987" s="2" t="str">
        <f>HYPERLINK("https://old.ukr-mobil.com/konnektor_zaryadki_xiaomi_mi_mix_3_usb_type-c_10001325", "Перейти")</f>
        <v>Перейти</v>
      </c>
      <c r="F4987" s="2">
        <v>10001325</v>
      </c>
      <c r="G4987" s="4" t="s">
        <v>5144</v>
      </c>
      <c r="H4987" s="1">
        <v>6</v>
      </c>
      <c r="I4987" s="1">
        <v>5</v>
      </c>
      <c r="J4987" s="1">
        <v>10</v>
      </c>
      <c r="K4987" s="2">
        <v>0.8</v>
      </c>
    </row>
    <row r="4988" spans="1:12">
      <c r="A4988" s="3" t="s">
        <v>2194</v>
      </c>
      <c r="B4988" s="3" t="s">
        <v>5065</v>
      </c>
      <c r="C4988" s="3" t="s">
        <v>1981</v>
      </c>
      <c r="D4988" s="3"/>
      <c r="E4988" s="2" t="str">
        <f>HYPERLINK("https://old.ukr-mobil.com/konnektor_zaryadki_xiaomi_mi1_mi1s_alcatel_one_touch_5020_pop_one_touch_6030_idol_one_touch_6032x_idol_alpha_slate_one_touch_7040_pop_c7_one_tou_8568", "Перейти")</f>
        <v>Перейти</v>
      </c>
      <c r="F4988" s="2">
        <v>8568</v>
      </c>
      <c r="G4988" s="4" t="s">
        <v>5145</v>
      </c>
      <c r="H4988" s="1">
        <v>38</v>
      </c>
      <c r="I4988" s="1">
        <v>0</v>
      </c>
      <c r="J4988" s="1">
        <v>0</v>
      </c>
      <c r="K4988" s="2">
        <v>0.5</v>
      </c>
    </row>
    <row r="4989" spans="1:12">
      <c r="A4989" s="3" t="s">
        <v>2194</v>
      </c>
      <c r="B4989" s="3" t="s">
        <v>5065</v>
      </c>
      <c r="C4989" s="3" t="s">
        <v>1981</v>
      </c>
      <c r="D4989" s="3"/>
      <c r="E4989" s="2" t="str">
        <f>HYPERLINK("https://old.ukr-mobil.com/konnektor_zaryadki_xiaomi_redmi_5_plus_redmi_note_5_redmi_note_5_pro_11661", "Перейти")</f>
        <v>Перейти</v>
      </c>
      <c r="F4989" s="2">
        <v>11661</v>
      </c>
      <c r="G4989" s="4" t="s">
        <v>5146</v>
      </c>
      <c r="H4989" s="1">
        <v>0</v>
      </c>
      <c r="I4989" s="1">
        <v>0</v>
      </c>
      <c r="J4989" s="1">
        <v>0</v>
      </c>
      <c r="K4989" s="2">
        <v>0.35</v>
      </c>
    </row>
    <row r="4990" spans="1:12">
      <c r="A4990" s="3" t="s">
        <v>2194</v>
      </c>
      <c r="B4990" s="3" t="s">
        <v>5065</v>
      </c>
      <c r="C4990" s="3" t="s">
        <v>1981</v>
      </c>
      <c r="D4990" s="3"/>
      <c r="E4990" s="2" t="str">
        <f>HYPERLINK("https://old.ukr-mobil.com/index.php?route=product&amp;product_id=10005029", "Перейти")</f>
        <v>Перейти</v>
      </c>
      <c r="F4990" s="2">
        <v>10005029</v>
      </c>
      <c r="G4990" s="4" t="s">
        <v>5147</v>
      </c>
      <c r="H4990" s="1">
        <v>186</v>
      </c>
      <c r="I4990" s="1">
        <v>33</v>
      </c>
      <c r="J4990" s="1">
        <v>1</v>
      </c>
      <c r="K4990" s="2">
        <v>0.5</v>
      </c>
    </row>
    <row r="4991" spans="1:12">
      <c r="A4991" s="3" t="s">
        <v>2194</v>
      </c>
      <c r="B4991" s="3" t="s">
        <v>5065</v>
      </c>
      <c r="C4991" s="3" t="s">
        <v>1981</v>
      </c>
      <c r="D4991" s="3"/>
      <c r="E4991" s="2" t="str">
        <f>HYPERLINK("https://old.ukr-mobil.com/konnektor_zaryadki_xiaomi_redmi_note_5a_redmi_note_5a_prime_11660", "Перейти")</f>
        <v>Перейти</v>
      </c>
      <c r="F4991" s="2">
        <v>11660</v>
      </c>
      <c r="G4991" s="4" t="s">
        <v>5148</v>
      </c>
      <c r="H4991" s="1">
        <v>0</v>
      </c>
      <c r="I4991" s="1">
        <v>3</v>
      </c>
      <c r="J4991" s="1">
        <v>35</v>
      </c>
      <c r="K4991" s="2">
        <v>0.45</v>
      </c>
    </row>
    <row r="4992" spans="1:12">
      <c r="A4992" s="3" t="s">
        <v>2194</v>
      </c>
      <c r="B4992" s="3" t="s">
        <v>5065</v>
      </c>
      <c r="C4992" s="3" t="s">
        <v>1981</v>
      </c>
      <c r="D4992" s="3"/>
      <c r="E4992" s="2" t="str">
        <f>HYPERLINK("https://old.ukr-mobil.com/roz_m_na_zaryadku_sony_c5302_m35h_xperia_sp_c5303_m35i_xperia_sp_5329", "Перейти")</f>
        <v>Перейти</v>
      </c>
      <c r="F4992" s="2">
        <v>5329</v>
      </c>
      <c r="G4992" s="4" t="s">
        <v>5149</v>
      </c>
      <c r="H4992" s="1">
        <v>25</v>
      </c>
      <c r="I4992" s="1">
        <v>0</v>
      </c>
      <c r="J4992" s="1">
        <v>0</v>
      </c>
      <c r="K4992" s="2">
        <v>1.51</v>
      </c>
    </row>
    <row r="4993" spans="1:12">
      <c r="A4993" s="3" t="s">
        <v>2194</v>
      </c>
      <c r="B4993" s="3" t="s">
        <v>5065</v>
      </c>
      <c r="C4993" s="3" t="s">
        <v>1981</v>
      </c>
      <c r="D4993" s="3"/>
      <c r="E4993" s="2" t="str">
        <f>HYPERLINK("https://old.ukr-mobil.com/roz_m_na_zaryadku_sony_st23i_xperia_miro_st26i_xperia_j_c2105_xperia_l_mt25i_xperia_neo_l_5326", "Перейти")</f>
        <v>Перейти</v>
      </c>
      <c r="F4993" s="2">
        <v>5326</v>
      </c>
      <c r="G4993" s="4" t="s">
        <v>5150</v>
      </c>
      <c r="H4993" s="1">
        <v>185</v>
      </c>
      <c r="I4993" s="1">
        <v>0</v>
      </c>
      <c r="J4993" s="1">
        <v>0</v>
      </c>
      <c r="K4993" s="2">
        <v>0.71</v>
      </c>
    </row>
    <row r="4994" spans="1:12">
      <c r="A4994" s="3" t="s">
        <v>2194</v>
      </c>
      <c r="B4994" s="3" t="s">
        <v>5065</v>
      </c>
      <c r="C4994" s="3" t="s">
        <v>1981</v>
      </c>
      <c r="D4994" s="3"/>
      <c r="E4994" s="2" t="str">
        <f>HYPERLINK("https://old.ukr-mobil.com/shlejf_sony_xperia_x_f5121_f5122_s_razemom_zaryadki_10001921", "Перейти")</f>
        <v>Перейти</v>
      </c>
      <c r="F4994" s="2">
        <v>10001921</v>
      </c>
      <c r="G4994" s="4" t="s">
        <v>5151</v>
      </c>
      <c r="H4994" s="1">
        <v>0</v>
      </c>
      <c r="I4994" s="1">
        <v>0</v>
      </c>
      <c r="J4994" s="1">
        <v>0</v>
      </c>
      <c r="K4994" s="2">
        <v>5.0</v>
      </c>
    </row>
    <row r="4995" spans="1:12">
      <c r="A4995" s="3" t="s">
        <v>2194</v>
      </c>
      <c r="B4995" s="3" t="s">
        <v>5065</v>
      </c>
      <c r="C4995" s="3" t="s">
        <v>5152</v>
      </c>
      <c r="D4995" s="3"/>
      <c r="E4995" s="2" t="str">
        <f>HYPERLINK("https://old.ukr-mobil.com/konnektor_sim_karty_lenovo_a3300_a7-30_8564", "Перейти")</f>
        <v>Перейти</v>
      </c>
      <c r="F4995" s="2">
        <v>8564</v>
      </c>
      <c r="G4995" s="4" t="s">
        <v>5153</v>
      </c>
      <c r="H4995" s="1">
        <v>10</v>
      </c>
      <c r="I4995" s="1">
        <v>0</v>
      </c>
      <c r="J4995" s="1">
        <v>0</v>
      </c>
      <c r="K4995" s="2">
        <v>1.16</v>
      </c>
    </row>
    <row r="4996" spans="1:12">
      <c r="A4996" s="3" t="s">
        <v>2194</v>
      </c>
      <c r="B4996" s="3" t="s">
        <v>5065</v>
      </c>
      <c r="C4996" s="3" t="s">
        <v>5152</v>
      </c>
      <c r="D4996" s="3"/>
      <c r="E4996" s="2" t="str">
        <f>HYPERLINK("https://old.ukr-mobil.com/konnektor_sim_karty_lenovo_a60_a65_a789_p70_p700i_7783", "Перейти")</f>
        <v>Перейти</v>
      </c>
      <c r="F4996" s="2">
        <v>7783</v>
      </c>
      <c r="G4996" s="4" t="s">
        <v>5154</v>
      </c>
      <c r="H4996" s="1">
        <v>10</v>
      </c>
      <c r="I4996" s="1">
        <v>0</v>
      </c>
      <c r="J4996" s="1">
        <v>0</v>
      </c>
      <c r="K4996" s="2">
        <v>0.96</v>
      </c>
    </row>
    <row r="4997" spans="1:12">
      <c r="A4997" s="3" t="s">
        <v>2194</v>
      </c>
      <c r="B4997" s="3" t="s">
        <v>5065</v>
      </c>
      <c r="C4997" s="3" t="s">
        <v>5152</v>
      </c>
      <c r="D4997" s="3"/>
      <c r="E4997" s="2" t="str">
        <f>HYPERLINK("https://old.ukr-mobil.com/konnektor_sim-karty_sony_ericsson_mk16_st18i_sony_mt27i_xperia_sola_st26i_xperia_j_8113", "Перейти")</f>
        <v>Перейти</v>
      </c>
      <c r="F4997" s="2">
        <v>8113</v>
      </c>
      <c r="G4997" s="4" t="s">
        <v>5155</v>
      </c>
      <c r="H4997" s="1">
        <v>24</v>
      </c>
      <c r="I4997" s="1">
        <v>0</v>
      </c>
      <c r="J4997" s="1">
        <v>0</v>
      </c>
      <c r="K4997" s="2">
        <v>1.01</v>
      </c>
    </row>
    <row r="4998" spans="1:12">
      <c r="A4998" s="3" t="s">
        <v>2194</v>
      </c>
      <c r="B4998" s="3" t="s">
        <v>5065</v>
      </c>
      <c r="C4998" s="3" t="s">
        <v>5152</v>
      </c>
      <c r="D4998" s="3"/>
      <c r="E4998" s="2" t="str">
        <f>HYPERLINK("https://old.ukr-mobil.com/roz_m_na_sim_kartu_asus_zenfone_5_5613", "Перейти")</f>
        <v>Перейти</v>
      </c>
      <c r="F4998" s="2">
        <v>5613</v>
      </c>
      <c r="G4998" s="4" t="s">
        <v>5156</v>
      </c>
      <c r="H4998" s="1">
        <v>3</v>
      </c>
      <c r="I4998" s="1">
        <v>2</v>
      </c>
      <c r="J4998" s="1">
        <v>0</v>
      </c>
      <c r="K4998" s="2">
        <v>2.27</v>
      </c>
    </row>
    <row r="4999" spans="1:12">
      <c r="A4999" s="3" t="s">
        <v>2194</v>
      </c>
      <c r="B4999" s="3" t="s">
        <v>5065</v>
      </c>
      <c r="C4999" s="3" t="s">
        <v>5152</v>
      </c>
      <c r="D4999" s="3"/>
      <c r="E4999" s="2" t="str">
        <f>HYPERLINK("https://old.ukr-mobil.com/roz_m_na_sim_kartu_huawei_y220_5335", "Перейти")</f>
        <v>Перейти</v>
      </c>
      <c r="F4999" s="2">
        <v>5335</v>
      </c>
      <c r="G4999" s="4" t="s">
        <v>5157</v>
      </c>
      <c r="H4999" s="1">
        <v>29</v>
      </c>
      <c r="I4999" s="1">
        <v>0</v>
      </c>
      <c r="J4999" s="1">
        <v>0</v>
      </c>
      <c r="K4999" s="2">
        <v>2.02</v>
      </c>
    </row>
    <row r="5000" spans="1:12">
      <c r="A5000" s="3" t="s">
        <v>2194</v>
      </c>
      <c r="B5000" s="3" t="s">
        <v>5065</v>
      </c>
      <c r="C5000" s="3" t="s">
        <v>5152</v>
      </c>
      <c r="D5000" s="3"/>
      <c r="E5000" s="2" t="str">
        <f>HYPERLINK("https://old.ukr-mobil.com/roz_m_na_sim_kartu_nokia_asha_202_203_300_311_3729", "Перейти")</f>
        <v>Перейти</v>
      </c>
      <c r="F5000" s="2">
        <v>3729</v>
      </c>
      <c r="G5000" s="4" t="s">
        <v>5158</v>
      </c>
      <c r="H5000" s="1">
        <v>25</v>
      </c>
      <c r="I5000" s="1">
        <v>0</v>
      </c>
      <c r="J5000" s="1">
        <v>0</v>
      </c>
      <c r="K5000" s="2">
        <v>2.52</v>
      </c>
    </row>
    <row r="5001" spans="1:12">
      <c r="A5001" s="3" t="s">
        <v>2194</v>
      </c>
      <c r="B5001" s="3" t="s">
        <v>5065</v>
      </c>
      <c r="C5001" s="3" t="s">
        <v>5152</v>
      </c>
      <c r="D5001" s="3"/>
      <c r="E5001" s="2" t="str">
        <f>HYPERLINK("https://old.ukr-mobil.com/roz_m_na_sim_kartu_nokia_x_dual_xl_dual_x2_dual_502_dual_530_5616", "Перейти")</f>
        <v>Перейти</v>
      </c>
      <c r="F5001" s="2">
        <v>5616</v>
      </c>
      <c r="G5001" s="4" t="s">
        <v>5159</v>
      </c>
      <c r="H5001" s="1">
        <v>0</v>
      </c>
      <c r="I5001" s="1">
        <v>0</v>
      </c>
      <c r="J5001" s="1">
        <v>0</v>
      </c>
      <c r="K5001" s="2">
        <v>2.02</v>
      </c>
    </row>
    <row r="5002" spans="1:12">
      <c r="A5002" s="3" t="s">
        <v>2194</v>
      </c>
      <c r="B5002" s="3" t="s">
        <v>5065</v>
      </c>
      <c r="C5002" s="3" t="s">
        <v>5160</v>
      </c>
      <c r="D5002" s="3"/>
      <c r="E5002" s="2" t="str">
        <f>HYPERLINK("https://old.ukr-mobil.com/roz_m_na_batareyu_lenovo_1350", "Перейти")</f>
        <v>Перейти</v>
      </c>
      <c r="F5002" s="2">
        <v>1350</v>
      </c>
      <c r="G5002" s="4" t="s">
        <v>5161</v>
      </c>
      <c r="H5002" s="1">
        <v>25</v>
      </c>
      <c r="I5002" s="1">
        <v>0</v>
      </c>
      <c r="J5002" s="1">
        <v>0</v>
      </c>
      <c r="K5002" s="2">
        <v>0.45</v>
      </c>
    </row>
    <row r="5003" spans="1:12">
      <c r="A5003" s="3" t="s">
        <v>2194</v>
      </c>
      <c r="B5003" s="3" t="s">
        <v>5065</v>
      </c>
      <c r="C5003" s="3" t="s">
        <v>5160</v>
      </c>
      <c r="D5003" s="3"/>
      <c r="E5003" s="2" t="str">
        <f>HYPERLINK("https://old.ukr-mobil.com/roz_m_na_batareyu_lg_kg800_1351", "Перейти")</f>
        <v>Перейти</v>
      </c>
      <c r="F5003" s="2">
        <v>1351</v>
      </c>
      <c r="G5003" s="4" t="s">
        <v>5162</v>
      </c>
      <c r="H5003" s="1">
        <v>0</v>
      </c>
      <c r="I5003" s="1">
        <v>0</v>
      </c>
      <c r="J5003" s="1">
        <v>0</v>
      </c>
      <c r="K5003" s="2">
        <v>0.46</v>
      </c>
    </row>
    <row r="5004" spans="1:12">
      <c r="A5004" s="3" t="s">
        <v>2194</v>
      </c>
      <c r="B5004" s="3" t="s">
        <v>5065</v>
      </c>
      <c r="C5004" s="3" t="s">
        <v>5160</v>
      </c>
      <c r="D5004" s="3"/>
      <c r="E5004" s="2" t="str">
        <f>HYPERLINK("https://old.ukr-mobil.com/roz_m_na_batareyu_lg_kp500_1352", "Перейти")</f>
        <v>Перейти</v>
      </c>
      <c r="F5004" s="2">
        <v>1352</v>
      </c>
      <c r="G5004" s="4" t="s">
        <v>5163</v>
      </c>
      <c r="H5004" s="1">
        <v>22</v>
      </c>
      <c r="I5004" s="1">
        <v>0</v>
      </c>
      <c r="J5004" s="1">
        <v>0</v>
      </c>
      <c r="K5004" s="2">
        <v>0.55</v>
      </c>
    </row>
    <row r="5005" spans="1:12">
      <c r="A5005" s="3" t="s">
        <v>2194</v>
      </c>
      <c r="B5005" s="3" t="s">
        <v>5065</v>
      </c>
      <c r="C5005" s="3" t="s">
        <v>5160</v>
      </c>
      <c r="D5005" s="3"/>
      <c r="E5005" s="2" t="str">
        <f>HYPERLINK("https://old.ukr-mobil.com/roz_m_na_batareyu_nokia_2680_1355", "Перейти")</f>
        <v>Перейти</v>
      </c>
      <c r="F5005" s="2">
        <v>1355</v>
      </c>
      <c r="G5005" s="4" t="s">
        <v>5164</v>
      </c>
      <c r="H5005" s="1">
        <v>0</v>
      </c>
      <c r="I5005" s="1">
        <v>0</v>
      </c>
      <c r="J5005" s="1">
        <v>0</v>
      </c>
      <c r="K5005" s="2">
        <v>0.5</v>
      </c>
    </row>
    <row r="5006" spans="1:12">
      <c r="A5006" s="3" t="s">
        <v>2194</v>
      </c>
      <c r="B5006" s="3" t="s">
        <v>5065</v>
      </c>
      <c r="C5006" s="3" t="s">
        <v>5160</v>
      </c>
      <c r="D5006" s="3"/>
      <c r="E5006" s="2" t="str">
        <f>HYPERLINK("https://old.ukr-mobil.com/roz_m_na_batareyu_nokia_n81_1353", "Перейти")</f>
        <v>Перейти</v>
      </c>
      <c r="F5006" s="2">
        <v>1353</v>
      </c>
      <c r="G5006" s="4" t="s">
        <v>5165</v>
      </c>
      <c r="H5006" s="1">
        <v>0</v>
      </c>
      <c r="I5006" s="1">
        <v>0</v>
      </c>
      <c r="J5006" s="1">
        <v>0</v>
      </c>
      <c r="K5006" s="2">
        <v>0.66</v>
      </c>
    </row>
    <row r="5007" spans="1:12">
      <c r="A5007" s="3" t="s">
        <v>2194</v>
      </c>
      <c r="B5007" s="3" t="s">
        <v>5065</v>
      </c>
      <c r="C5007" s="3" t="s">
        <v>5160</v>
      </c>
      <c r="D5007" s="3"/>
      <c r="E5007" s="2" t="str">
        <f>HYPERLINK("https://old.ukr-mobil.com/roz_m_na_batareyu_nokia_n95_1358", "Перейти")</f>
        <v>Перейти</v>
      </c>
      <c r="F5007" s="2">
        <v>1358</v>
      </c>
      <c r="G5007" s="4" t="s">
        <v>5166</v>
      </c>
      <c r="H5007" s="1">
        <v>104</v>
      </c>
      <c r="I5007" s="1">
        <v>0</v>
      </c>
      <c r="J5007" s="1">
        <v>0</v>
      </c>
      <c r="K5007" s="2">
        <v>0.5</v>
      </c>
    </row>
    <row r="5008" spans="1:12">
      <c r="A5008" s="3" t="s">
        <v>2194</v>
      </c>
      <c r="B5008" s="3" t="s">
        <v>5065</v>
      </c>
      <c r="C5008" s="3" t="s">
        <v>5167</v>
      </c>
      <c r="D5008" s="3"/>
      <c r="E5008" s="2" t="str">
        <f>HYPERLINK("https://old.ukr-mobil.com/roz_m_na_naushnik_nokia_2720_1945", "Перейти")</f>
        <v>Перейти</v>
      </c>
      <c r="F5008" s="2">
        <v>1945</v>
      </c>
      <c r="G5008" s="4" t="s">
        <v>5168</v>
      </c>
      <c r="H5008" s="1">
        <v>0</v>
      </c>
      <c r="I5008" s="1">
        <v>0</v>
      </c>
      <c r="J5008" s="1">
        <v>0</v>
      </c>
      <c r="K5008" s="2">
        <v>1.21</v>
      </c>
    </row>
    <row r="5009" spans="1:12">
      <c r="A5009" s="3" t="s">
        <v>2194</v>
      </c>
      <c r="B5009" s="3" t="s">
        <v>5065</v>
      </c>
      <c r="C5009" s="3" t="s">
        <v>5167</v>
      </c>
      <c r="D5009" s="3"/>
      <c r="E5009" s="2" t="str">
        <f>HYPERLINK("https://old.ukr-mobil.com/roz_m_na_naushnik_nokia_asha_210_108_109_112_113_asha_206_asha_300_asha_303_asha_308_asha_311_c2-05_c3-01_c5-03_c5-06_c_2465", "Перейти")</f>
        <v>Перейти</v>
      </c>
      <c r="F5009" s="2">
        <v>2465</v>
      </c>
      <c r="G5009" s="4" t="s">
        <v>5169</v>
      </c>
      <c r="H5009" s="1">
        <v>0</v>
      </c>
      <c r="I5009" s="1">
        <v>0</v>
      </c>
      <c r="J5009" s="1">
        <v>0</v>
      </c>
      <c r="K5009" s="2">
        <v>0.91</v>
      </c>
    </row>
    <row r="5010" spans="1:12">
      <c r="A5010" s="3" t="s">
        <v>2194</v>
      </c>
      <c r="B5010" s="3" t="s">
        <v>5065</v>
      </c>
      <c r="C5010" s="3" t="s">
        <v>5167</v>
      </c>
      <c r="D5010" s="3"/>
      <c r="E5010" s="2" t="str">
        <f>HYPERLINK("https://old.ukr-mobil.com/roz_m_na_naushnik_nokia_c2-01_3584", "Перейти")</f>
        <v>Перейти</v>
      </c>
      <c r="F5010" s="2">
        <v>3584</v>
      </c>
      <c r="G5010" s="4" t="s">
        <v>5170</v>
      </c>
      <c r="H5010" s="1">
        <v>0</v>
      </c>
      <c r="I5010" s="1">
        <v>0</v>
      </c>
      <c r="J5010" s="1">
        <v>0</v>
      </c>
      <c r="K5010" s="2">
        <v>0.91</v>
      </c>
    </row>
    <row r="5011" spans="1:12">
      <c r="A5011" s="3" t="s">
        <v>2194</v>
      </c>
      <c r="B5011" s="3" t="s">
        <v>5065</v>
      </c>
      <c r="C5011" s="3" t="s">
        <v>5171</v>
      </c>
      <c r="D5011" s="3"/>
      <c r="E5011" s="2" t="str">
        <f>HYPERLINK("https://old.ukr-mobil.com/roz_m_na_kartu_pamyat_nokia_6300_772", "Перейти")</f>
        <v>Перейти</v>
      </c>
      <c r="F5011" s="2">
        <v>772</v>
      </c>
      <c r="G5011" s="4" t="s">
        <v>5172</v>
      </c>
      <c r="H5011" s="1">
        <v>2</v>
      </c>
      <c r="I5011" s="1">
        <v>0</v>
      </c>
      <c r="J5011" s="1">
        <v>0</v>
      </c>
      <c r="K5011" s="2">
        <v>1.01</v>
      </c>
    </row>
    <row r="5012" spans="1:12">
      <c r="A5012" s="3" t="s">
        <v>2194</v>
      </c>
      <c r="B5012" s="3" t="s">
        <v>5065</v>
      </c>
      <c r="C5012" s="3" t="s">
        <v>5171</v>
      </c>
      <c r="D5012" s="3"/>
      <c r="E5012" s="2" t="str">
        <f>HYPERLINK("https://old.ukr-mobil.com/roz_m_na_kartu_pamyat_samsung_u600_773", "Перейти")</f>
        <v>Перейти</v>
      </c>
      <c r="F5012" s="2">
        <v>773</v>
      </c>
      <c r="G5012" s="4" t="s">
        <v>5173</v>
      </c>
      <c r="H5012" s="1">
        <v>0</v>
      </c>
      <c r="I5012" s="1">
        <v>0</v>
      </c>
      <c r="J5012" s="1">
        <v>0</v>
      </c>
      <c r="K5012" s="2">
        <v>1.01</v>
      </c>
    </row>
    <row r="5013" spans="1:12">
      <c r="A5013" s="3" t="s">
        <v>2194</v>
      </c>
      <c r="B5013" s="3" t="s">
        <v>5174</v>
      </c>
      <c r="C5013" s="3" t="s">
        <v>5175</v>
      </c>
      <c r="D5013" s="3"/>
      <c r="E5013" s="2" t="str">
        <f>HYPERLINK("https://old.ukr-mobil.com/sensor_tachskrin_bravis_a506_crystal_black_10208", "Перейти")</f>
        <v>Перейти</v>
      </c>
      <c r="F5013" s="2">
        <v>10208</v>
      </c>
      <c r="G5013" s="4" t="s">
        <v>5176</v>
      </c>
      <c r="H5013" s="1">
        <v>7</v>
      </c>
      <c r="I5013" s="1">
        <v>4</v>
      </c>
      <c r="J5013" s="1">
        <v>0</v>
      </c>
      <c r="K5013" s="2">
        <v>6.05</v>
      </c>
    </row>
    <row r="5014" spans="1:12">
      <c r="A5014" s="3" t="s">
        <v>2194</v>
      </c>
      <c r="B5014" s="3" t="s">
        <v>5174</v>
      </c>
      <c r="C5014" s="3" t="s">
        <v>2259</v>
      </c>
      <c r="D5014" s="3"/>
      <c r="E5014" s="2" t="str">
        <f>HYPERLINK("https://old.ukr-mobil.com/sensor_tachskrin_doogee_s60_black_10139", "Перейти")</f>
        <v>Перейти</v>
      </c>
      <c r="F5014" s="2">
        <v>10139</v>
      </c>
      <c r="G5014" s="4" t="s">
        <v>5177</v>
      </c>
      <c r="H5014" s="1">
        <v>0</v>
      </c>
      <c r="I5014" s="1">
        <v>0</v>
      </c>
      <c r="J5014" s="1">
        <v>0</v>
      </c>
      <c r="K5014" s="2">
        <v>3.0</v>
      </c>
    </row>
    <row r="5015" spans="1:12">
      <c r="A5015" s="3" t="s">
        <v>2194</v>
      </c>
      <c r="B5015" s="3" t="s">
        <v>5174</v>
      </c>
      <c r="C5015" s="3" t="s">
        <v>5178</v>
      </c>
      <c r="D5015" s="3"/>
      <c r="E5015" s="2" t="str">
        <f>HYPERLINK("https://old.ukr-mobil.com/sensor_tachskrin_homtom_zoji_z8_ip68_black_10011", "Перейти")</f>
        <v>Перейти</v>
      </c>
      <c r="F5015" s="2">
        <v>10011</v>
      </c>
      <c r="G5015" s="4" t="s">
        <v>5179</v>
      </c>
      <c r="H5015" s="1">
        <v>0</v>
      </c>
      <c r="I5015" s="1">
        <v>0</v>
      </c>
      <c r="J5015" s="1">
        <v>0</v>
      </c>
      <c r="K5015" s="2">
        <v>16.13</v>
      </c>
    </row>
    <row r="5016" spans="1:12">
      <c r="A5016" s="3" t="s">
        <v>2194</v>
      </c>
      <c r="B5016" s="3" t="s">
        <v>5174</v>
      </c>
      <c r="C5016" s="3" t="s">
        <v>640</v>
      </c>
      <c r="D5016" s="3"/>
      <c r="E5016" s="2" t="str">
        <f>HYPERLINK("https://old.ukr-mobil.com/sensor_tachskrin_huawei_p_smart_fig-lx1_p_smart_dual_sim_fig-l21_high_copy_gold_10655", "Перейти")</f>
        <v>Перейти</v>
      </c>
      <c r="F5016" s="2">
        <v>10655</v>
      </c>
      <c r="G5016" s="4" t="s">
        <v>5180</v>
      </c>
      <c r="H5016" s="1">
        <v>15</v>
      </c>
      <c r="I5016" s="1">
        <v>3</v>
      </c>
      <c r="J5016" s="1">
        <v>2</v>
      </c>
      <c r="K5016" s="2">
        <v>5.04</v>
      </c>
    </row>
    <row r="5017" spans="1:12">
      <c r="A5017" s="3" t="s">
        <v>2194</v>
      </c>
      <c r="B5017" s="3" t="s">
        <v>5174</v>
      </c>
      <c r="C5017" s="3" t="s">
        <v>640</v>
      </c>
      <c r="D5017" s="3"/>
      <c r="E5017" s="2" t="str">
        <f>HYPERLINK("https://old.ukr-mobil.com/sensor_tachskrin_huawei_p20_lite_nova_3e_ane-lx1_high_copy_white_10672", "Перейти")</f>
        <v>Перейти</v>
      </c>
      <c r="F5017" s="2">
        <v>10672</v>
      </c>
      <c r="G5017" s="4" t="s">
        <v>5181</v>
      </c>
      <c r="H5017" s="1">
        <v>4</v>
      </c>
      <c r="I5017" s="1">
        <v>2</v>
      </c>
      <c r="J5017" s="1">
        <v>1</v>
      </c>
      <c r="K5017" s="2">
        <v>4.25</v>
      </c>
    </row>
    <row r="5018" spans="1:12">
      <c r="A5018" s="3" t="s">
        <v>2194</v>
      </c>
      <c r="B5018" s="3" t="s">
        <v>5174</v>
      </c>
      <c r="C5018" s="3" t="s">
        <v>1066</v>
      </c>
      <c r="D5018" s="3"/>
      <c r="E5018" s="2" t="str">
        <f>HYPERLINK("https://old.ukr-mobil.com/sensor_tachskrin_microsoft_535_lumia_dual_sim_ct2c1607_5497", "Перейти")</f>
        <v>Перейти</v>
      </c>
      <c r="F5018" s="2">
        <v>5497</v>
      </c>
      <c r="G5018" s="4" t="s">
        <v>5182</v>
      </c>
      <c r="H5018" s="1">
        <v>21</v>
      </c>
      <c r="I5018" s="1">
        <v>2</v>
      </c>
      <c r="J5018" s="1">
        <v>1</v>
      </c>
      <c r="K5018" s="2">
        <v>4.03</v>
      </c>
    </row>
    <row r="5019" spans="1:12">
      <c r="A5019" s="3" t="s">
        <v>2194</v>
      </c>
      <c r="B5019" s="3" t="s">
        <v>5174</v>
      </c>
      <c r="C5019" s="3" t="s">
        <v>1090</v>
      </c>
      <c r="D5019" s="3"/>
      <c r="E5019" s="2" t="str">
        <f>HYPERLINK("https://old.ukr-mobil.com/index.php?route=product&amp;product_id=10005561", "Перейти")</f>
        <v>Перейти</v>
      </c>
      <c r="F5019" s="2">
        <v>10005561</v>
      </c>
      <c r="G5019" s="4" t="s">
        <v>5183</v>
      </c>
      <c r="H5019" s="1">
        <v>27</v>
      </c>
      <c r="I5019" s="1">
        <v>0</v>
      </c>
      <c r="J5019" s="1">
        <v>0</v>
      </c>
      <c r="K5019" s="2">
        <v>2.8</v>
      </c>
    </row>
    <row r="5020" spans="1:12">
      <c r="A5020" s="3" t="s">
        <v>2194</v>
      </c>
      <c r="B5020" s="3" t="s">
        <v>5174</v>
      </c>
      <c r="C5020" s="3" t="s">
        <v>676</v>
      </c>
      <c r="D5020" s="3"/>
      <c r="E5020" s="2" t="str">
        <f>HYPERLINK("https://old.ukr-mobil.com/sensor_tachskrin_sony_e6603_xperia_z5_e6633_e6653_e6683_xperia_z5_black_8280", "Перейти")</f>
        <v>Перейти</v>
      </c>
      <c r="F5020" s="2">
        <v>8280</v>
      </c>
      <c r="G5020" s="4" t="s">
        <v>5184</v>
      </c>
      <c r="H5020" s="1">
        <v>4</v>
      </c>
      <c r="I5020" s="1">
        <v>0</v>
      </c>
      <c r="J5020" s="1">
        <v>3</v>
      </c>
      <c r="K5020" s="2">
        <v>5.0</v>
      </c>
    </row>
    <row r="5021" spans="1:12">
      <c r="A5021" s="3" t="s">
        <v>2194</v>
      </c>
      <c r="B5021" s="3" t="s">
        <v>5185</v>
      </c>
      <c r="C5021" s="3" t="s">
        <v>54</v>
      </c>
      <c r="D5021" s="3"/>
      <c r="E5021" s="2" t="str">
        <f>HYPERLINK("https://old.ukr-mobil.com/index.php?route=product&amp;product_id=10005285", "Перейти")</f>
        <v>Перейти</v>
      </c>
      <c r="F5021" s="2">
        <v>10005285</v>
      </c>
      <c r="G5021" s="4" t="s">
        <v>5186</v>
      </c>
      <c r="H5021" s="1">
        <v>7</v>
      </c>
      <c r="I5021" s="1">
        <v>0</v>
      </c>
      <c r="J5021" s="1">
        <v>2</v>
      </c>
      <c r="K5021" s="2">
        <v>0.0</v>
      </c>
    </row>
    <row r="5022" spans="1:12">
      <c r="A5022" s="3" t="s">
        <v>2194</v>
      </c>
      <c r="B5022" s="3" t="s">
        <v>5185</v>
      </c>
      <c r="C5022" s="3" t="s">
        <v>54</v>
      </c>
      <c r="D5022" s="3"/>
      <c r="E5022" s="2" t="str">
        <f>HYPERLINK("https://old.ukr-mobil.com/index.php?route=product&amp;product_id=10005286", "Перейти")</f>
        <v>Перейти</v>
      </c>
      <c r="F5022" s="2">
        <v>10005286</v>
      </c>
      <c r="G5022" s="4" t="s">
        <v>5187</v>
      </c>
      <c r="H5022" s="1">
        <v>10</v>
      </c>
      <c r="I5022" s="1">
        <v>3</v>
      </c>
      <c r="J5022" s="1">
        <v>2</v>
      </c>
      <c r="K5022" s="2">
        <v>15.75</v>
      </c>
    </row>
    <row r="5023" spans="1:12">
      <c r="A5023" s="3" t="s">
        <v>2194</v>
      </c>
      <c r="B5023" s="3" t="s">
        <v>5185</v>
      </c>
      <c r="C5023" s="3" t="s">
        <v>54</v>
      </c>
      <c r="D5023" s="3"/>
      <c r="E5023" s="2" t="str">
        <f>HYPERLINK("https://old.ukr-mobil.com/shlejf_apple_iphone_11_pro_max_dlya_besprovodnoj_zaryadki_s_datchikom_nfc_s_knopkami_regulirovki_gromkosti_original_prc_10003827", "Перейти")</f>
        <v>Перейти</v>
      </c>
      <c r="F5023" s="2">
        <v>10003827</v>
      </c>
      <c r="G5023" s="4" t="s">
        <v>5188</v>
      </c>
      <c r="H5023" s="1">
        <v>0</v>
      </c>
      <c r="I5023" s="1">
        <v>0</v>
      </c>
      <c r="J5023" s="1">
        <v>0</v>
      </c>
      <c r="K5023" s="2">
        <v>5.25</v>
      </c>
    </row>
    <row r="5024" spans="1:12">
      <c r="A5024" s="3" t="s">
        <v>2194</v>
      </c>
      <c r="B5024" s="3" t="s">
        <v>5185</v>
      </c>
      <c r="C5024" s="3" t="s">
        <v>54</v>
      </c>
      <c r="D5024" s="3"/>
      <c r="E5024" s="2" t="str">
        <f>HYPERLINK("https://old.ukr-mobil.com/shlejf_apple_iphone_11_pro_max_s_dinamikom_s_datchikom_priblizheniya_s_mikrofonom_original_prc_10003875", "Перейти")</f>
        <v>Перейти</v>
      </c>
      <c r="F5024" s="2">
        <v>10003875</v>
      </c>
      <c r="G5024" s="4" t="s">
        <v>5189</v>
      </c>
      <c r="H5024" s="1">
        <v>9</v>
      </c>
      <c r="I5024" s="1">
        <v>4</v>
      </c>
      <c r="J5024" s="1">
        <v>4</v>
      </c>
      <c r="K5024" s="2">
        <v>10.0</v>
      </c>
    </row>
    <row r="5025" spans="1:12">
      <c r="A5025" s="3" t="s">
        <v>2194</v>
      </c>
      <c r="B5025" s="3" t="s">
        <v>5185</v>
      </c>
      <c r="C5025" s="3" t="s">
        <v>54</v>
      </c>
      <c r="D5025" s="3"/>
      <c r="E5025" s="2" t="str">
        <f>HYPERLINK("https://old.ukr-mobil.com/shlejf_iphone_11_pro_max_s_knopkami_regulirovki_gromkosti_original_prc_10000744", "Перейти")</f>
        <v>Перейти</v>
      </c>
      <c r="F5025" s="2">
        <v>10000744</v>
      </c>
      <c r="G5025" s="4" t="s">
        <v>5190</v>
      </c>
      <c r="H5025" s="1">
        <v>6</v>
      </c>
      <c r="I5025" s="1">
        <v>0</v>
      </c>
      <c r="J5025" s="1">
        <v>4</v>
      </c>
      <c r="K5025" s="2">
        <v>4.0</v>
      </c>
    </row>
    <row r="5026" spans="1:12">
      <c r="A5026" s="3" t="s">
        <v>2194</v>
      </c>
      <c r="B5026" s="3" t="s">
        <v>5185</v>
      </c>
      <c r="C5026" s="3" t="s">
        <v>54</v>
      </c>
      <c r="D5026" s="3"/>
      <c r="E5026" s="2" t="str">
        <f>HYPERLINK("https://old.ukr-mobil.com/shlejf_iphone_11_pro_max_s_razemom_zaryadki_mikrofonom_original_prc_black_10000743", "Перейти")</f>
        <v>Перейти</v>
      </c>
      <c r="F5026" s="2">
        <v>10000743</v>
      </c>
      <c r="G5026" s="4" t="s">
        <v>5191</v>
      </c>
      <c r="H5026" s="1">
        <v>2</v>
      </c>
      <c r="I5026" s="1">
        <v>0</v>
      </c>
      <c r="J5026" s="1">
        <v>3</v>
      </c>
      <c r="K5026" s="2">
        <v>15.0</v>
      </c>
    </row>
    <row r="5027" spans="1:12">
      <c r="A5027" s="3" t="s">
        <v>2194</v>
      </c>
      <c r="B5027" s="3" t="s">
        <v>5185</v>
      </c>
      <c r="C5027" s="3" t="s">
        <v>54</v>
      </c>
      <c r="D5027" s="3"/>
      <c r="E5027" s="2" t="str">
        <f>HYPERLINK("https://old.ukr-mobil.com/shlejf_iphone_11_pro_max_s_razemom_zaryadki_mikrofonom_original_prc_gold_10000753", "Перейти")</f>
        <v>Перейти</v>
      </c>
      <c r="F5027" s="2">
        <v>10000753</v>
      </c>
      <c r="G5027" s="4" t="s">
        <v>5192</v>
      </c>
      <c r="H5027" s="1">
        <v>2</v>
      </c>
      <c r="I5027" s="1">
        <v>1</v>
      </c>
      <c r="J5027" s="1">
        <v>0</v>
      </c>
      <c r="K5027" s="2">
        <v>15.0</v>
      </c>
    </row>
    <row r="5028" spans="1:12">
      <c r="A5028" s="3" t="s">
        <v>2194</v>
      </c>
      <c r="B5028" s="3" t="s">
        <v>5185</v>
      </c>
      <c r="C5028" s="3" t="s">
        <v>54</v>
      </c>
      <c r="D5028" s="3"/>
      <c r="E5028" s="2" t="str">
        <f>HYPERLINK("https://old.ukr-mobil.com/shlejf_iphone_11_pro_max_s_razemom_zaryadki_mikrofonom_original_prc_midnight_green_10000752", "Перейти")</f>
        <v>Перейти</v>
      </c>
      <c r="F5028" s="2">
        <v>10000752</v>
      </c>
      <c r="G5028" s="4" t="s">
        <v>5193</v>
      </c>
      <c r="H5028" s="1">
        <v>16</v>
      </c>
      <c r="I5028" s="1">
        <v>10</v>
      </c>
      <c r="J5028" s="1">
        <v>5</v>
      </c>
      <c r="K5028" s="2">
        <v>15.0</v>
      </c>
    </row>
    <row r="5029" spans="1:12">
      <c r="A5029" s="3" t="s">
        <v>2194</v>
      </c>
      <c r="B5029" s="3" t="s">
        <v>5185</v>
      </c>
      <c r="C5029" s="3" t="s">
        <v>54</v>
      </c>
      <c r="D5029" s="3"/>
      <c r="E5029" s="2" t="str">
        <f>HYPERLINK("https://old.ukr-mobil.com/shlejf_iphone_11_pro_max_s_razemom_zaryadki_mikrofonom_original_prc_silver_10000751", "Перейти")</f>
        <v>Перейти</v>
      </c>
      <c r="F5029" s="2">
        <v>10000751</v>
      </c>
      <c r="G5029" s="4" t="s">
        <v>5194</v>
      </c>
      <c r="H5029" s="1">
        <v>11</v>
      </c>
      <c r="I5029" s="1">
        <v>5</v>
      </c>
      <c r="J5029" s="1">
        <v>5</v>
      </c>
      <c r="K5029" s="2">
        <v>15.0</v>
      </c>
    </row>
    <row r="5030" spans="1:12">
      <c r="A5030" s="3" t="s">
        <v>2194</v>
      </c>
      <c r="B5030" s="3" t="s">
        <v>5185</v>
      </c>
      <c r="C5030" s="3" t="s">
        <v>54</v>
      </c>
      <c r="D5030" s="3"/>
      <c r="E5030" s="2" t="str">
        <f>HYPERLINK("https://old.ukr-mobil.com/shlejf_apple_iphone_11_pro_dlya_besprovodnoj_zaryadki_s_datchikom_nfc_s_knopkami_regulirovki_gromkosti_original_prc_10003828", "Перейти")</f>
        <v>Перейти</v>
      </c>
      <c r="F5030" s="2">
        <v>10003828</v>
      </c>
      <c r="G5030" s="4" t="s">
        <v>5195</v>
      </c>
      <c r="H5030" s="1">
        <v>0</v>
      </c>
      <c r="I5030" s="1">
        <v>0</v>
      </c>
      <c r="J5030" s="1">
        <v>0</v>
      </c>
      <c r="K5030" s="2">
        <v>5.25</v>
      </c>
    </row>
    <row r="5031" spans="1:12">
      <c r="A5031" s="3" t="s">
        <v>2194</v>
      </c>
      <c r="B5031" s="3" t="s">
        <v>5185</v>
      </c>
      <c r="C5031" s="3" t="s">
        <v>54</v>
      </c>
      <c r="D5031" s="3"/>
      <c r="E5031" s="2" t="str">
        <f>HYPERLINK("https://old.ukr-mobil.com/shlejf_apple_iphone_11_pro_s_dinamikom_s_datchikom_priblizheniya_s_mikrofonom_original_prc_10003876", "Перейти")</f>
        <v>Перейти</v>
      </c>
      <c r="F5031" s="2">
        <v>10003876</v>
      </c>
      <c r="G5031" s="4" t="s">
        <v>5196</v>
      </c>
      <c r="H5031" s="1">
        <v>0</v>
      </c>
      <c r="I5031" s="1">
        <v>0</v>
      </c>
      <c r="J5031" s="1">
        <v>0</v>
      </c>
      <c r="K5031" s="2">
        <v>9.75</v>
      </c>
    </row>
    <row r="5032" spans="1:12">
      <c r="A5032" s="3" t="s">
        <v>2194</v>
      </c>
      <c r="B5032" s="3" t="s">
        <v>5185</v>
      </c>
      <c r="C5032" s="3" t="s">
        <v>54</v>
      </c>
      <c r="D5032" s="3"/>
      <c r="E5032" s="2" t="str">
        <f>HYPERLINK("https://old.ukr-mobil.com/shlejf_iphone_11_pro_s_knopkami_regulirovki_gromkosti_original_prc_10000741", "Перейти")</f>
        <v>Перейти</v>
      </c>
      <c r="F5032" s="2">
        <v>10000741</v>
      </c>
      <c r="G5032" s="4" t="s">
        <v>5197</v>
      </c>
      <c r="H5032" s="1">
        <v>12</v>
      </c>
      <c r="I5032" s="1">
        <v>3</v>
      </c>
      <c r="J5032" s="1">
        <v>5</v>
      </c>
      <c r="K5032" s="2">
        <v>6.0</v>
      </c>
    </row>
    <row r="5033" spans="1:12">
      <c r="A5033" s="3" t="s">
        <v>2194</v>
      </c>
      <c r="B5033" s="3" t="s">
        <v>5185</v>
      </c>
      <c r="C5033" s="3" t="s">
        <v>54</v>
      </c>
      <c r="D5033" s="3"/>
      <c r="E5033" s="2" t="str">
        <f>HYPERLINK("https://old.ukr-mobil.com/shlejf_iphone_11_pro_s_razemom_zaryadki_mikrofonom_original_prc_black_10000740", "Перейти")</f>
        <v>Перейти</v>
      </c>
      <c r="F5033" s="2">
        <v>10000740</v>
      </c>
      <c r="G5033" s="4" t="s">
        <v>5198</v>
      </c>
      <c r="H5033" s="1">
        <v>8</v>
      </c>
      <c r="I5033" s="1">
        <v>2</v>
      </c>
      <c r="J5033" s="1">
        <v>4</v>
      </c>
      <c r="K5033" s="2">
        <v>15.0</v>
      </c>
    </row>
    <row r="5034" spans="1:12">
      <c r="A5034" s="3" t="s">
        <v>2194</v>
      </c>
      <c r="B5034" s="3" t="s">
        <v>5185</v>
      </c>
      <c r="C5034" s="3" t="s">
        <v>54</v>
      </c>
      <c r="D5034" s="3"/>
      <c r="E5034" s="2" t="str">
        <f>HYPERLINK("https://old.ukr-mobil.com/shlejf_iphone_11_pro_s_razemom_zaryadki_mikrofonom_original_prc_silver_10000750", "Перейти")</f>
        <v>Перейти</v>
      </c>
      <c r="F5034" s="2">
        <v>10000750</v>
      </c>
      <c r="G5034" s="4" t="s">
        <v>5199</v>
      </c>
      <c r="H5034" s="1">
        <v>9</v>
      </c>
      <c r="I5034" s="1">
        <v>7</v>
      </c>
      <c r="J5034" s="1">
        <v>6</v>
      </c>
      <c r="K5034" s="2">
        <v>15.0</v>
      </c>
    </row>
    <row r="5035" spans="1:12">
      <c r="A5035" s="3" t="s">
        <v>2194</v>
      </c>
      <c r="B5035" s="3" t="s">
        <v>5185</v>
      </c>
      <c r="C5035" s="3" t="s">
        <v>54</v>
      </c>
      <c r="D5035" s="3"/>
      <c r="E5035" s="2" t="str">
        <f>HYPERLINK("https://old.ukr-mobil.com/index.php?route=product&amp;product_id=10005275", "Перейти")</f>
        <v>Перейти</v>
      </c>
      <c r="F5035" s="2">
        <v>10005275</v>
      </c>
      <c r="G5035" s="4" t="s">
        <v>5200</v>
      </c>
      <c r="H5035" s="1">
        <v>15</v>
      </c>
      <c r="I5035" s="1">
        <v>5</v>
      </c>
      <c r="J5035" s="1">
        <v>7</v>
      </c>
      <c r="K5035" s="2">
        <v>3.0</v>
      </c>
    </row>
    <row r="5036" spans="1:12">
      <c r="A5036" s="3" t="s">
        <v>2194</v>
      </c>
      <c r="B5036" s="3" t="s">
        <v>5185</v>
      </c>
      <c r="C5036" s="3" t="s">
        <v>54</v>
      </c>
      <c r="D5036" s="3"/>
      <c r="E5036" s="2" t="str">
        <f>HYPERLINK("https://old.ukr-mobil.com/shlejf_apple_iphone_11_dlya_besprovodnoj_zaryadki_original_prc_10003826", "Перейти")</f>
        <v>Перейти</v>
      </c>
      <c r="F5036" s="2">
        <v>10003826</v>
      </c>
      <c r="G5036" s="4" t="s">
        <v>5201</v>
      </c>
      <c r="H5036" s="1">
        <v>1</v>
      </c>
      <c r="I5036" s="1">
        <v>0</v>
      </c>
      <c r="J5036" s="1">
        <v>2</v>
      </c>
      <c r="K5036" s="2">
        <v>3.0</v>
      </c>
    </row>
    <row r="5037" spans="1:12">
      <c r="A5037" s="3" t="s">
        <v>2194</v>
      </c>
      <c r="B5037" s="3" t="s">
        <v>5185</v>
      </c>
      <c r="C5037" s="3" t="s">
        <v>54</v>
      </c>
      <c r="D5037" s="3"/>
      <c r="E5037" s="2" t="str">
        <f>HYPERLINK("https://old.ukr-mobil.com/shlejf_iphone_11_regulirovki_gromkosti_original_prc_10000738", "Перейти")</f>
        <v>Перейти</v>
      </c>
      <c r="F5037" s="2">
        <v>10000738</v>
      </c>
      <c r="G5037" s="4" t="s">
        <v>5202</v>
      </c>
      <c r="H5037" s="1">
        <v>9</v>
      </c>
      <c r="I5037" s="1">
        <v>2</v>
      </c>
      <c r="J5037" s="1">
        <v>10</v>
      </c>
      <c r="K5037" s="2">
        <v>2.1</v>
      </c>
    </row>
    <row r="5038" spans="1:12">
      <c r="A5038" s="3" t="s">
        <v>2194</v>
      </c>
      <c r="B5038" s="3" t="s">
        <v>5185</v>
      </c>
      <c r="C5038" s="3" t="s">
        <v>54</v>
      </c>
      <c r="D5038" s="3"/>
      <c r="E5038" s="2" t="str">
        <f>HYPERLINK("https://old.ukr-mobil.com/shlejf_apple_iphone_11_s_dinamikom_s_datchikom_priblizheniya_s_mikrofonom_original_prc_10003877", "Перейти")</f>
        <v>Перейти</v>
      </c>
      <c r="F5038" s="2">
        <v>10003877</v>
      </c>
      <c r="G5038" s="4" t="s">
        <v>5203</v>
      </c>
      <c r="H5038" s="1">
        <v>1</v>
      </c>
      <c r="I5038" s="1">
        <v>1</v>
      </c>
      <c r="J5038" s="1">
        <v>3</v>
      </c>
      <c r="K5038" s="2">
        <v>4.5</v>
      </c>
    </row>
    <row r="5039" spans="1:12">
      <c r="A5039" s="3" t="s">
        <v>2194</v>
      </c>
      <c r="B5039" s="3" t="s">
        <v>5185</v>
      </c>
      <c r="C5039" s="3" t="s">
        <v>54</v>
      </c>
      <c r="D5039" s="3"/>
      <c r="E5039" s="2" t="str">
        <f>HYPERLINK("https://old.ukr-mobil.com/shlejf_iphone_11_s_razemom_zaryadki_mikrofonom_original_prc_black_10000737", "Перейти")</f>
        <v>Перейти</v>
      </c>
      <c r="F5039" s="2">
        <v>10000737</v>
      </c>
      <c r="G5039" s="4" t="s">
        <v>5204</v>
      </c>
      <c r="H5039" s="1">
        <v>0</v>
      </c>
      <c r="I5039" s="1">
        <v>0</v>
      </c>
      <c r="J5039" s="1">
        <v>0</v>
      </c>
      <c r="K5039" s="2">
        <v>6.0</v>
      </c>
    </row>
    <row r="5040" spans="1:12">
      <c r="A5040" s="3" t="s">
        <v>2194</v>
      </c>
      <c r="B5040" s="3" t="s">
        <v>5185</v>
      </c>
      <c r="C5040" s="3" t="s">
        <v>54</v>
      </c>
      <c r="D5040" s="3"/>
      <c r="E5040" s="2" t="str">
        <f>HYPERLINK("https://old.ukr-mobil.com/shlejf_iphone_11_s_razemom_zaryadki_mikrofonom_original_prc_silver_10000747", "Перейти")</f>
        <v>Перейти</v>
      </c>
      <c r="F5040" s="2">
        <v>10000747</v>
      </c>
      <c r="G5040" s="4" t="s">
        <v>5205</v>
      </c>
      <c r="H5040" s="1">
        <v>0</v>
      </c>
      <c r="I5040" s="1">
        <v>0</v>
      </c>
      <c r="J5040" s="1">
        <v>0</v>
      </c>
      <c r="K5040" s="2">
        <v>6.0</v>
      </c>
    </row>
    <row r="5041" spans="1:12">
      <c r="A5041" s="3" t="s">
        <v>2194</v>
      </c>
      <c r="B5041" s="3" t="s">
        <v>5185</v>
      </c>
      <c r="C5041" s="3" t="s">
        <v>54</v>
      </c>
      <c r="D5041" s="3"/>
      <c r="E5041" s="2" t="str">
        <f>HYPERLINK("https://old.ukr-mobil.com/shlejf_apple_iphone_12_pro_max_dlya_besprovodnoj_zaryadki_s_datchikom_nfc_s_knopkami_regulirovki_gromkosti_original_prc_10003831", "Перейти")</f>
        <v>Перейти</v>
      </c>
      <c r="F5041" s="2">
        <v>10003831</v>
      </c>
      <c r="G5041" s="4" t="s">
        <v>5206</v>
      </c>
      <c r="H5041" s="1">
        <v>0</v>
      </c>
      <c r="I5041" s="1">
        <v>0</v>
      </c>
      <c r="J5041" s="1">
        <v>0</v>
      </c>
      <c r="K5041" s="2">
        <v>5.5</v>
      </c>
    </row>
    <row r="5042" spans="1:12">
      <c r="A5042" s="3" t="s">
        <v>2194</v>
      </c>
      <c r="B5042" s="3" t="s">
        <v>5185</v>
      </c>
      <c r="C5042" s="3" t="s">
        <v>54</v>
      </c>
      <c r="D5042" s="3"/>
      <c r="E5042" s="2" t="str">
        <f>HYPERLINK("https://old.ukr-mobil.com/shlejf_apple_iphone_12_pro_max_s_vspyshkoj_original_prc_10002133", "Перейти")</f>
        <v>Перейти</v>
      </c>
      <c r="F5042" s="2">
        <v>10002133</v>
      </c>
      <c r="G5042" s="4" t="s">
        <v>5207</v>
      </c>
      <c r="H5042" s="1">
        <v>0</v>
      </c>
      <c r="I5042" s="1">
        <v>1</v>
      </c>
      <c r="J5042" s="1">
        <v>1</v>
      </c>
      <c r="K5042" s="2">
        <v>6.0</v>
      </c>
    </row>
    <row r="5043" spans="1:12">
      <c r="A5043" s="3" t="s">
        <v>2194</v>
      </c>
      <c r="B5043" s="3" t="s">
        <v>5185</v>
      </c>
      <c r="C5043" s="3" t="s">
        <v>54</v>
      </c>
      <c r="D5043" s="3"/>
      <c r="E5043" s="2" t="str">
        <f>HYPERLINK("https://old.ukr-mobil.com/shlejf_apple_iphone_12_pro_max_s_dinamikom_s_datchikom_priblizheniya_s_mikrofonom_original_prc_10002135", "Перейти")</f>
        <v>Перейти</v>
      </c>
      <c r="F5043" s="2">
        <v>10002135</v>
      </c>
      <c r="G5043" s="4" t="s">
        <v>5208</v>
      </c>
      <c r="H5043" s="1">
        <v>1</v>
      </c>
      <c r="I5043" s="1">
        <v>0</v>
      </c>
      <c r="J5043" s="1">
        <v>0</v>
      </c>
      <c r="K5043" s="2">
        <v>12.0</v>
      </c>
    </row>
    <row r="5044" spans="1:12">
      <c r="A5044" s="3" t="s">
        <v>2194</v>
      </c>
      <c r="B5044" s="3" t="s">
        <v>5185</v>
      </c>
      <c r="C5044" s="3" t="s">
        <v>54</v>
      </c>
      <c r="D5044" s="3"/>
      <c r="E5044" s="2" t="str">
        <f>HYPERLINK("https://old.ukr-mobil.com/shlejf_apple_iphone_12_pro_max_s_knopkoj_vklyucheniya_s_knopkami_regulirovki_gromkosti_original_prc_10002134", "Перейти")</f>
        <v>Перейти</v>
      </c>
      <c r="F5044" s="2">
        <v>10002134</v>
      </c>
      <c r="G5044" s="4" t="s">
        <v>5209</v>
      </c>
      <c r="H5044" s="1">
        <v>10</v>
      </c>
      <c r="I5044" s="1">
        <v>5</v>
      </c>
      <c r="J5044" s="1">
        <v>4</v>
      </c>
      <c r="K5044" s="2">
        <v>5.0</v>
      </c>
    </row>
    <row r="5045" spans="1:12">
      <c r="A5045" s="3" t="s">
        <v>2194</v>
      </c>
      <c r="B5045" s="3" t="s">
        <v>5185</v>
      </c>
      <c r="C5045" s="3" t="s">
        <v>54</v>
      </c>
      <c r="D5045" s="3"/>
      <c r="E5045" s="2" t="str">
        <f>HYPERLINK("https://old.ukr-mobil.com/shlejf_apple_iphone_12_pro_max_s_razemom_zaryadki_mikrofonom_original_prc_blue_10002130", "Перейти")</f>
        <v>Перейти</v>
      </c>
      <c r="F5045" s="2">
        <v>10002130</v>
      </c>
      <c r="G5045" s="4" t="s">
        <v>5210</v>
      </c>
      <c r="H5045" s="1">
        <v>0</v>
      </c>
      <c r="I5045" s="1">
        <v>0</v>
      </c>
      <c r="J5045" s="1">
        <v>0</v>
      </c>
      <c r="K5045" s="2">
        <v>12.85</v>
      </c>
    </row>
    <row r="5046" spans="1:12">
      <c r="A5046" s="3" t="s">
        <v>2194</v>
      </c>
      <c r="B5046" s="3" t="s">
        <v>5185</v>
      </c>
      <c r="C5046" s="3" t="s">
        <v>54</v>
      </c>
      <c r="D5046" s="3"/>
      <c r="E5046" s="2" t="str">
        <f>HYPERLINK("https://old.ukr-mobil.com/shlejf_apple_iphone_12_pro_max_s_razemom_zaryadki_mikrofonom_original_prc_gold_10002131", "Перейти")</f>
        <v>Перейти</v>
      </c>
      <c r="F5046" s="2">
        <v>10002131</v>
      </c>
      <c r="G5046" s="4" t="s">
        <v>5211</v>
      </c>
      <c r="H5046" s="1">
        <v>20</v>
      </c>
      <c r="I5046" s="1">
        <v>2</v>
      </c>
      <c r="J5046" s="1">
        <v>7</v>
      </c>
      <c r="K5046" s="2">
        <v>10.0</v>
      </c>
    </row>
    <row r="5047" spans="1:12">
      <c r="A5047" s="3" t="s">
        <v>2194</v>
      </c>
      <c r="B5047" s="3" t="s">
        <v>5185</v>
      </c>
      <c r="C5047" s="3" t="s">
        <v>54</v>
      </c>
      <c r="D5047" s="3"/>
      <c r="E5047" s="2" t="str">
        <f>HYPERLINK("https://old.ukr-mobil.com/shlejf_apple_iphone_12_pro_max_s_razemom_zaryadki_mikrofonom_original_prc_graphite_10002129", "Перейти")</f>
        <v>Перейти</v>
      </c>
      <c r="F5047" s="2">
        <v>10002129</v>
      </c>
      <c r="G5047" s="4" t="s">
        <v>5212</v>
      </c>
      <c r="H5047" s="1">
        <v>0</v>
      </c>
      <c r="I5047" s="1">
        <v>0</v>
      </c>
      <c r="J5047" s="1">
        <v>0</v>
      </c>
      <c r="K5047" s="2">
        <v>12.85</v>
      </c>
    </row>
    <row r="5048" spans="1:12">
      <c r="A5048" s="3" t="s">
        <v>2194</v>
      </c>
      <c r="B5048" s="3" t="s">
        <v>5185</v>
      </c>
      <c r="C5048" s="3" t="s">
        <v>54</v>
      </c>
      <c r="D5048" s="3"/>
      <c r="E5048" s="2" t="str">
        <f>HYPERLINK("https://old.ukr-mobil.com/shlejf_apple_iphone_12_pro_max_s_razemom_zaryadki_mikrofonom_original_prc_silver_10002132", "Перейти")</f>
        <v>Перейти</v>
      </c>
      <c r="F5048" s="2">
        <v>10002132</v>
      </c>
      <c r="G5048" s="4" t="s">
        <v>5213</v>
      </c>
      <c r="H5048" s="1">
        <v>11</v>
      </c>
      <c r="I5048" s="1">
        <v>1</v>
      </c>
      <c r="J5048" s="1">
        <v>1</v>
      </c>
      <c r="K5048" s="2">
        <v>10.0</v>
      </c>
    </row>
    <row r="5049" spans="1:12">
      <c r="A5049" s="3" t="s">
        <v>2194</v>
      </c>
      <c r="B5049" s="3" t="s">
        <v>5185</v>
      </c>
      <c r="C5049" s="3" t="s">
        <v>54</v>
      </c>
      <c r="D5049" s="3"/>
      <c r="E5049" s="2" t="str">
        <f>HYPERLINK("https://old.ukr-mobil.com/shlejf_apple_iphone_12_pro_dlya_besprovodnoj_zaryadki_s_datchikom_nfc_s_knopkami_regulirovki_gromkosti_original_prc_10003830", "Перейти")</f>
        <v>Перейти</v>
      </c>
      <c r="F5049" s="2">
        <v>10003830</v>
      </c>
      <c r="G5049" s="4" t="s">
        <v>5214</v>
      </c>
      <c r="H5049" s="1">
        <v>1</v>
      </c>
      <c r="I5049" s="1">
        <v>1</v>
      </c>
      <c r="J5049" s="1">
        <v>1</v>
      </c>
      <c r="K5049" s="2">
        <v>6.0</v>
      </c>
    </row>
    <row r="5050" spans="1:12">
      <c r="A5050" s="3" t="s">
        <v>2194</v>
      </c>
      <c r="B5050" s="3" t="s">
        <v>5185</v>
      </c>
      <c r="C5050" s="3" t="s">
        <v>54</v>
      </c>
      <c r="D5050" s="3"/>
      <c r="E5050" s="2" t="str">
        <f>HYPERLINK("https://old.ukr-mobil.com/shlejf_apple_iphone_12_pro_s_vspyshkoj_original_prc_10002209", "Перейти")</f>
        <v>Перейти</v>
      </c>
      <c r="F5050" s="2">
        <v>10002209</v>
      </c>
      <c r="G5050" s="4" t="s">
        <v>5215</v>
      </c>
      <c r="H5050" s="1">
        <v>0</v>
      </c>
      <c r="I5050" s="1">
        <v>0</v>
      </c>
      <c r="J5050" s="1">
        <v>0</v>
      </c>
      <c r="K5050" s="2">
        <v>6.5</v>
      </c>
    </row>
    <row r="5051" spans="1:12">
      <c r="A5051" s="3" t="s">
        <v>2194</v>
      </c>
      <c r="B5051" s="3" t="s">
        <v>5185</v>
      </c>
      <c r="C5051" s="3" t="s">
        <v>54</v>
      </c>
      <c r="D5051" s="3"/>
      <c r="E5051" s="2" t="str">
        <f>HYPERLINK("https://old.ukr-mobil.com/shlejf_apple_iphone_12_pro_s_knopkoj_vklyucheniya_s_knopkami_regulirovki_gromkosti_original_prc_10002210", "Перейти")</f>
        <v>Перейти</v>
      </c>
      <c r="F5051" s="2">
        <v>10002210</v>
      </c>
      <c r="G5051" s="4" t="s">
        <v>5216</v>
      </c>
      <c r="H5051" s="1">
        <v>5</v>
      </c>
      <c r="I5051" s="1">
        <v>2</v>
      </c>
      <c r="J5051" s="1">
        <v>1</v>
      </c>
      <c r="K5051" s="2">
        <v>5.0</v>
      </c>
    </row>
    <row r="5052" spans="1:12">
      <c r="A5052" s="3" t="s">
        <v>2194</v>
      </c>
      <c r="B5052" s="3" t="s">
        <v>5185</v>
      </c>
      <c r="C5052" s="3" t="s">
        <v>54</v>
      </c>
      <c r="D5052" s="3"/>
      <c r="E5052" s="2" t="str">
        <f>HYPERLINK("https://old.ukr-mobil.com/shlejf_apple_iphone_12_pro_s_razemom_zaryadki_mikrofonom_original_prc_blue_10002206", "Перейти")</f>
        <v>Перейти</v>
      </c>
      <c r="F5052" s="2">
        <v>10002206</v>
      </c>
      <c r="G5052" s="4" t="s">
        <v>5217</v>
      </c>
      <c r="H5052" s="1">
        <v>7</v>
      </c>
      <c r="I5052" s="1">
        <v>1</v>
      </c>
      <c r="J5052" s="1">
        <v>1</v>
      </c>
      <c r="K5052" s="2">
        <v>9.0</v>
      </c>
    </row>
    <row r="5053" spans="1:12">
      <c r="A5053" s="3" t="s">
        <v>2194</v>
      </c>
      <c r="B5053" s="3" t="s">
        <v>5185</v>
      </c>
      <c r="C5053" s="3" t="s">
        <v>54</v>
      </c>
      <c r="D5053" s="3"/>
      <c r="E5053" s="2" t="str">
        <f>HYPERLINK("https://old.ukr-mobil.com/shlejf_apple_iphone_12_pro_s_razemom_zaryadki_mikrofonom_original_prc_gold_10002207", "Перейти")</f>
        <v>Перейти</v>
      </c>
      <c r="F5053" s="2">
        <v>10002207</v>
      </c>
      <c r="G5053" s="4" t="s">
        <v>5218</v>
      </c>
      <c r="H5053" s="1">
        <v>7</v>
      </c>
      <c r="I5053" s="1">
        <v>2</v>
      </c>
      <c r="J5053" s="1">
        <v>1</v>
      </c>
      <c r="K5053" s="2">
        <v>9.0</v>
      </c>
    </row>
    <row r="5054" spans="1:12">
      <c r="A5054" s="3" t="s">
        <v>2194</v>
      </c>
      <c r="B5054" s="3" t="s">
        <v>5185</v>
      </c>
      <c r="C5054" s="3" t="s">
        <v>54</v>
      </c>
      <c r="D5054" s="3"/>
      <c r="E5054" s="2" t="str">
        <f>HYPERLINK("https://old.ukr-mobil.com/shlejf_apple_iphone_12_pro_s_razemom_zaryadki_mikrofonom_original_prc_graphite_10002205", "Перейти")</f>
        <v>Перейти</v>
      </c>
      <c r="F5054" s="2">
        <v>10002205</v>
      </c>
      <c r="G5054" s="4" t="s">
        <v>5219</v>
      </c>
      <c r="H5054" s="1">
        <v>6</v>
      </c>
      <c r="I5054" s="1">
        <v>1</v>
      </c>
      <c r="J5054" s="1">
        <v>1</v>
      </c>
      <c r="K5054" s="2">
        <v>9.0</v>
      </c>
    </row>
    <row r="5055" spans="1:12">
      <c r="A5055" s="3" t="s">
        <v>2194</v>
      </c>
      <c r="B5055" s="3" t="s">
        <v>5185</v>
      </c>
      <c r="C5055" s="3" t="s">
        <v>54</v>
      </c>
      <c r="D5055" s="3"/>
      <c r="E5055" s="2" t="str">
        <f>HYPERLINK("https://old.ukr-mobil.com/shlejf_apple_iphone_12_pro_s_razemom_zaryadki_mikrofonom_original_prc_silver_10002208", "Перейти")</f>
        <v>Перейти</v>
      </c>
      <c r="F5055" s="2">
        <v>10002208</v>
      </c>
      <c r="G5055" s="4" t="s">
        <v>5220</v>
      </c>
      <c r="H5055" s="1">
        <v>7</v>
      </c>
      <c r="I5055" s="1">
        <v>2</v>
      </c>
      <c r="J5055" s="1">
        <v>1</v>
      </c>
      <c r="K5055" s="2">
        <v>9.0</v>
      </c>
    </row>
    <row r="5056" spans="1:12">
      <c r="A5056" s="3" t="s">
        <v>2194</v>
      </c>
      <c r="B5056" s="3" t="s">
        <v>5185</v>
      </c>
      <c r="C5056" s="3" t="s">
        <v>54</v>
      </c>
      <c r="D5056" s="3"/>
      <c r="E5056" s="2" t="str">
        <f>HYPERLINK("https://old.ukr-mobil.com/shlejf_apple_iphone_12_s_dinamikom_s_datchikom_priblizheniya_s_mikrofonom_original_prc_10002164", "Перейти")</f>
        <v>Перейти</v>
      </c>
      <c r="F5056" s="2">
        <v>10002164</v>
      </c>
      <c r="G5056" s="4" t="s">
        <v>5221</v>
      </c>
      <c r="H5056" s="1">
        <v>0</v>
      </c>
      <c r="I5056" s="1">
        <v>0</v>
      </c>
      <c r="J5056" s="1">
        <v>1</v>
      </c>
      <c r="K5056" s="2">
        <v>12.0</v>
      </c>
    </row>
    <row r="5057" spans="1:12">
      <c r="A5057" s="3" t="s">
        <v>2194</v>
      </c>
      <c r="B5057" s="3" t="s">
        <v>5185</v>
      </c>
      <c r="C5057" s="3" t="s">
        <v>54</v>
      </c>
      <c r="D5057" s="3"/>
      <c r="E5057" s="2" t="str">
        <f>HYPERLINK("https://old.ukr-mobil.com/shlejf_apple_iphone_12_dlya_besprovodnoj_zaryadki_s_datchikom_nfc_s_knopkami_regulirovki_gromkosti_original_prc_10003829", "Перейти")</f>
        <v>Перейти</v>
      </c>
      <c r="F5057" s="2">
        <v>10003829</v>
      </c>
      <c r="G5057" s="4" t="s">
        <v>5222</v>
      </c>
      <c r="H5057" s="1">
        <v>7</v>
      </c>
      <c r="I5057" s="1">
        <v>3</v>
      </c>
      <c r="J5057" s="1">
        <v>1</v>
      </c>
      <c r="K5057" s="2">
        <v>7.0</v>
      </c>
    </row>
    <row r="5058" spans="1:12">
      <c r="A5058" s="3" t="s">
        <v>2194</v>
      </c>
      <c r="B5058" s="3" t="s">
        <v>5185</v>
      </c>
      <c r="C5058" s="3" t="s">
        <v>54</v>
      </c>
      <c r="D5058" s="3"/>
      <c r="E5058" s="2" t="str">
        <f>HYPERLINK("https://old.ukr-mobil.com/shlejf_apple_iphone_12_s_vspyshkoj_original_prc_10002163", "Перейти")</f>
        <v>Перейти</v>
      </c>
      <c r="F5058" s="2">
        <v>10002163</v>
      </c>
      <c r="G5058" s="4" t="s">
        <v>5223</v>
      </c>
      <c r="H5058" s="1">
        <v>8</v>
      </c>
      <c r="I5058" s="1">
        <v>7</v>
      </c>
      <c r="J5058" s="1">
        <v>5</v>
      </c>
      <c r="K5058" s="2">
        <v>6.5</v>
      </c>
    </row>
    <row r="5059" spans="1:12">
      <c r="A5059" s="3" t="s">
        <v>2194</v>
      </c>
      <c r="B5059" s="3" t="s">
        <v>5185</v>
      </c>
      <c r="C5059" s="3" t="s">
        <v>54</v>
      </c>
      <c r="D5059" s="3"/>
      <c r="E5059" s="2" t="str">
        <f>HYPERLINK("https://old.ukr-mobil.com/shlejf_apple_iphone_12_s_knopkoj_vklyucheniya_s_knopkami_regulirovki_gromkosti_original_prc_10002165", "Перейти")</f>
        <v>Перейти</v>
      </c>
      <c r="F5059" s="2">
        <v>10002165</v>
      </c>
      <c r="G5059" s="4" t="s">
        <v>5224</v>
      </c>
      <c r="H5059" s="1">
        <v>2</v>
      </c>
      <c r="I5059" s="1">
        <v>0</v>
      </c>
      <c r="J5059" s="1">
        <v>2</v>
      </c>
      <c r="K5059" s="2">
        <v>7.25</v>
      </c>
    </row>
    <row r="5060" spans="1:12">
      <c r="A5060" s="3" t="s">
        <v>2194</v>
      </c>
      <c r="B5060" s="3" t="s">
        <v>5185</v>
      </c>
      <c r="C5060" s="3" t="s">
        <v>54</v>
      </c>
      <c r="D5060" s="3"/>
      <c r="E5060" s="2" t="str">
        <f>HYPERLINK("https://old.ukr-mobil.com/shlejf_apple_iphone_12_s_razemom_zaryadki_mikrofonom_original_prc_blue_10002137", "Перейти")</f>
        <v>Перейти</v>
      </c>
      <c r="F5060" s="2">
        <v>10002137</v>
      </c>
      <c r="G5060" s="4" t="s">
        <v>5225</v>
      </c>
      <c r="H5060" s="1">
        <v>7</v>
      </c>
      <c r="I5060" s="1">
        <v>1</v>
      </c>
      <c r="J5060" s="1">
        <v>2</v>
      </c>
      <c r="K5060" s="2">
        <v>9.0</v>
      </c>
    </row>
    <row r="5061" spans="1:12">
      <c r="A5061" s="3" t="s">
        <v>2194</v>
      </c>
      <c r="B5061" s="3" t="s">
        <v>5185</v>
      </c>
      <c r="C5061" s="3" t="s">
        <v>54</v>
      </c>
      <c r="D5061" s="3"/>
      <c r="E5061" s="2" t="str">
        <f>HYPERLINK("https://old.ukr-mobil.com/shlejf_apple_iphone_12_s_razemom_zaryadki_mikrofonom_original_prc_gold_10002138", "Перейти")</f>
        <v>Перейти</v>
      </c>
      <c r="F5061" s="2">
        <v>10002138</v>
      </c>
      <c r="G5061" s="4" t="s">
        <v>5226</v>
      </c>
      <c r="H5061" s="1">
        <v>3</v>
      </c>
      <c r="I5061" s="1">
        <v>1</v>
      </c>
      <c r="J5061" s="1">
        <v>1</v>
      </c>
      <c r="K5061" s="2">
        <v>9.0</v>
      </c>
    </row>
    <row r="5062" spans="1:12">
      <c r="A5062" s="3" t="s">
        <v>2194</v>
      </c>
      <c r="B5062" s="3" t="s">
        <v>5185</v>
      </c>
      <c r="C5062" s="3" t="s">
        <v>54</v>
      </c>
      <c r="D5062" s="3"/>
      <c r="E5062" s="2" t="str">
        <f>HYPERLINK("https://old.ukr-mobil.com/shlejf_apple_iphone_12_s_razemom_zaryadki_mikrofonom_original_prc_graphite_10002136", "Перейти")</f>
        <v>Перейти</v>
      </c>
      <c r="F5062" s="2">
        <v>10002136</v>
      </c>
      <c r="G5062" s="4" t="s">
        <v>5227</v>
      </c>
      <c r="H5062" s="1">
        <v>0</v>
      </c>
      <c r="I5062" s="1">
        <v>0</v>
      </c>
      <c r="J5062" s="1">
        <v>2</v>
      </c>
      <c r="K5062" s="2">
        <v>9.0</v>
      </c>
    </row>
    <row r="5063" spans="1:12">
      <c r="A5063" s="3" t="s">
        <v>2194</v>
      </c>
      <c r="B5063" s="3" t="s">
        <v>5185</v>
      </c>
      <c r="C5063" s="3" t="s">
        <v>54</v>
      </c>
      <c r="D5063" s="3"/>
      <c r="E5063" s="2" t="str">
        <f>HYPERLINK("https://old.ukr-mobil.com/shlejf_apple_iphone_12_s_razemom_zaryadki_mikrofonom_original_prc_silver_10002139", "Перейти")</f>
        <v>Перейти</v>
      </c>
      <c r="F5063" s="2">
        <v>10002139</v>
      </c>
      <c r="G5063" s="4" t="s">
        <v>5228</v>
      </c>
      <c r="H5063" s="1">
        <v>3</v>
      </c>
      <c r="I5063" s="1">
        <v>2</v>
      </c>
      <c r="J5063" s="1">
        <v>1</v>
      </c>
      <c r="K5063" s="2">
        <v>9.0</v>
      </c>
    </row>
    <row r="5064" spans="1:12">
      <c r="A5064" s="3" t="s">
        <v>2194</v>
      </c>
      <c r="B5064" s="3" t="s">
        <v>5185</v>
      </c>
      <c r="C5064" s="3" t="s">
        <v>54</v>
      </c>
      <c r="D5064" s="3"/>
      <c r="E5064" s="2" t="str">
        <f>HYPERLINK("https://old.ukr-mobil.com/shlejf_apple_iphone_13_pro_max_s_datchikom_priblizheniya_s_mikrofonom_bez_dinamika_original_prc_10003882", "Перейти")</f>
        <v>Перейти</v>
      </c>
      <c r="F5064" s="2">
        <v>10003882</v>
      </c>
      <c r="G5064" s="4" t="s">
        <v>5229</v>
      </c>
      <c r="H5064" s="1">
        <v>18</v>
      </c>
      <c r="I5064" s="1">
        <v>3</v>
      </c>
      <c r="J5064" s="1">
        <v>5</v>
      </c>
      <c r="K5064" s="2">
        <v>7.0</v>
      </c>
    </row>
    <row r="5065" spans="1:12">
      <c r="A5065" s="3" t="s">
        <v>2194</v>
      </c>
      <c r="B5065" s="3" t="s">
        <v>5185</v>
      </c>
      <c r="C5065" s="3" t="s">
        <v>54</v>
      </c>
      <c r="D5065" s="3"/>
      <c r="E5065" s="2" t="str">
        <f>HYPERLINK("https://old.ukr-mobil.com/shlejf_apple_iphone_13_pro_max_s_knopkoj_vklyucheniya_s_knopkami_regulirovki_gromkosti_original_prc_10003880", "Перейти")</f>
        <v>Перейти</v>
      </c>
      <c r="F5065" s="2">
        <v>10003880</v>
      </c>
      <c r="G5065" s="4" t="s">
        <v>5230</v>
      </c>
      <c r="H5065" s="1">
        <v>0</v>
      </c>
      <c r="I5065" s="1">
        <v>1</v>
      </c>
      <c r="J5065" s="1">
        <v>3</v>
      </c>
      <c r="K5065" s="2">
        <v>5.75</v>
      </c>
    </row>
    <row r="5066" spans="1:12">
      <c r="A5066" s="3" t="s">
        <v>2194</v>
      </c>
      <c r="B5066" s="3" t="s">
        <v>5185</v>
      </c>
      <c r="C5066" s="3" t="s">
        <v>54</v>
      </c>
      <c r="D5066" s="3"/>
      <c r="E5066" s="2" t="str">
        <f>HYPERLINK("https://old.ukr-mobil.com/index.php?route=product&amp;product_id=10005244", "Перейти")</f>
        <v>Перейти</v>
      </c>
      <c r="F5066" s="2">
        <v>10005244</v>
      </c>
      <c r="G5066" s="4" t="s">
        <v>5231</v>
      </c>
      <c r="H5066" s="1">
        <v>7</v>
      </c>
      <c r="I5066" s="1">
        <v>0</v>
      </c>
      <c r="J5066" s="1">
        <v>2</v>
      </c>
      <c r="K5066" s="2">
        <v>10.0</v>
      </c>
    </row>
    <row r="5067" spans="1:12">
      <c r="A5067" s="3" t="s">
        <v>2194</v>
      </c>
      <c r="B5067" s="3" t="s">
        <v>5185</v>
      </c>
      <c r="C5067" s="3" t="s">
        <v>54</v>
      </c>
      <c r="D5067" s="3"/>
      <c r="E5067" s="2" t="str">
        <f>HYPERLINK("https://old.ukr-mobil.com/index.php?route=product&amp;product_id=10005245", "Перейти")</f>
        <v>Перейти</v>
      </c>
      <c r="F5067" s="2">
        <v>10005245</v>
      </c>
      <c r="G5067" s="4" t="s">
        <v>5232</v>
      </c>
      <c r="H5067" s="1">
        <v>9</v>
      </c>
      <c r="I5067" s="1">
        <v>2</v>
      </c>
      <c r="J5067" s="1">
        <v>3</v>
      </c>
      <c r="K5067" s="2">
        <v>10.0</v>
      </c>
    </row>
    <row r="5068" spans="1:12">
      <c r="A5068" s="3" t="s">
        <v>2194</v>
      </c>
      <c r="B5068" s="3" t="s">
        <v>5185</v>
      </c>
      <c r="C5068" s="3" t="s">
        <v>54</v>
      </c>
      <c r="D5068" s="3"/>
      <c r="E5068" s="2" t="str">
        <f>HYPERLINK("https://old.ukr-mobil.com/shlejf_apple_iphone_13_pro_max_s_razemom_zaryadki_s_mikrofonami_original_prc_silver_10003883", "Перейти")</f>
        <v>Перейти</v>
      </c>
      <c r="F5068" s="2">
        <v>10003883</v>
      </c>
      <c r="G5068" s="4" t="s">
        <v>5233</v>
      </c>
      <c r="H5068" s="1">
        <v>11</v>
      </c>
      <c r="I5068" s="1">
        <v>5</v>
      </c>
      <c r="J5068" s="1">
        <v>3</v>
      </c>
      <c r="K5068" s="2">
        <v>10.0</v>
      </c>
    </row>
    <row r="5069" spans="1:12">
      <c r="A5069" s="3" t="s">
        <v>2194</v>
      </c>
      <c r="B5069" s="3" t="s">
        <v>5185</v>
      </c>
      <c r="C5069" s="3" t="s">
        <v>54</v>
      </c>
      <c r="D5069" s="3"/>
      <c r="E5069" s="2" t="str">
        <f>HYPERLINK("https://old.ukr-mobil.com/shlejf_apple_iphone_13_pro_s_datchikom_priblizheniya_s_mikrofonom_bez_dinamika_original_prc_10003881", "Перейти")</f>
        <v>Перейти</v>
      </c>
      <c r="F5069" s="2">
        <v>10003881</v>
      </c>
      <c r="G5069" s="4" t="s">
        <v>5234</v>
      </c>
      <c r="H5069" s="1">
        <v>4</v>
      </c>
      <c r="I5069" s="1">
        <v>4</v>
      </c>
      <c r="J5069" s="1">
        <v>0</v>
      </c>
      <c r="K5069" s="2">
        <v>4.5</v>
      </c>
    </row>
    <row r="5070" spans="1:12">
      <c r="A5070" s="3" t="s">
        <v>2194</v>
      </c>
      <c r="B5070" s="3" t="s">
        <v>5185</v>
      </c>
      <c r="C5070" s="3" t="s">
        <v>54</v>
      </c>
      <c r="D5070" s="3"/>
      <c r="E5070" s="2" t="str">
        <f>HYPERLINK("https://old.ukr-mobil.com/shlejf_apple_iphone_13_pro_s_razemom_zaryadki_s_mikrofonami_original_prc_black_10004179", "Перейти")</f>
        <v>Перейти</v>
      </c>
      <c r="F5070" s="2">
        <v>10004179</v>
      </c>
      <c r="G5070" s="4" t="s">
        <v>5235</v>
      </c>
      <c r="H5070" s="1">
        <v>0</v>
      </c>
      <c r="I5070" s="1">
        <v>0</v>
      </c>
      <c r="J5070" s="1">
        <v>0</v>
      </c>
      <c r="K5070" s="2">
        <v>16.0</v>
      </c>
    </row>
    <row r="5071" spans="1:12">
      <c r="A5071" s="3" t="s">
        <v>2194</v>
      </c>
      <c r="B5071" s="3" t="s">
        <v>5185</v>
      </c>
      <c r="C5071" s="3" t="s">
        <v>54</v>
      </c>
      <c r="D5071" s="3"/>
      <c r="E5071" s="2" t="str">
        <f>HYPERLINK("https://old.ukr-mobil.com/shlejf_apple_iphone_13_pro_s_razemom_zaryadki_s_mikrofonami_original_prc_silver_10003884", "Перейти")</f>
        <v>Перейти</v>
      </c>
      <c r="F5071" s="2">
        <v>10003884</v>
      </c>
      <c r="G5071" s="4" t="s">
        <v>5236</v>
      </c>
      <c r="H5071" s="1">
        <v>8</v>
      </c>
      <c r="I5071" s="1">
        <v>3</v>
      </c>
      <c r="J5071" s="1">
        <v>3</v>
      </c>
      <c r="K5071" s="2">
        <v>9.0</v>
      </c>
    </row>
    <row r="5072" spans="1:12">
      <c r="A5072" s="3" t="s">
        <v>2194</v>
      </c>
      <c r="B5072" s="3" t="s">
        <v>5185</v>
      </c>
      <c r="C5072" s="3" t="s">
        <v>54</v>
      </c>
      <c r="D5072" s="3"/>
      <c r="E5072" s="2" t="str">
        <f>HYPERLINK("https://old.ukr-mobil.com/shlejf_apple_iphone_13_s_datchikom_priblizheniya_s_mikrofonom_bez_dinamika_original_prc_10003885", "Перейти")</f>
        <v>Перейти</v>
      </c>
      <c r="F5072" s="2">
        <v>10003885</v>
      </c>
      <c r="G5072" s="4" t="s">
        <v>5237</v>
      </c>
      <c r="H5072" s="1">
        <v>10</v>
      </c>
      <c r="I5072" s="1">
        <v>3</v>
      </c>
      <c r="J5072" s="1">
        <v>1</v>
      </c>
      <c r="K5072" s="2">
        <v>5.0</v>
      </c>
    </row>
    <row r="5073" spans="1:12">
      <c r="A5073" s="3" t="s">
        <v>2194</v>
      </c>
      <c r="B5073" s="3" t="s">
        <v>5185</v>
      </c>
      <c r="C5073" s="3" t="s">
        <v>54</v>
      </c>
      <c r="D5073" s="3"/>
      <c r="E5073" s="2" t="str">
        <f>HYPERLINK("https://old.ukr-mobil.com/shlejf_apple_iphone_13_s_knopkoj_vklyucheniya_s_knopkami_regulirovki_gromkosti_original_prc_10003235", "Перейти")</f>
        <v>Перейти</v>
      </c>
      <c r="F5073" s="2">
        <v>10003235</v>
      </c>
      <c r="G5073" s="4" t="s">
        <v>5238</v>
      </c>
      <c r="H5073" s="1">
        <v>5</v>
      </c>
      <c r="I5073" s="1">
        <v>0</v>
      </c>
      <c r="J5073" s="1">
        <v>2</v>
      </c>
      <c r="K5073" s="2">
        <v>6.0</v>
      </c>
    </row>
    <row r="5074" spans="1:12">
      <c r="A5074" s="3" t="s">
        <v>2194</v>
      </c>
      <c r="B5074" s="3" t="s">
        <v>5185</v>
      </c>
      <c r="C5074" s="3" t="s">
        <v>54</v>
      </c>
      <c r="D5074" s="3"/>
      <c r="E5074" s="2" t="str">
        <f>HYPERLINK("https://old.ukr-mobil.com/shlejf_apple_iphone_13_s_razemom_zaryadki_mikrofonom_original_prc_black_10003231", "Перейти")</f>
        <v>Перейти</v>
      </c>
      <c r="F5074" s="2">
        <v>10003231</v>
      </c>
      <c r="G5074" s="4" t="s">
        <v>5239</v>
      </c>
      <c r="H5074" s="1">
        <v>3</v>
      </c>
      <c r="I5074" s="1">
        <v>2</v>
      </c>
      <c r="J5074" s="1">
        <v>2</v>
      </c>
      <c r="K5074" s="2">
        <v>9.0</v>
      </c>
    </row>
    <row r="5075" spans="1:12">
      <c r="A5075" s="3" t="s">
        <v>2194</v>
      </c>
      <c r="B5075" s="3" t="s">
        <v>5185</v>
      </c>
      <c r="C5075" s="3" t="s">
        <v>54</v>
      </c>
      <c r="D5075" s="3"/>
      <c r="E5075" s="2" t="str">
        <f>HYPERLINK("https://old.ukr-mobil.com/shlejf_apple_iphone_13_s_razemom_zaryadki_mikrofonom_original_prc_blue_10003230", "Перейти")</f>
        <v>Перейти</v>
      </c>
      <c r="F5075" s="2">
        <v>10003230</v>
      </c>
      <c r="G5075" s="4" t="s">
        <v>5240</v>
      </c>
      <c r="H5075" s="1">
        <v>5</v>
      </c>
      <c r="I5075" s="1">
        <v>3</v>
      </c>
      <c r="J5075" s="1">
        <v>2</v>
      </c>
      <c r="K5075" s="2">
        <v>9.0</v>
      </c>
    </row>
    <row r="5076" spans="1:12">
      <c r="A5076" s="3" t="s">
        <v>2194</v>
      </c>
      <c r="B5076" s="3" t="s">
        <v>5185</v>
      </c>
      <c r="C5076" s="3" t="s">
        <v>54</v>
      </c>
      <c r="D5076" s="3"/>
      <c r="E5076" s="2" t="str">
        <f>HYPERLINK("https://old.ukr-mobil.com/shlejf_apple_iphone_13_s_razemom_zaryadki_mikrofonom_original_prc_pink_10003234", "Перейти")</f>
        <v>Перейти</v>
      </c>
      <c r="F5076" s="2">
        <v>10003234</v>
      </c>
      <c r="G5076" s="4" t="s">
        <v>5241</v>
      </c>
      <c r="H5076" s="1">
        <v>5</v>
      </c>
      <c r="I5076" s="1">
        <v>0</v>
      </c>
      <c r="J5076" s="1">
        <v>2</v>
      </c>
      <c r="K5076" s="2">
        <v>9.0</v>
      </c>
    </row>
    <row r="5077" spans="1:12">
      <c r="A5077" s="3" t="s">
        <v>2194</v>
      </c>
      <c r="B5077" s="3" t="s">
        <v>5185</v>
      </c>
      <c r="C5077" s="3" t="s">
        <v>54</v>
      </c>
      <c r="D5077" s="3"/>
      <c r="E5077" s="2" t="str">
        <f>HYPERLINK("https://old.ukr-mobil.com/shlejf_apple_iphone_13_s_razemom_zaryadki_mikrofonom_original_prc_red_10003233", "Перейти")</f>
        <v>Перейти</v>
      </c>
      <c r="F5077" s="2">
        <v>10003233</v>
      </c>
      <c r="G5077" s="4" t="s">
        <v>5242</v>
      </c>
      <c r="H5077" s="1">
        <v>5</v>
      </c>
      <c r="I5077" s="1">
        <v>5</v>
      </c>
      <c r="J5077" s="1">
        <v>2</v>
      </c>
      <c r="K5077" s="2">
        <v>9.0</v>
      </c>
    </row>
    <row r="5078" spans="1:12">
      <c r="A5078" s="3" t="s">
        <v>2194</v>
      </c>
      <c r="B5078" s="3" t="s">
        <v>5185</v>
      </c>
      <c r="C5078" s="3" t="s">
        <v>54</v>
      </c>
      <c r="D5078" s="3"/>
      <c r="E5078" s="2" t="str">
        <f>HYPERLINK("https://old.ukr-mobil.com/shlejf_apple_iphone_13_s_razemom_zaryadki_mikrofonom_original_prc_white_10003232", "Перейти")</f>
        <v>Перейти</v>
      </c>
      <c r="F5078" s="2">
        <v>10003232</v>
      </c>
      <c r="G5078" s="4" t="s">
        <v>5243</v>
      </c>
      <c r="H5078" s="1">
        <v>3</v>
      </c>
      <c r="I5078" s="1">
        <v>3</v>
      </c>
      <c r="J5078" s="1">
        <v>2</v>
      </c>
      <c r="K5078" s="2">
        <v>9.0</v>
      </c>
    </row>
    <row r="5079" spans="1:12">
      <c r="A5079" s="3" t="s">
        <v>2194</v>
      </c>
      <c r="B5079" s="3" t="s">
        <v>5185</v>
      </c>
      <c r="C5079" s="3" t="s">
        <v>54</v>
      </c>
      <c r="D5079" s="3"/>
      <c r="E5079" s="2" t="str">
        <f>HYPERLINK("https://old.ukr-mobil.com/index.php?route=product&amp;product_id=10005277", "Перейти")</f>
        <v>Перейти</v>
      </c>
      <c r="F5079" s="2">
        <v>10005277</v>
      </c>
      <c r="G5079" s="4" t="s">
        <v>5244</v>
      </c>
      <c r="H5079" s="1">
        <v>5</v>
      </c>
      <c r="I5079" s="1">
        <v>3</v>
      </c>
      <c r="J5079" s="1">
        <v>2</v>
      </c>
      <c r="K5079" s="2">
        <v>5.0</v>
      </c>
    </row>
    <row r="5080" spans="1:12">
      <c r="A5080" s="3" t="s">
        <v>2194</v>
      </c>
      <c r="B5080" s="3" t="s">
        <v>5185</v>
      </c>
      <c r="C5080" s="3" t="s">
        <v>54</v>
      </c>
      <c r="D5080" s="3"/>
      <c r="E5080" s="2" t="str">
        <f>HYPERLINK("https://old.ukr-mobil.com/index.php?route=product&amp;product_id=10005242", "Перейти")</f>
        <v>Перейти</v>
      </c>
      <c r="F5080" s="2">
        <v>10005242</v>
      </c>
      <c r="G5080" s="4" t="s">
        <v>5245</v>
      </c>
      <c r="H5080" s="1">
        <v>6</v>
      </c>
      <c r="I5080" s="1">
        <v>1</v>
      </c>
      <c r="J5080" s="1">
        <v>2</v>
      </c>
      <c r="K5080" s="2">
        <v>10.0</v>
      </c>
    </row>
    <row r="5081" spans="1:12">
      <c r="A5081" s="3" t="s">
        <v>2194</v>
      </c>
      <c r="B5081" s="3" t="s">
        <v>5185</v>
      </c>
      <c r="C5081" s="3" t="s">
        <v>54</v>
      </c>
      <c r="D5081" s="3"/>
      <c r="E5081" s="2" t="str">
        <f>HYPERLINK("https://old.ukr-mobil.com/index.php?route=product&amp;product_id=10005282", "Перейти")</f>
        <v>Перейти</v>
      </c>
      <c r="F5081" s="2">
        <v>10005282</v>
      </c>
      <c r="G5081" s="4" t="s">
        <v>5246</v>
      </c>
      <c r="H5081" s="1">
        <v>8</v>
      </c>
      <c r="I5081" s="1">
        <v>3</v>
      </c>
      <c r="J5081" s="1">
        <v>2</v>
      </c>
      <c r="K5081" s="2">
        <v>7.0</v>
      </c>
    </row>
    <row r="5082" spans="1:12">
      <c r="A5082" s="3" t="s">
        <v>2194</v>
      </c>
      <c r="B5082" s="3" t="s">
        <v>5185</v>
      </c>
      <c r="C5082" s="3" t="s">
        <v>54</v>
      </c>
      <c r="D5082" s="3"/>
      <c r="E5082" s="2" t="str">
        <f>HYPERLINK("https://old.ukr-mobil.com/index.php?route=product&amp;product_id=10005284", "Перейти")</f>
        <v>Перейти</v>
      </c>
      <c r="F5082" s="2">
        <v>10005284</v>
      </c>
      <c r="G5082" s="4" t="s">
        <v>5247</v>
      </c>
      <c r="H5082" s="1">
        <v>10</v>
      </c>
      <c r="I5082" s="1">
        <v>3</v>
      </c>
      <c r="J5082" s="1">
        <v>2</v>
      </c>
      <c r="K5082" s="2">
        <v>5.5</v>
      </c>
    </row>
    <row r="5083" spans="1:12">
      <c r="A5083" s="3" t="s">
        <v>2194</v>
      </c>
      <c r="B5083" s="3" t="s">
        <v>5185</v>
      </c>
      <c r="C5083" s="3" t="s">
        <v>54</v>
      </c>
      <c r="D5083" s="3"/>
      <c r="E5083" s="2" t="str">
        <f>HYPERLINK("https://old.ukr-mobil.com/index.php?route=product&amp;product_id=10005263", "Перейти")</f>
        <v>Перейти</v>
      </c>
      <c r="F5083" s="2">
        <v>10005263</v>
      </c>
      <c r="G5083" s="4" t="s">
        <v>5248</v>
      </c>
      <c r="H5083" s="1">
        <v>5</v>
      </c>
      <c r="I5083" s="1">
        <v>3</v>
      </c>
      <c r="J5083" s="1">
        <v>2</v>
      </c>
      <c r="K5083" s="2">
        <v>10.0</v>
      </c>
    </row>
    <row r="5084" spans="1:12">
      <c r="A5084" s="3" t="s">
        <v>2194</v>
      </c>
      <c r="B5084" s="3" t="s">
        <v>5185</v>
      </c>
      <c r="C5084" s="3" t="s">
        <v>54</v>
      </c>
      <c r="D5084" s="3"/>
      <c r="E5084" s="2" t="str">
        <f>HYPERLINK("https://old.ukr-mobil.com/index.php?route=product&amp;product_id=10005267", "Перейти")</f>
        <v>Перейти</v>
      </c>
      <c r="F5084" s="2">
        <v>10005267</v>
      </c>
      <c r="G5084" s="4" t="s">
        <v>5249</v>
      </c>
      <c r="H5084" s="1">
        <v>5</v>
      </c>
      <c r="I5084" s="1">
        <v>3</v>
      </c>
      <c r="J5084" s="1">
        <v>2</v>
      </c>
      <c r="K5084" s="2">
        <v>10.0</v>
      </c>
    </row>
    <row r="5085" spans="1:12">
      <c r="A5085" s="3" t="s">
        <v>2194</v>
      </c>
      <c r="B5085" s="3" t="s">
        <v>5185</v>
      </c>
      <c r="C5085" s="3" t="s">
        <v>54</v>
      </c>
      <c r="D5085" s="3"/>
      <c r="E5085" s="2" t="str">
        <f>HYPERLINK("https://old.ukr-mobil.com/index.php?route=product&amp;product_id=10005266", "Перейти")</f>
        <v>Перейти</v>
      </c>
      <c r="F5085" s="2">
        <v>10005266</v>
      </c>
      <c r="G5085" s="4" t="s">
        <v>5250</v>
      </c>
      <c r="H5085" s="1">
        <v>4</v>
      </c>
      <c r="I5085" s="1">
        <v>3</v>
      </c>
      <c r="J5085" s="1">
        <v>2</v>
      </c>
      <c r="K5085" s="2">
        <v>10.0</v>
      </c>
    </row>
    <row r="5086" spans="1:12">
      <c r="A5086" s="3" t="s">
        <v>2194</v>
      </c>
      <c r="B5086" s="3" t="s">
        <v>5185</v>
      </c>
      <c r="C5086" s="3" t="s">
        <v>54</v>
      </c>
      <c r="D5086" s="3"/>
      <c r="E5086" s="2" t="str">
        <f>HYPERLINK("https://old.ukr-mobil.com/index.php?route=product&amp;product_id=10005265", "Перейти")</f>
        <v>Перейти</v>
      </c>
      <c r="F5086" s="2">
        <v>10005265</v>
      </c>
      <c r="G5086" s="4" t="s">
        <v>5251</v>
      </c>
      <c r="H5086" s="1">
        <v>5</v>
      </c>
      <c r="I5086" s="1">
        <v>3</v>
      </c>
      <c r="J5086" s="1">
        <v>2</v>
      </c>
      <c r="K5086" s="2">
        <v>10.0</v>
      </c>
    </row>
    <row r="5087" spans="1:12">
      <c r="A5087" s="3" t="s">
        <v>2194</v>
      </c>
      <c r="B5087" s="3" t="s">
        <v>5185</v>
      </c>
      <c r="C5087" s="3" t="s">
        <v>54</v>
      </c>
      <c r="D5087" s="3"/>
      <c r="E5087" s="2" t="str">
        <f>HYPERLINK("https://old.ukr-mobil.com/index.php?route=product&amp;product_id=10005268", "Перейти")</f>
        <v>Перейти</v>
      </c>
      <c r="F5087" s="2">
        <v>10005268</v>
      </c>
      <c r="G5087" s="4" t="s">
        <v>5252</v>
      </c>
      <c r="H5087" s="1">
        <v>5</v>
      </c>
      <c r="I5087" s="1">
        <v>3</v>
      </c>
      <c r="J5087" s="1">
        <v>2</v>
      </c>
      <c r="K5087" s="2">
        <v>10.0</v>
      </c>
    </row>
    <row r="5088" spans="1:12">
      <c r="A5088" s="3" t="s">
        <v>2194</v>
      </c>
      <c r="B5088" s="3" t="s">
        <v>5185</v>
      </c>
      <c r="C5088" s="3" t="s">
        <v>54</v>
      </c>
      <c r="D5088" s="3"/>
      <c r="E5088" s="2" t="str">
        <f>HYPERLINK("https://old.ukr-mobil.com/index.php?route=product&amp;product_id=10005243", "Перейти")</f>
        <v>Перейти</v>
      </c>
      <c r="F5088" s="2">
        <v>10005243</v>
      </c>
      <c r="G5088" s="4" t="s">
        <v>5253</v>
      </c>
      <c r="H5088" s="1">
        <v>6</v>
      </c>
      <c r="I5088" s="1">
        <v>1</v>
      </c>
      <c r="J5088" s="1">
        <v>2</v>
      </c>
      <c r="K5088" s="2">
        <v>12.0</v>
      </c>
    </row>
    <row r="5089" spans="1:12">
      <c r="A5089" s="3" t="s">
        <v>2194</v>
      </c>
      <c r="B5089" s="3" t="s">
        <v>5185</v>
      </c>
      <c r="C5089" s="3" t="s">
        <v>54</v>
      </c>
      <c r="D5089" s="3"/>
      <c r="E5089" s="2" t="str">
        <f>HYPERLINK("https://old.ukr-mobil.com/index.php?route=product&amp;product_id=10005272", "Перейти")</f>
        <v>Перейти</v>
      </c>
      <c r="F5089" s="2">
        <v>10005272</v>
      </c>
      <c r="G5089" s="4" t="s">
        <v>5254</v>
      </c>
      <c r="H5089" s="1">
        <v>4</v>
      </c>
      <c r="I5089" s="1">
        <v>3</v>
      </c>
      <c r="J5089" s="1">
        <v>1</v>
      </c>
      <c r="K5089" s="2">
        <v>17.0</v>
      </c>
    </row>
    <row r="5090" spans="1:12">
      <c r="A5090" s="3" t="s">
        <v>2194</v>
      </c>
      <c r="B5090" s="3" t="s">
        <v>5185</v>
      </c>
      <c r="C5090" s="3" t="s">
        <v>54</v>
      </c>
      <c r="D5090" s="3"/>
      <c r="E5090" s="2" t="str">
        <f>HYPERLINK("https://old.ukr-mobil.com/index.php?route=product&amp;product_id=10005273", "Перейти")</f>
        <v>Перейти</v>
      </c>
      <c r="F5090" s="2">
        <v>10005273</v>
      </c>
      <c r="G5090" s="4" t="s">
        <v>5255</v>
      </c>
      <c r="H5090" s="1">
        <v>4</v>
      </c>
      <c r="I5090" s="1">
        <v>2</v>
      </c>
      <c r="J5090" s="1">
        <v>2</v>
      </c>
      <c r="K5090" s="2">
        <v>17.0</v>
      </c>
    </row>
    <row r="5091" spans="1:12">
      <c r="A5091" s="3" t="s">
        <v>2194</v>
      </c>
      <c r="B5091" s="3" t="s">
        <v>5185</v>
      </c>
      <c r="C5091" s="3" t="s">
        <v>54</v>
      </c>
      <c r="D5091" s="3"/>
      <c r="E5091" s="2" t="str">
        <f>HYPERLINK("https://old.ukr-mobil.com/index.php?route=product&amp;product_id=10005274", "Перейти")</f>
        <v>Перейти</v>
      </c>
      <c r="F5091" s="2">
        <v>10005274</v>
      </c>
      <c r="G5091" s="4" t="s">
        <v>5256</v>
      </c>
      <c r="H5091" s="1">
        <v>5</v>
      </c>
      <c r="I5091" s="1">
        <v>0</v>
      </c>
      <c r="J5091" s="1">
        <v>2</v>
      </c>
      <c r="K5091" s="2">
        <v>17.0</v>
      </c>
    </row>
    <row r="5092" spans="1:12">
      <c r="A5092" s="3" t="s">
        <v>2194</v>
      </c>
      <c r="B5092" s="3" t="s">
        <v>5185</v>
      </c>
      <c r="C5092" s="3" t="s">
        <v>54</v>
      </c>
      <c r="D5092" s="3"/>
      <c r="E5092" s="2" t="str">
        <f>HYPERLINK("https://old.ukr-mobil.com/index.php?route=product&amp;product_id=10005283", "Перейти")</f>
        <v>Перейти</v>
      </c>
      <c r="F5092" s="2">
        <v>10005283</v>
      </c>
      <c r="G5092" s="4" t="s">
        <v>5257</v>
      </c>
      <c r="H5092" s="1">
        <v>0</v>
      </c>
      <c r="I5092" s="1">
        <v>0</v>
      </c>
      <c r="J5092" s="1">
        <v>0</v>
      </c>
      <c r="K5092" s="2">
        <v>12.0</v>
      </c>
    </row>
    <row r="5093" spans="1:12">
      <c r="A5093" s="3" t="s">
        <v>2194</v>
      </c>
      <c r="B5093" s="3" t="s">
        <v>5185</v>
      </c>
      <c r="C5093" s="3" t="s">
        <v>54</v>
      </c>
      <c r="D5093" s="3"/>
      <c r="E5093" s="2" t="str">
        <f>HYPERLINK("https://old.ukr-mobil.com/index.php?route=product&amp;product_id=10005241", "Перейти")</f>
        <v>Перейти</v>
      </c>
      <c r="F5093" s="2">
        <v>10005241</v>
      </c>
      <c r="G5093" s="4" t="s">
        <v>5258</v>
      </c>
      <c r="H5093" s="1">
        <v>6</v>
      </c>
      <c r="I5093" s="1">
        <v>1</v>
      </c>
      <c r="J5093" s="1">
        <v>2</v>
      </c>
      <c r="K5093" s="2">
        <v>11.0</v>
      </c>
    </row>
    <row r="5094" spans="1:12">
      <c r="A5094" s="3" t="s">
        <v>2194</v>
      </c>
      <c r="B5094" s="3" t="s">
        <v>5185</v>
      </c>
      <c r="C5094" s="3" t="s">
        <v>54</v>
      </c>
      <c r="D5094" s="3"/>
      <c r="E5094" s="2" t="str">
        <f>HYPERLINK("https://old.ukr-mobil.com/index.php?route=product&amp;product_id=10005269", "Перейти")</f>
        <v>Перейти</v>
      </c>
      <c r="F5094" s="2">
        <v>10005269</v>
      </c>
      <c r="G5094" s="4" t="s">
        <v>5259</v>
      </c>
      <c r="H5094" s="1">
        <v>5</v>
      </c>
      <c r="I5094" s="1">
        <v>3</v>
      </c>
      <c r="J5094" s="1">
        <v>0</v>
      </c>
      <c r="K5094" s="2">
        <v>17.75</v>
      </c>
    </row>
    <row r="5095" spans="1:12">
      <c r="A5095" s="3" t="s">
        <v>2194</v>
      </c>
      <c r="B5095" s="3" t="s">
        <v>5185</v>
      </c>
      <c r="C5095" s="3" t="s">
        <v>54</v>
      </c>
      <c r="D5095" s="3"/>
      <c r="E5095" s="2" t="str">
        <f>HYPERLINK("https://old.ukr-mobil.com/index.php?route=product&amp;product_id=10005270", "Перейти")</f>
        <v>Перейти</v>
      </c>
      <c r="F5095" s="2">
        <v>10005270</v>
      </c>
      <c r="G5095" s="4" t="s">
        <v>5260</v>
      </c>
      <c r="H5095" s="1">
        <v>4</v>
      </c>
      <c r="I5095" s="1">
        <v>3</v>
      </c>
      <c r="J5095" s="1">
        <v>2</v>
      </c>
      <c r="K5095" s="2">
        <v>17.75</v>
      </c>
    </row>
    <row r="5096" spans="1:12">
      <c r="A5096" s="3" t="s">
        <v>2194</v>
      </c>
      <c r="B5096" s="3" t="s">
        <v>5185</v>
      </c>
      <c r="C5096" s="3" t="s">
        <v>54</v>
      </c>
      <c r="D5096" s="3"/>
      <c r="E5096" s="2" t="str">
        <f>HYPERLINK("https://old.ukr-mobil.com/index.php?route=product&amp;product_id=10005271", "Перейти")</f>
        <v>Перейти</v>
      </c>
      <c r="F5096" s="2">
        <v>10005271</v>
      </c>
      <c r="G5096" s="4" t="s">
        <v>5261</v>
      </c>
      <c r="H5096" s="1">
        <v>5</v>
      </c>
      <c r="I5096" s="1">
        <v>3</v>
      </c>
      <c r="J5096" s="1">
        <v>2</v>
      </c>
      <c r="K5096" s="2">
        <v>17.75</v>
      </c>
    </row>
    <row r="5097" spans="1:12">
      <c r="A5097" s="3" t="s">
        <v>2194</v>
      </c>
      <c r="B5097" s="3" t="s">
        <v>5185</v>
      </c>
      <c r="C5097" s="3" t="s">
        <v>54</v>
      </c>
      <c r="D5097" s="3"/>
      <c r="E5097" s="2" t="str">
        <f>HYPERLINK("https://old.ukr-mobil.com/index.php?route=product&amp;product_id=10005240", "Перейти")</f>
        <v>Перейти</v>
      </c>
      <c r="F5097" s="2">
        <v>10005240</v>
      </c>
      <c r="G5097" s="4" t="s">
        <v>5262</v>
      </c>
      <c r="H5097" s="1">
        <v>4</v>
      </c>
      <c r="I5097" s="1">
        <v>2</v>
      </c>
      <c r="J5097" s="1">
        <v>2</v>
      </c>
      <c r="K5097" s="2">
        <v>25.95</v>
      </c>
    </row>
    <row r="5098" spans="1:12">
      <c r="A5098" s="3" t="s">
        <v>2194</v>
      </c>
      <c r="B5098" s="3" t="s">
        <v>5185</v>
      </c>
      <c r="C5098" s="3" t="s">
        <v>54</v>
      </c>
      <c r="D5098" s="3"/>
      <c r="E5098" s="2" t="str">
        <f>HYPERLINK("https://old.ukr-mobil.com/index.php?route=product&amp;product_id=10005281", "Перейти")</f>
        <v>Перейти</v>
      </c>
      <c r="F5098" s="2">
        <v>10005281</v>
      </c>
      <c r="G5098" s="4" t="s">
        <v>5263</v>
      </c>
      <c r="H5098" s="1">
        <v>10</v>
      </c>
      <c r="I5098" s="1">
        <v>2</v>
      </c>
      <c r="J5098" s="1">
        <v>2</v>
      </c>
      <c r="K5098" s="2">
        <v>10.85</v>
      </c>
    </row>
    <row r="5099" spans="1:12">
      <c r="A5099" s="3" t="s">
        <v>2194</v>
      </c>
      <c r="B5099" s="3" t="s">
        <v>5185</v>
      </c>
      <c r="C5099" s="3" t="s">
        <v>54</v>
      </c>
      <c r="D5099" s="3"/>
      <c r="E5099" s="2" t="str">
        <f>HYPERLINK("https://old.ukr-mobil.com/index.php?route=product&amp;product_id=10005278", "Перейти")</f>
        <v>Перейти</v>
      </c>
      <c r="F5099" s="2">
        <v>10005278</v>
      </c>
      <c r="G5099" s="4" t="s">
        <v>5264</v>
      </c>
      <c r="H5099" s="1">
        <v>9</v>
      </c>
      <c r="I5099" s="1">
        <v>3</v>
      </c>
      <c r="J5099" s="1">
        <v>3</v>
      </c>
      <c r="K5099" s="2">
        <v>8.0</v>
      </c>
    </row>
    <row r="5100" spans="1:12">
      <c r="A5100" s="3" t="s">
        <v>2194</v>
      </c>
      <c r="B5100" s="3" t="s">
        <v>5185</v>
      </c>
      <c r="C5100" s="3" t="s">
        <v>54</v>
      </c>
      <c r="D5100" s="3"/>
      <c r="E5100" s="2" t="str">
        <f>HYPERLINK("https://old.ukr-mobil.com/index.php?route=product&amp;product_id=10005280", "Перейти")</f>
        <v>Перейти</v>
      </c>
      <c r="F5100" s="2">
        <v>10005280</v>
      </c>
      <c r="G5100" s="4" t="s">
        <v>5265</v>
      </c>
      <c r="H5100" s="1">
        <v>8</v>
      </c>
      <c r="I5100" s="1">
        <v>3</v>
      </c>
      <c r="J5100" s="1">
        <v>2</v>
      </c>
      <c r="K5100" s="2">
        <v>7.2</v>
      </c>
    </row>
    <row r="5101" spans="1:12">
      <c r="A5101" s="3" t="s">
        <v>2194</v>
      </c>
      <c r="B5101" s="3" t="s">
        <v>5185</v>
      </c>
      <c r="C5101" s="3" t="s">
        <v>54</v>
      </c>
      <c r="D5101" s="3"/>
      <c r="E5101" s="2" t="str">
        <f>HYPERLINK("https://old.ukr-mobil.com/index.php?route=product&amp;product_id=10005246", "Перейти")</f>
        <v>Перейти</v>
      </c>
      <c r="F5101" s="2">
        <v>10005246</v>
      </c>
      <c r="G5101" s="4" t="s">
        <v>5266</v>
      </c>
      <c r="H5101" s="1">
        <v>0</v>
      </c>
      <c r="I5101" s="1">
        <v>3</v>
      </c>
      <c r="J5101" s="1">
        <v>0</v>
      </c>
      <c r="K5101" s="2">
        <v>16.1</v>
      </c>
    </row>
    <row r="5102" spans="1:12">
      <c r="A5102" s="3" t="s">
        <v>2194</v>
      </c>
      <c r="B5102" s="3" t="s">
        <v>5185</v>
      </c>
      <c r="C5102" s="3" t="s">
        <v>54</v>
      </c>
      <c r="D5102" s="3"/>
      <c r="E5102" s="2" t="str">
        <f>HYPERLINK("https://old.ukr-mobil.com/index.php?route=product&amp;product_id=10005249", "Перейти")</f>
        <v>Перейти</v>
      </c>
      <c r="F5102" s="2">
        <v>10005249</v>
      </c>
      <c r="G5102" s="4" t="s">
        <v>5267</v>
      </c>
      <c r="H5102" s="1">
        <v>5</v>
      </c>
      <c r="I5102" s="1">
        <v>3</v>
      </c>
      <c r="J5102" s="1">
        <v>0</v>
      </c>
      <c r="K5102" s="2">
        <v>16.1</v>
      </c>
    </row>
    <row r="5103" spans="1:12">
      <c r="A5103" s="3" t="s">
        <v>2194</v>
      </c>
      <c r="B5103" s="3" t="s">
        <v>5185</v>
      </c>
      <c r="C5103" s="3" t="s">
        <v>54</v>
      </c>
      <c r="D5103" s="3"/>
      <c r="E5103" s="2" t="str">
        <f>HYPERLINK("https://old.ukr-mobil.com/index.php?route=product&amp;product_id=10005248", "Перейти")</f>
        <v>Перейти</v>
      </c>
      <c r="F5103" s="2">
        <v>10005248</v>
      </c>
      <c r="G5103" s="4" t="s">
        <v>5268</v>
      </c>
      <c r="H5103" s="1">
        <v>5</v>
      </c>
      <c r="I5103" s="1">
        <v>2</v>
      </c>
      <c r="J5103" s="1">
        <v>2</v>
      </c>
      <c r="K5103" s="2">
        <v>16.1</v>
      </c>
    </row>
    <row r="5104" spans="1:12">
      <c r="A5104" s="3" t="s">
        <v>2194</v>
      </c>
      <c r="B5104" s="3" t="s">
        <v>5185</v>
      </c>
      <c r="C5104" s="3" t="s">
        <v>54</v>
      </c>
      <c r="D5104" s="3"/>
      <c r="E5104" s="2" t="str">
        <f>HYPERLINK("https://old.ukr-mobil.com/index.php?route=product&amp;product_id=10005247", "Перейти")</f>
        <v>Перейти</v>
      </c>
      <c r="F5104" s="2">
        <v>10005247</v>
      </c>
      <c r="G5104" s="4" t="s">
        <v>5269</v>
      </c>
      <c r="H5104" s="1">
        <v>5</v>
      </c>
      <c r="I5104" s="1">
        <v>3</v>
      </c>
      <c r="J5104" s="1">
        <v>2</v>
      </c>
      <c r="K5104" s="2">
        <v>16.1</v>
      </c>
    </row>
    <row r="5105" spans="1:12">
      <c r="A5105" s="3" t="s">
        <v>2194</v>
      </c>
      <c r="B5105" s="3" t="s">
        <v>5185</v>
      </c>
      <c r="C5105" s="3" t="s">
        <v>54</v>
      </c>
      <c r="D5105" s="3"/>
      <c r="E5105" s="2" t="str">
        <f>HYPERLINK("https://old.ukr-mobil.com/index.php?route=product&amp;product_id=10005251", "Перейти")</f>
        <v>Перейти</v>
      </c>
      <c r="F5105" s="2">
        <v>10005251</v>
      </c>
      <c r="G5105" s="4" t="s">
        <v>5270</v>
      </c>
      <c r="H5105" s="1">
        <v>5</v>
      </c>
      <c r="I5105" s="1">
        <v>3</v>
      </c>
      <c r="J5105" s="1">
        <v>1</v>
      </c>
      <c r="K5105" s="2">
        <v>16.1</v>
      </c>
    </row>
    <row r="5106" spans="1:12">
      <c r="A5106" s="3" t="s">
        <v>2194</v>
      </c>
      <c r="B5106" s="3" t="s">
        <v>5185</v>
      </c>
      <c r="C5106" s="3" t="s">
        <v>54</v>
      </c>
      <c r="D5106" s="3"/>
      <c r="E5106" s="2" t="str">
        <f>HYPERLINK("https://old.ukr-mobil.com/shlejf_iphone_4s_z_knopkoyu_menyu_plastikova_knopka_black_3360", "Перейти")</f>
        <v>Перейти</v>
      </c>
      <c r="F5106" s="2">
        <v>3360</v>
      </c>
      <c r="G5106" s="4" t="s">
        <v>5271</v>
      </c>
      <c r="H5106" s="1">
        <v>0</v>
      </c>
      <c r="I5106" s="1">
        <v>2</v>
      </c>
      <c r="J5106" s="1">
        <v>0</v>
      </c>
      <c r="K5106" s="2">
        <v>1.11</v>
      </c>
    </row>
    <row r="5107" spans="1:12">
      <c r="A5107" s="3" t="s">
        <v>2194</v>
      </c>
      <c r="B5107" s="3" t="s">
        <v>5185</v>
      </c>
      <c r="C5107" s="3" t="s">
        <v>54</v>
      </c>
      <c r="D5107" s="3"/>
      <c r="E5107" s="2" t="str">
        <f>HYPERLINK("https://old.ukr-mobil.com/shlejf_iphone_4s_z_knopkoyu_menyu_plastikova_knopka_white_3361", "Перейти")</f>
        <v>Перейти</v>
      </c>
      <c r="F5107" s="2">
        <v>3361</v>
      </c>
      <c r="G5107" s="4" t="s">
        <v>5272</v>
      </c>
      <c r="H5107" s="1">
        <v>1</v>
      </c>
      <c r="I5107" s="1">
        <v>21</v>
      </c>
      <c r="J5107" s="1">
        <v>0</v>
      </c>
      <c r="K5107" s="2">
        <v>1.11</v>
      </c>
    </row>
    <row r="5108" spans="1:12">
      <c r="A5108" s="3" t="s">
        <v>2194</v>
      </c>
      <c r="B5108" s="3" t="s">
        <v>5185</v>
      </c>
      <c r="C5108" s="3" t="s">
        <v>54</v>
      </c>
      <c r="D5108" s="3"/>
      <c r="E5108" s="2" t="str">
        <f>HYPERLINK("https://old.ukr-mobil.com/shlejf_iphone_5s_s_razemom_zaryadki_garnitury_original_prc_black_5010", "Перейти")</f>
        <v>Перейти</v>
      </c>
      <c r="F5108" s="2">
        <v>5010</v>
      </c>
      <c r="G5108" s="4" t="s">
        <v>5273</v>
      </c>
      <c r="H5108" s="1">
        <v>9</v>
      </c>
      <c r="I5108" s="1">
        <v>0</v>
      </c>
      <c r="J5108" s="1">
        <v>0</v>
      </c>
      <c r="K5108" s="2">
        <v>2.0</v>
      </c>
    </row>
    <row r="5109" spans="1:12">
      <c r="A5109" s="3" t="s">
        <v>2194</v>
      </c>
      <c r="B5109" s="3" t="s">
        <v>5185</v>
      </c>
      <c r="C5109" s="3" t="s">
        <v>54</v>
      </c>
      <c r="D5109" s="3"/>
      <c r="E5109" s="2" t="str">
        <f>HYPERLINK("https://old.ukr-mobil.com/shlejf_iphone_6_plus_konnektor_zaryadki_razem_garnitury_s_mikrofonom_original_prc_black_5437", "Перейти")</f>
        <v>Перейти</v>
      </c>
      <c r="F5109" s="2">
        <v>5437</v>
      </c>
      <c r="G5109" s="4" t="s">
        <v>5274</v>
      </c>
      <c r="H5109" s="1">
        <v>22</v>
      </c>
      <c r="I5109" s="1">
        <v>8</v>
      </c>
      <c r="J5109" s="1">
        <v>8</v>
      </c>
      <c r="K5109" s="2">
        <v>2.5</v>
      </c>
    </row>
    <row r="5110" spans="1:12">
      <c r="A5110" s="3" t="s">
        <v>2194</v>
      </c>
      <c r="B5110" s="3" t="s">
        <v>5185</v>
      </c>
      <c r="C5110" s="3" t="s">
        <v>54</v>
      </c>
      <c r="D5110" s="3"/>
      <c r="E5110" s="2" t="str">
        <f>HYPERLINK("https://old.ukr-mobil.com/shlejf_iphone_6_knopka_home_white_6156", "Перейти")</f>
        <v>Перейти</v>
      </c>
      <c r="F5110" s="2">
        <v>6156</v>
      </c>
      <c r="G5110" s="4" t="s">
        <v>5275</v>
      </c>
      <c r="H5110" s="1">
        <v>0</v>
      </c>
      <c r="I5110" s="1">
        <v>0</v>
      </c>
      <c r="J5110" s="1">
        <v>0</v>
      </c>
      <c r="K5110" s="2">
        <v>1.25</v>
      </c>
    </row>
    <row r="5111" spans="1:12">
      <c r="A5111" s="3" t="s">
        <v>2194</v>
      </c>
      <c r="B5111" s="3" t="s">
        <v>5185</v>
      </c>
      <c r="C5111" s="3" t="s">
        <v>54</v>
      </c>
      <c r="D5111" s="3"/>
      <c r="E5111" s="2" t="str">
        <f>HYPERLINK("https://old.ukr-mobil.com/shlejf_iphone_6_konnektor_zaryadki_razem_garnitury_s_mikrofonom_original_prc_black_5435", "Перейти")</f>
        <v>Перейти</v>
      </c>
      <c r="F5111" s="2">
        <v>5435</v>
      </c>
      <c r="G5111" s="4" t="s">
        <v>5276</v>
      </c>
      <c r="H5111" s="1">
        <v>0</v>
      </c>
      <c r="I5111" s="1">
        <v>0</v>
      </c>
      <c r="J5111" s="1">
        <v>0</v>
      </c>
      <c r="K5111" s="2">
        <v>2.25</v>
      </c>
    </row>
    <row r="5112" spans="1:12">
      <c r="A5112" s="3" t="s">
        <v>2194</v>
      </c>
      <c r="B5112" s="3" t="s">
        <v>5185</v>
      </c>
      <c r="C5112" s="3" t="s">
        <v>54</v>
      </c>
      <c r="D5112" s="3"/>
      <c r="E5112" s="2" t="str">
        <f>HYPERLINK("https://old.ukr-mobil.com/shlejf_iphone_6_konnektor_zaryadki_razem_garnitury_s_mikrofonom_original_prc_white_5436", "Перейти")</f>
        <v>Перейти</v>
      </c>
      <c r="F5112" s="2">
        <v>5436</v>
      </c>
      <c r="G5112" s="4" t="s">
        <v>5277</v>
      </c>
      <c r="H5112" s="1">
        <v>9</v>
      </c>
      <c r="I5112" s="1">
        <v>7</v>
      </c>
      <c r="J5112" s="1">
        <v>10</v>
      </c>
      <c r="K5112" s="2">
        <v>2.25</v>
      </c>
    </row>
    <row r="5113" spans="1:12">
      <c r="A5113" s="3" t="s">
        <v>2194</v>
      </c>
      <c r="B5113" s="3" t="s">
        <v>5185</v>
      </c>
      <c r="C5113" s="3" t="s">
        <v>54</v>
      </c>
      <c r="D5113" s="3"/>
      <c r="E5113" s="2" t="str">
        <f>HYPERLINK("https://old.ukr-mobil.com/shlejf_iphone_6_s_knopkoj_vklyucheniya_vspyshkoj_mikrofonom_original_prc_5526", "Перейти")</f>
        <v>Перейти</v>
      </c>
      <c r="F5113" s="2">
        <v>5526</v>
      </c>
      <c r="G5113" s="4" t="s">
        <v>5278</v>
      </c>
      <c r="H5113" s="1">
        <v>2</v>
      </c>
      <c r="I5113" s="1">
        <v>24</v>
      </c>
      <c r="J5113" s="1">
        <v>0</v>
      </c>
      <c r="K5113" s="2">
        <v>2.02</v>
      </c>
    </row>
    <row r="5114" spans="1:12">
      <c r="A5114" s="3" t="s">
        <v>2194</v>
      </c>
      <c r="B5114" s="3" t="s">
        <v>5185</v>
      </c>
      <c r="C5114" s="3" t="s">
        <v>54</v>
      </c>
      <c r="D5114" s="3"/>
      <c r="E5114" s="2" t="str">
        <f>HYPERLINK("https://old.ukr-mobil.com/shlejf_iphone_6s_plus_s_razemom_zaryadki_garnitury_original_prc_black_9005", "Перейти")</f>
        <v>Перейти</v>
      </c>
      <c r="F5114" s="2">
        <v>9005</v>
      </c>
      <c r="G5114" s="4" t="s">
        <v>5279</v>
      </c>
      <c r="H5114" s="1">
        <v>0</v>
      </c>
      <c r="I5114" s="1">
        <v>0</v>
      </c>
      <c r="J5114" s="1">
        <v>4</v>
      </c>
      <c r="K5114" s="2">
        <v>4.0</v>
      </c>
    </row>
    <row r="5115" spans="1:12">
      <c r="A5115" s="3" t="s">
        <v>2194</v>
      </c>
      <c r="B5115" s="3" t="s">
        <v>5185</v>
      </c>
      <c r="C5115" s="3" t="s">
        <v>54</v>
      </c>
      <c r="D5115" s="3"/>
      <c r="E5115" s="2" t="str">
        <f>HYPERLINK("https://old.ukr-mobil.com/shlejf_iphone_6s_plus_s_razemom_zaryadki_garnitury_original_prc_white_9006", "Перейти")</f>
        <v>Перейти</v>
      </c>
      <c r="F5115" s="2">
        <v>9006</v>
      </c>
      <c r="G5115" s="4" t="s">
        <v>5280</v>
      </c>
      <c r="H5115" s="1">
        <v>0</v>
      </c>
      <c r="I5115" s="1">
        <v>3</v>
      </c>
      <c r="J5115" s="1">
        <v>4</v>
      </c>
      <c r="K5115" s="2">
        <v>4.0</v>
      </c>
    </row>
    <row r="5116" spans="1:12">
      <c r="A5116" s="3" t="s">
        <v>2194</v>
      </c>
      <c r="B5116" s="3" t="s">
        <v>5185</v>
      </c>
      <c r="C5116" s="3" t="s">
        <v>54</v>
      </c>
      <c r="D5116" s="3"/>
      <c r="E5116" s="2" t="str">
        <f>HYPERLINK("https://old.ukr-mobil.com/shlejf_iphone_6s_plus_s_frontalnoj_kameroj_datchikom_priblizheniya_mikrofonom_original_prc_8909", "Перейти")</f>
        <v>Перейти</v>
      </c>
      <c r="F5116" s="2">
        <v>8909</v>
      </c>
      <c r="G5116" s="4" t="s">
        <v>5281</v>
      </c>
      <c r="H5116" s="1">
        <v>0</v>
      </c>
      <c r="I5116" s="1">
        <v>0</v>
      </c>
      <c r="J5116" s="1">
        <v>0</v>
      </c>
      <c r="K5116" s="2">
        <v>3.5</v>
      </c>
    </row>
    <row r="5117" spans="1:12">
      <c r="A5117" s="3" t="s">
        <v>2194</v>
      </c>
      <c r="B5117" s="3" t="s">
        <v>5185</v>
      </c>
      <c r="C5117" s="3" t="s">
        <v>54</v>
      </c>
      <c r="D5117" s="3"/>
      <c r="E5117" s="2" t="str">
        <f>HYPERLINK("https://old.ukr-mobil.com/shlejf_iphone_6s_knopka_home_black_8415", "Перейти")</f>
        <v>Перейти</v>
      </c>
      <c r="F5117" s="2">
        <v>8415</v>
      </c>
      <c r="G5117" s="4" t="s">
        <v>5282</v>
      </c>
      <c r="H5117" s="1">
        <v>9</v>
      </c>
      <c r="I5117" s="1">
        <v>6</v>
      </c>
      <c r="J5117" s="1">
        <v>0</v>
      </c>
      <c r="K5117" s="2">
        <v>1.0</v>
      </c>
    </row>
    <row r="5118" spans="1:12">
      <c r="A5118" s="3" t="s">
        <v>2194</v>
      </c>
      <c r="B5118" s="3" t="s">
        <v>5185</v>
      </c>
      <c r="C5118" s="3" t="s">
        <v>54</v>
      </c>
      <c r="D5118" s="3"/>
      <c r="E5118" s="2" t="str">
        <f>HYPERLINK("https://old.ukr-mobil.com/shlejf_iphone_6s_s_knopkoj_vklyucheniya_i_regulirovki_gromkosti_original_prc_7596", "Перейти")</f>
        <v>Перейти</v>
      </c>
      <c r="F5118" s="2">
        <v>7596</v>
      </c>
      <c r="G5118" s="4" t="s">
        <v>5283</v>
      </c>
      <c r="H5118" s="1">
        <v>14</v>
      </c>
      <c r="I5118" s="1">
        <v>8</v>
      </c>
      <c r="J5118" s="1">
        <v>5</v>
      </c>
      <c r="K5118" s="2">
        <v>3.02</v>
      </c>
    </row>
    <row r="5119" spans="1:12">
      <c r="A5119" s="3" t="s">
        <v>2194</v>
      </c>
      <c r="B5119" s="3" t="s">
        <v>5185</v>
      </c>
      <c r="C5119" s="3" t="s">
        <v>54</v>
      </c>
      <c r="D5119" s="3"/>
      <c r="E5119" s="2" t="str">
        <f>HYPERLINK("https://old.ukr-mobil.com/shlejf_iphone_6s_s_razemom_zaryadki_garnitury_original_prc_black_5937", "Перейти")</f>
        <v>Перейти</v>
      </c>
      <c r="F5119" s="2">
        <v>5937</v>
      </c>
      <c r="G5119" s="4" t="s">
        <v>5284</v>
      </c>
      <c r="H5119" s="1">
        <v>0</v>
      </c>
      <c r="I5119" s="1">
        <v>0</v>
      </c>
      <c r="J5119" s="1">
        <v>0</v>
      </c>
      <c r="K5119" s="2">
        <v>2.5</v>
      </c>
    </row>
    <row r="5120" spans="1:12">
      <c r="A5120" s="3" t="s">
        <v>2194</v>
      </c>
      <c r="B5120" s="3" t="s">
        <v>5185</v>
      </c>
      <c r="C5120" s="3" t="s">
        <v>54</v>
      </c>
      <c r="D5120" s="3"/>
      <c r="E5120" s="2" t="str">
        <f>HYPERLINK("https://old.ukr-mobil.com/shlejf_iphone_6s_s_razemom_zaryadki_garnitury_original_prc_white_7834", "Перейти")</f>
        <v>Перейти</v>
      </c>
      <c r="F5120" s="2">
        <v>7834</v>
      </c>
      <c r="G5120" s="4" t="s">
        <v>5285</v>
      </c>
      <c r="H5120" s="1">
        <v>0</v>
      </c>
      <c r="I5120" s="1">
        <v>0</v>
      </c>
      <c r="J5120" s="1">
        <v>0</v>
      </c>
      <c r="K5120" s="2">
        <v>2.65</v>
      </c>
    </row>
    <row r="5121" spans="1:12">
      <c r="A5121" s="3" t="s">
        <v>2194</v>
      </c>
      <c r="B5121" s="3" t="s">
        <v>5185</v>
      </c>
      <c r="C5121" s="3" t="s">
        <v>54</v>
      </c>
      <c r="D5121" s="3"/>
      <c r="E5121" s="2" t="str">
        <f>HYPERLINK("https://old.ukr-mobil.com/shlejf_iphone_6s_s_mikrofonom_s_kameroj_s_datchikom_priblizheniya_original_prc_7517", "Перейти")</f>
        <v>Перейти</v>
      </c>
      <c r="F5121" s="2">
        <v>7517</v>
      </c>
      <c r="G5121" s="4" t="s">
        <v>5286</v>
      </c>
      <c r="H5121" s="1">
        <v>1</v>
      </c>
      <c r="I5121" s="1">
        <v>0</v>
      </c>
      <c r="J5121" s="1">
        <v>0</v>
      </c>
      <c r="K5121" s="2">
        <v>3.7</v>
      </c>
    </row>
    <row r="5122" spans="1:12">
      <c r="A5122" s="3" t="s">
        <v>2194</v>
      </c>
      <c r="B5122" s="3" t="s">
        <v>5185</v>
      </c>
      <c r="C5122" s="3" t="s">
        <v>54</v>
      </c>
      <c r="D5122" s="3"/>
      <c r="E5122" s="2" t="str">
        <f>HYPERLINK("https://old.ukr-mobil.com/shlejf_iphone_7_plus_s_razemom_na_zaryadku_mikrofonom_white_original_11180", "Перейти")</f>
        <v>Перейти</v>
      </c>
      <c r="F5122" s="2">
        <v>11180</v>
      </c>
      <c r="G5122" s="4" t="s">
        <v>5287</v>
      </c>
      <c r="H5122" s="1">
        <v>3</v>
      </c>
      <c r="I5122" s="1">
        <v>0</v>
      </c>
      <c r="J5122" s="1">
        <v>0</v>
      </c>
      <c r="K5122" s="2">
        <v>3.85</v>
      </c>
    </row>
    <row r="5123" spans="1:12">
      <c r="A5123" s="3" t="s">
        <v>2194</v>
      </c>
      <c r="B5123" s="3" t="s">
        <v>5185</v>
      </c>
      <c r="C5123" s="3" t="s">
        <v>54</v>
      </c>
      <c r="D5123" s="3"/>
      <c r="E5123" s="2" t="str">
        <f>HYPERLINK("https://old.ukr-mobil.com/shlejf_iphone_7_plus_s_razemom_na_zaryadku_mikrofonom_original_prc_black_8887", "Перейти")</f>
        <v>Перейти</v>
      </c>
      <c r="F5123" s="2">
        <v>8887</v>
      </c>
      <c r="G5123" s="4" t="s">
        <v>5288</v>
      </c>
      <c r="H5123" s="1">
        <v>0</v>
      </c>
      <c r="I5123" s="1">
        <v>0</v>
      </c>
      <c r="J5123" s="1">
        <v>0</v>
      </c>
      <c r="K5123" s="2">
        <v>3.85</v>
      </c>
    </row>
    <row r="5124" spans="1:12">
      <c r="A5124" s="3" t="s">
        <v>2194</v>
      </c>
      <c r="B5124" s="3" t="s">
        <v>5185</v>
      </c>
      <c r="C5124" s="3" t="s">
        <v>54</v>
      </c>
      <c r="D5124" s="3"/>
      <c r="E5124" s="2" t="str">
        <f>HYPERLINK("https://old.ukr-mobil.com/shlejf_iphone_7_plus_s_razemom_na_zaryadku_mikrofonom_white_8888", "Перейти")</f>
        <v>Перейти</v>
      </c>
      <c r="F5124" s="2">
        <v>8888</v>
      </c>
      <c r="G5124" s="4" t="s">
        <v>5289</v>
      </c>
      <c r="H5124" s="1">
        <v>0</v>
      </c>
      <c r="I5124" s="1">
        <v>0</v>
      </c>
      <c r="J5124" s="1">
        <v>0</v>
      </c>
      <c r="K5124" s="2">
        <v>4.75</v>
      </c>
    </row>
    <row r="5125" spans="1:12">
      <c r="A5125" s="3" t="s">
        <v>2194</v>
      </c>
      <c r="B5125" s="3" t="s">
        <v>5185</v>
      </c>
      <c r="C5125" s="3" t="s">
        <v>54</v>
      </c>
      <c r="D5125" s="3"/>
      <c r="E5125" s="2" t="str">
        <f>HYPERLINK("https://old.ukr-mobil.com/shlejf_iphone_7_plus_s_frontalnoj_kameroj_datchikom_priblizheniya_mikrofonom_original_8889", "Перейти")</f>
        <v>Перейти</v>
      </c>
      <c r="F5125" s="2">
        <v>8889</v>
      </c>
      <c r="G5125" s="4" t="s">
        <v>5290</v>
      </c>
      <c r="H5125" s="1">
        <v>11</v>
      </c>
      <c r="I5125" s="1">
        <v>0</v>
      </c>
      <c r="J5125" s="1">
        <v>7</v>
      </c>
      <c r="K5125" s="2">
        <v>6.5</v>
      </c>
    </row>
    <row r="5126" spans="1:12">
      <c r="A5126" s="3" t="s">
        <v>2194</v>
      </c>
      <c r="B5126" s="3" t="s">
        <v>5185</v>
      </c>
      <c r="C5126" s="3" t="s">
        <v>54</v>
      </c>
      <c r="D5126" s="3"/>
      <c r="E5126" s="2" t="str">
        <f>HYPERLINK("https://old.ukr-mobil.com/shlejf_iphone_7_iphone_8_wi-fi_antenny_s_komponentami_original_prc_10000656", "Перейти")</f>
        <v>Перейти</v>
      </c>
      <c r="F5126" s="2">
        <v>10000656</v>
      </c>
      <c r="G5126" s="4" t="s">
        <v>5291</v>
      </c>
      <c r="H5126" s="1">
        <v>6</v>
      </c>
      <c r="I5126" s="1">
        <v>2</v>
      </c>
      <c r="J5126" s="1">
        <v>2</v>
      </c>
      <c r="K5126" s="2">
        <v>2.25</v>
      </c>
    </row>
    <row r="5127" spans="1:12">
      <c r="A5127" s="3" t="s">
        <v>2194</v>
      </c>
      <c r="B5127" s="3" t="s">
        <v>5185</v>
      </c>
      <c r="C5127" s="3" t="s">
        <v>54</v>
      </c>
      <c r="D5127" s="3"/>
      <c r="E5127" s="2" t="str">
        <f>HYPERLINK("https://old.ukr-mobil.com/shlejf_iphone_7_s_knopkoj_vklyucheniya_i_regulirovki_gromkosti_original_prc_7634", "Перейти")</f>
        <v>Перейти</v>
      </c>
      <c r="F5127" s="2">
        <v>7634</v>
      </c>
      <c r="G5127" s="4" t="s">
        <v>5292</v>
      </c>
      <c r="H5127" s="1">
        <v>18</v>
      </c>
      <c r="I5127" s="1">
        <v>6</v>
      </c>
      <c r="J5127" s="1">
        <v>3</v>
      </c>
      <c r="K5127" s="2">
        <v>2.15</v>
      </c>
    </row>
    <row r="5128" spans="1:12">
      <c r="A5128" s="3" t="s">
        <v>2194</v>
      </c>
      <c r="B5128" s="3" t="s">
        <v>5185</v>
      </c>
      <c r="C5128" s="3" t="s">
        <v>54</v>
      </c>
      <c r="D5128" s="3"/>
      <c r="E5128" s="2" t="str">
        <f>HYPERLINK("https://old.ukr-mobil.com/shlejf_iphone_7_s_razemom_zaryadki_garnitury_original_prc_black_7835", "Перейти")</f>
        <v>Перейти</v>
      </c>
      <c r="F5128" s="2">
        <v>7835</v>
      </c>
      <c r="G5128" s="4" t="s">
        <v>5293</v>
      </c>
      <c r="H5128" s="1">
        <v>0</v>
      </c>
      <c r="I5128" s="1">
        <v>0</v>
      </c>
      <c r="J5128" s="1">
        <v>0</v>
      </c>
      <c r="K5128" s="2">
        <v>3.2</v>
      </c>
    </row>
    <row r="5129" spans="1:12">
      <c r="A5129" s="3" t="s">
        <v>2194</v>
      </c>
      <c r="B5129" s="3" t="s">
        <v>5185</v>
      </c>
      <c r="C5129" s="3" t="s">
        <v>54</v>
      </c>
      <c r="D5129" s="3"/>
      <c r="E5129" s="2" t="str">
        <f>HYPERLINK("https://old.ukr-mobil.com/shlejf_iphone_7_s_razemom_zaryadki_garnitury_original_prc_white_7836", "Перейти")</f>
        <v>Перейти</v>
      </c>
      <c r="F5129" s="2">
        <v>7836</v>
      </c>
      <c r="G5129" s="4" t="s">
        <v>5294</v>
      </c>
      <c r="H5129" s="1">
        <v>0</v>
      </c>
      <c r="I5129" s="1">
        <v>0</v>
      </c>
      <c r="J5129" s="1">
        <v>0</v>
      </c>
      <c r="K5129" s="2">
        <v>3.2</v>
      </c>
    </row>
    <row r="5130" spans="1:12">
      <c r="A5130" s="3" t="s">
        <v>2194</v>
      </c>
      <c r="B5130" s="3" t="s">
        <v>5185</v>
      </c>
      <c r="C5130" s="3" t="s">
        <v>54</v>
      </c>
      <c r="D5130" s="3"/>
      <c r="E5130" s="2" t="str">
        <f>HYPERLINK("https://old.ukr-mobil.com/shlejf_iphone_7_s_frontalnoj_kameroj_datchikom_priblizheniya_original_prc_9522", "Перейти")</f>
        <v>Перейти</v>
      </c>
      <c r="F5130" s="2">
        <v>9522</v>
      </c>
      <c r="G5130" s="4" t="s">
        <v>5295</v>
      </c>
      <c r="H5130" s="1">
        <v>0</v>
      </c>
      <c r="I5130" s="1">
        <v>1</v>
      </c>
      <c r="J5130" s="1">
        <v>5</v>
      </c>
      <c r="K5130" s="2">
        <v>5.75</v>
      </c>
    </row>
    <row r="5131" spans="1:12">
      <c r="A5131" s="3" t="s">
        <v>2194</v>
      </c>
      <c r="B5131" s="3" t="s">
        <v>5185</v>
      </c>
      <c r="C5131" s="3" t="s">
        <v>54</v>
      </c>
      <c r="D5131" s="3"/>
      <c r="E5131" s="2" t="str">
        <f>HYPERLINK("https://old.ukr-mobil.com/shlejf_iphone_8_plus_wi-fi_antenny_s_komponentami_10061", "Перейти")</f>
        <v>Перейти</v>
      </c>
      <c r="F5131" s="2">
        <v>10061</v>
      </c>
      <c r="G5131" s="4" t="s">
        <v>5296</v>
      </c>
      <c r="H5131" s="1">
        <v>0</v>
      </c>
      <c r="I5131" s="1">
        <v>0</v>
      </c>
      <c r="J5131" s="1">
        <v>0</v>
      </c>
      <c r="K5131" s="2">
        <v>4.54</v>
      </c>
    </row>
    <row r="5132" spans="1:12">
      <c r="A5132" s="3" t="s">
        <v>2194</v>
      </c>
      <c r="B5132" s="3" t="s">
        <v>5185</v>
      </c>
      <c r="C5132" s="3" t="s">
        <v>54</v>
      </c>
      <c r="D5132" s="3"/>
      <c r="E5132" s="2" t="str">
        <f>HYPERLINK("https://old.ukr-mobil.com/shlejf_apple_iphone_8_plus_s_knopkoj_vklyucheniya_s_knopkami_regulirovki_gromkosti_s_vspyshkoj_s_mikrofonom_original_prc_10002142", "Перейти")</f>
        <v>Перейти</v>
      </c>
      <c r="F5132" s="2">
        <v>10002142</v>
      </c>
      <c r="G5132" s="4" t="s">
        <v>5297</v>
      </c>
      <c r="H5132" s="1">
        <v>8</v>
      </c>
      <c r="I5132" s="1">
        <v>4</v>
      </c>
      <c r="J5132" s="1">
        <v>5</v>
      </c>
      <c r="K5132" s="2">
        <v>3.85</v>
      </c>
    </row>
    <row r="5133" spans="1:12">
      <c r="A5133" s="3" t="s">
        <v>2194</v>
      </c>
      <c r="B5133" s="3" t="s">
        <v>5185</v>
      </c>
      <c r="C5133" s="3" t="s">
        <v>54</v>
      </c>
      <c r="D5133" s="3"/>
      <c r="E5133" s="2" t="str">
        <f>HYPERLINK("https://old.ukr-mobil.com/shlejf_iphone_8_plus_s_razemom_zaryadki_mikrofonom_original_prc_black_9796", "Перейти")</f>
        <v>Перейти</v>
      </c>
      <c r="F5133" s="2">
        <v>9796</v>
      </c>
      <c r="G5133" s="4" t="s">
        <v>5298</v>
      </c>
      <c r="H5133" s="1">
        <v>3</v>
      </c>
      <c r="I5133" s="1">
        <v>4</v>
      </c>
      <c r="J5133" s="1">
        <v>2</v>
      </c>
      <c r="K5133" s="2">
        <v>5.0</v>
      </c>
    </row>
    <row r="5134" spans="1:12">
      <c r="A5134" s="3" t="s">
        <v>2194</v>
      </c>
      <c r="B5134" s="3" t="s">
        <v>5185</v>
      </c>
      <c r="C5134" s="3" t="s">
        <v>54</v>
      </c>
      <c r="D5134" s="3"/>
      <c r="E5134" s="2" t="str">
        <f>HYPERLINK("https://old.ukr-mobil.com/shlejf_iphone_8_plus_s_razemom_zaryadki_mikrofonom_original_prc_gold_10063", "Перейти")</f>
        <v>Перейти</v>
      </c>
      <c r="F5134" s="2">
        <v>10063</v>
      </c>
      <c r="G5134" s="4" t="s">
        <v>5299</v>
      </c>
      <c r="H5134" s="1">
        <v>11</v>
      </c>
      <c r="I5134" s="1">
        <v>9</v>
      </c>
      <c r="J5134" s="1">
        <v>3</v>
      </c>
      <c r="K5134" s="2">
        <v>4.25</v>
      </c>
    </row>
    <row r="5135" spans="1:12">
      <c r="A5135" s="3" t="s">
        <v>2194</v>
      </c>
      <c r="B5135" s="3" t="s">
        <v>5185</v>
      </c>
      <c r="C5135" s="3" t="s">
        <v>54</v>
      </c>
      <c r="D5135" s="3"/>
      <c r="E5135" s="2" t="str">
        <f>HYPERLINK("https://old.ukr-mobil.com/shlejf_iphone_8_plus_s_razemom_zaryadki_mikrofonom_original_prc_white_9797", "Перейти")</f>
        <v>Перейти</v>
      </c>
      <c r="F5135" s="2">
        <v>9797</v>
      </c>
      <c r="G5135" s="4" t="s">
        <v>5300</v>
      </c>
      <c r="H5135" s="1">
        <v>0</v>
      </c>
      <c r="I5135" s="1">
        <v>0</v>
      </c>
      <c r="J5135" s="1">
        <v>2</v>
      </c>
      <c r="K5135" s="2">
        <v>4.0</v>
      </c>
    </row>
    <row r="5136" spans="1:12">
      <c r="A5136" s="3" t="s">
        <v>2194</v>
      </c>
      <c r="B5136" s="3" t="s">
        <v>5185</v>
      </c>
      <c r="C5136" s="3" t="s">
        <v>54</v>
      </c>
      <c r="D5136" s="3"/>
      <c r="E5136" s="2" t="str">
        <f>HYPERLINK("https://old.ukr-mobil.com/shlejf_apple_iphone_8_plus_s_frontalnoj_kameroj_datchikom_priblizheniya_mikrofonom_original_prc_10002140", "Перейти")</f>
        <v>Перейти</v>
      </c>
      <c r="F5136" s="2">
        <v>10002140</v>
      </c>
      <c r="G5136" s="4" t="s">
        <v>5301</v>
      </c>
      <c r="H5136" s="1">
        <v>5</v>
      </c>
      <c r="I5136" s="1">
        <v>2</v>
      </c>
      <c r="J5136" s="1">
        <v>4</v>
      </c>
      <c r="K5136" s="2">
        <v>6.35</v>
      </c>
    </row>
    <row r="5137" spans="1:12">
      <c r="A5137" s="3" t="s">
        <v>2194</v>
      </c>
      <c r="B5137" s="3" t="s">
        <v>5185</v>
      </c>
      <c r="C5137" s="3" t="s">
        <v>54</v>
      </c>
      <c r="D5137" s="3"/>
      <c r="E5137" s="2" t="str">
        <f>HYPERLINK("https://old.ukr-mobil.com/shlejf_apple_iphone_8_iphone_se_2020_s_knopkoj_vklyucheniya_s_knopkami_regulirovki_gromkosti_s_vspyshkoj_original_prc_10002143", "Перейти")</f>
        <v>Перейти</v>
      </c>
      <c r="F5137" s="2">
        <v>10002143</v>
      </c>
      <c r="G5137" s="4" t="s">
        <v>5302</v>
      </c>
      <c r="H5137" s="1">
        <v>4</v>
      </c>
      <c r="I5137" s="1">
        <v>7</v>
      </c>
      <c r="J5137" s="1">
        <v>5</v>
      </c>
      <c r="K5137" s="2">
        <v>2.8</v>
      </c>
    </row>
    <row r="5138" spans="1:12">
      <c r="A5138" s="3" t="s">
        <v>2194</v>
      </c>
      <c r="B5138" s="3" t="s">
        <v>5185</v>
      </c>
      <c r="C5138" s="3" t="s">
        <v>54</v>
      </c>
      <c r="D5138" s="3"/>
      <c r="E5138" s="2" t="str">
        <f>HYPERLINK("https://old.ukr-mobil.com/shlejf_apple_iphone_8_iphone_se_2020_s_frontalnoj_kameroj_datchikom_priblizheniya_original_prc_10002145", "Перейти")</f>
        <v>Перейти</v>
      </c>
      <c r="F5138" s="2">
        <v>10002145</v>
      </c>
      <c r="G5138" s="4" t="s">
        <v>5303</v>
      </c>
      <c r="H5138" s="1">
        <v>9</v>
      </c>
      <c r="I5138" s="1">
        <v>6</v>
      </c>
      <c r="J5138" s="1">
        <v>5</v>
      </c>
      <c r="K5138" s="2">
        <v>7.5</v>
      </c>
    </row>
    <row r="5139" spans="1:12">
      <c r="A5139" s="3" t="s">
        <v>2194</v>
      </c>
      <c r="B5139" s="3" t="s">
        <v>5185</v>
      </c>
      <c r="C5139" s="3" t="s">
        <v>54</v>
      </c>
      <c r="D5139" s="3"/>
      <c r="E5139" s="2" t="str">
        <f>HYPERLINK("https://old.ukr-mobil.com/shlejf_iphone_8_s_razemom_zaryadki_original_prc_black_9794", "Перейти")</f>
        <v>Перейти</v>
      </c>
      <c r="F5139" s="2">
        <v>9794</v>
      </c>
      <c r="G5139" s="4" t="s">
        <v>5304</v>
      </c>
      <c r="H5139" s="1">
        <v>0</v>
      </c>
      <c r="I5139" s="1">
        <v>0</v>
      </c>
      <c r="J5139" s="1">
        <v>0</v>
      </c>
      <c r="K5139" s="2">
        <v>3.35</v>
      </c>
    </row>
    <row r="5140" spans="1:12">
      <c r="A5140" s="3" t="s">
        <v>2194</v>
      </c>
      <c r="B5140" s="3" t="s">
        <v>5185</v>
      </c>
      <c r="C5140" s="3" t="s">
        <v>54</v>
      </c>
      <c r="D5140" s="3"/>
      <c r="E5140" s="2" t="str">
        <f>HYPERLINK("https://old.ukr-mobil.com/shlejf_iphone_8_s_razemom_zaryadki_original_prc_white_9795", "Перейти")</f>
        <v>Перейти</v>
      </c>
      <c r="F5140" s="2">
        <v>9795</v>
      </c>
      <c r="G5140" s="4" t="s">
        <v>5305</v>
      </c>
      <c r="H5140" s="1">
        <v>0</v>
      </c>
      <c r="I5140" s="1">
        <v>0</v>
      </c>
      <c r="J5140" s="1">
        <v>0</v>
      </c>
      <c r="K5140" s="2">
        <v>3.35</v>
      </c>
    </row>
    <row r="5141" spans="1:12">
      <c r="A5141" s="3" t="s">
        <v>2194</v>
      </c>
      <c r="B5141" s="3" t="s">
        <v>5185</v>
      </c>
      <c r="C5141" s="3" t="s">
        <v>54</v>
      </c>
      <c r="D5141" s="3"/>
      <c r="E5141" s="2" t="str">
        <f>HYPERLINK("https://old.ukr-mobil.com/shlejf_iphone_x_wi-fi_antenny_s_komponentami_original_prc_10065", "Перейти")</f>
        <v>Перейти</v>
      </c>
      <c r="F5141" s="2">
        <v>10065</v>
      </c>
      <c r="G5141" s="4" t="s">
        <v>5306</v>
      </c>
      <c r="H5141" s="1">
        <v>0</v>
      </c>
      <c r="I5141" s="1">
        <v>0</v>
      </c>
      <c r="J5141" s="1">
        <v>0</v>
      </c>
      <c r="K5141" s="2">
        <v>1.25</v>
      </c>
    </row>
    <row r="5142" spans="1:12">
      <c r="A5142" s="3" t="s">
        <v>2194</v>
      </c>
      <c r="B5142" s="3" t="s">
        <v>5185</v>
      </c>
      <c r="C5142" s="3" t="s">
        <v>54</v>
      </c>
      <c r="D5142" s="3"/>
      <c r="E5142" s="2" t="str">
        <f>HYPERLINK("https://old.ukr-mobil.com/shlejf_apple_iphone_x_dlya_besprovodnoj_zaryadki_s_knopkami_regulirovki_gromkosti_original_prc_10003809", "Перейти")</f>
        <v>Перейти</v>
      </c>
      <c r="F5142" s="2">
        <v>10003809</v>
      </c>
      <c r="G5142" s="4" t="s">
        <v>5307</v>
      </c>
      <c r="H5142" s="1">
        <v>2</v>
      </c>
      <c r="I5142" s="1">
        <v>1</v>
      </c>
      <c r="J5142" s="1">
        <v>0</v>
      </c>
      <c r="K5142" s="2">
        <v>7.0</v>
      </c>
    </row>
    <row r="5143" spans="1:12">
      <c r="A5143" s="3" t="s">
        <v>2194</v>
      </c>
      <c r="B5143" s="3" t="s">
        <v>5185</v>
      </c>
      <c r="C5143" s="3" t="s">
        <v>54</v>
      </c>
      <c r="D5143" s="3"/>
      <c r="E5143" s="2" t="str">
        <f>HYPERLINK("https://old.ukr-mobil.com/shlejf_iphone_x_s_dinamikom_s_datchikom_priblizheniya_s_mikrofonom_original_prc_11820", "Перейти")</f>
        <v>Перейти</v>
      </c>
      <c r="F5143" s="2">
        <v>11820</v>
      </c>
      <c r="G5143" s="4" t="s">
        <v>5308</v>
      </c>
      <c r="H5143" s="1">
        <v>0</v>
      </c>
      <c r="I5143" s="1">
        <v>0</v>
      </c>
      <c r="J5143" s="1">
        <v>0</v>
      </c>
      <c r="K5143" s="2">
        <v>4.5</v>
      </c>
    </row>
    <row r="5144" spans="1:12">
      <c r="A5144" s="3" t="s">
        <v>2194</v>
      </c>
      <c r="B5144" s="3" t="s">
        <v>5185</v>
      </c>
      <c r="C5144" s="3" t="s">
        <v>54</v>
      </c>
      <c r="D5144" s="3"/>
      <c r="E5144" s="2" t="str">
        <f>HYPERLINK("https://old.ukr-mobil.com/shlejf_iphone_x_regulirovki_gromkosti_original_prc_11694", "Перейти")</f>
        <v>Перейти</v>
      </c>
      <c r="F5144" s="2">
        <v>11694</v>
      </c>
      <c r="G5144" s="4" t="s">
        <v>5309</v>
      </c>
      <c r="H5144" s="1">
        <v>0</v>
      </c>
      <c r="I5144" s="1">
        <v>2</v>
      </c>
      <c r="J5144" s="1">
        <v>2</v>
      </c>
      <c r="K5144" s="2">
        <v>2.35</v>
      </c>
    </row>
    <row r="5145" spans="1:12">
      <c r="A5145" s="3" t="s">
        <v>2194</v>
      </c>
      <c r="B5145" s="3" t="s">
        <v>5185</v>
      </c>
      <c r="C5145" s="3" t="s">
        <v>54</v>
      </c>
      <c r="D5145" s="3"/>
      <c r="E5145" s="2" t="str">
        <f>HYPERLINK("https://old.ukr-mobil.com/shlejf_iphone_x_s_knopkoj_vklyucheniya_vspishkoj_original_prc_11693", "Перейти")</f>
        <v>Перейти</v>
      </c>
      <c r="F5145" s="2">
        <v>11693</v>
      </c>
      <c r="G5145" s="4" t="s">
        <v>5310</v>
      </c>
      <c r="H5145" s="1">
        <v>5</v>
      </c>
      <c r="I5145" s="1">
        <v>0</v>
      </c>
      <c r="J5145" s="1">
        <v>0</v>
      </c>
      <c r="K5145" s="2">
        <v>3.15</v>
      </c>
    </row>
    <row r="5146" spans="1:12">
      <c r="A5146" s="3" t="s">
        <v>2194</v>
      </c>
      <c r="B5146" s="3" t="s">
        <v>5185</v>
      </c>
      <c r="C5146" s="3" t="s">
        <v>54</v>
      </c>
      <c r="D5146" s="3"/>
      <c r="E5146" s="2" t="str">
        <f>HYPERLINK("https://old.ukr-mobil.com/shlejf_iphone_x_s_razemom_zaryadki_naushnikov_i_mikrofonom_original_prc_white_10067", "Перейти")</f>
        <v>Перейти</v>
      </c>
      <c r="F5146" s="2">
        <v>10067</v>
      </c>
      <c r="G5146" s="4" t="s">
        <v>5311</v>
      </c>
      <c r="H5146" s="1">
        <v>1</v>
      </c>
      <c r="I5146" s="1">
        <v>0</v>
      </c>
      <c r="J5146" s="1">
        <v>4</v>
      </c>
      <c r="K5146" s="2">
        <v>4.5</v>
      </c>
    </row>
    <row r="5147" spans="1:12">
      <c r="A5147" s="3" t="s">
        <v>2194</v>
      </c>
      <c r="B5147" s="3" t="s">
        <v>5185</v>
      </c>
      <c r="C5147" s="3" t="s">
        <v>54</v>
      </c>
      <c r="D5147" s="3"/>
      <c r="E5147" s="2" t="str">
        <f>HYPERLINK("https://old.ukr-mobil.com/shlejf_iphone_x_s_razemom_zaryadki_naushnikov_i_mikrofonom_original_prc_black_10066", "Перейти")</f>
        <v>Перейти</v>
      </c>
      <c r="F5147" s="2">
        <v>10066</v>
      </c>
      <c r="G5147" s="4" t="s">
        <v>5312</v>
      </c>
      <c r="H5147" s="1">
        <v>12</v>
      </c>
      <c r="I5147" s="1">
        <v>2</v>
      </c>
      <c r="J5147" s="1">
        <v>5</v>
      </c>
      <c r="K5147" s="2">
        <v>4.5</v>
      </c>
    </row>
    <row r="5148" spans="1:12">
      <c r="A5148" s="3" t="s">
        <v>2194</v>
      </c>
      <c r="B5148" s="3" t="s">
        <v>5185</v>
      </c>
      <c r="C5148" s="3" t="s">
        <v>54</v>
      </c>
      <c r="D5148" s="3"/>
      <c r="E5148" s="2" t="str">
        <f>HYPERLINK("https://old.ukr-mobil.com/shlejf_iphone_x_s_frontalnoj_kameroj_face_id_original_prc_11093", "Перейти")</f>
        <v>Перейти</v>
      </c>
      <c r="F5148" s="2">
        <v>11093</v>
      </c>
      <c r="G5148" s="4" t="s">
        <v>5313</v>
      </c>
      <c r="H5148" s="1">
        <v>0</v>
      </c>
      <c r="I5148" s="1">
        <v>0</v>
      </c>
      <c r="J5148" s="1">
        <v>0</v>
      </c>
      <c r="K5148" s="2">
        <v>26.21</v>
      </c>
    </row>
    <row r="5149" spans="1:12">
      <c r="A5149" s="3" t="s">
        <v>2194</v>
      </c>
      <c r="B5149" s="3" t="s">
        <v>5185</v>
      </c>
      <c r="C5149" s="3" t="s">
        <v>54</v>
      </c>
      <c r="D5149" s="3"/>
      <c r="E5149" s="2" t="str">
        <f>HYPERLINK("https://old.ukr-mobil.com/shlejf_apple_iphone_xr_dlya_besprovodnoj_zaryadki_original_prc_10003819", "Перейти")</f>
        <v>Перейти</v>
      </c>
      <c r="F5149" s="2">
        <v>10003819</v>
      </c>
      <c r="G5149" s="4" t="s">
        <v>5314</v>
      </c>
      <c r="H5149" s="1">
        <v>1</v>
      </c>
      <c r="I5149" s="1">
        <v>3</v>
      </c>
      <c r="J5149" s="1">
        <v>2</v>
      </c>
      <c r="K5149" s="2">
        <v>5.0</v>
      </c>
    </row>
    <row r="5150" spans="1:12">
      <c r="A5150" s="3" t="s">
        <v>2194</v>
      </c>
      <c r="B5150" s="3" t="s">
        <v>5185</v>
      </c>
      <c r="C5150" s="3" t="s">
        <v>54</v>
      </c>
      <c r="D5150" s="3"/>
      <c r="E5150" s="2" t="str">
        <f>HYPERLINK("https://old.ukr-mobil.com/shlejf_apple_iphone_xr_s_dinamikom_s_datchikom_priblizheniya_s_mikrofonom_original_prc_10003878", "Перейти")</f>
        <v>Перейти</v>
      </c>
      <c r="F5150" s="2">
        <v>10003878</v>
      </c>
      <c r="G5150" s="4" t="s">
        <v>5315</v>
      </c>
      <c r="H5150" s="1">
        <v>7</v>
      </c>
      <c r="I5150" s="1">
        <v>1</v>
      </c>
      <c r="J5150" s="1">
        <v>2</v>
      </c>
      <c r="K5150" s="2">
        <v>7.0</v>
      </c>
    </row>
    <row r="5151" spans="1:12">
      <c r="A5151" s="3" t="s">
        <v>2194</v>
      </c>
      <c r="B5151" s="3" t="s">
        <v>5185</v>
      </c>
      <c r="C5151" s="3" t="s">
        <v>54</v>
      </c>
      <c r="D5151" s="3"/>
      <c r="E5151" s="2" t="str">
        <f>HYPERLINK("https://old.ukr-mobil.com/shlejf_apple_iphone_xr_s_knopkoj_vklyucheniya_s_knopkami_regulirovki_gromkosti_vspishkoj_original_prc_10003879", "Перейти")</f>
        <v>Перейти</v>
      </c>
      <c r="F5151" s="2">
        <v>10003879</v>
      </c>
      <c r="G5151" s="4" t="s">
        <v>5316</v>
      </c>
      <c r="H5151" s="1">
        <v>10</v>
      </c>
      <c r="I5151" s="1">
        <v>2</v>
      </c>
      <c r="J5151" s="1">
        <v>3</v>
      </c>
      <c r="K5151" s="2">
        <v>3.5</v>
      </c>
    </row>
    <row r="5152" spans="1:12">
      <c r="A5152" s="3" t="s">
        <v>2194</v>
      </c>
      <c r="B5152" s="3" t="s">
        <v>5185</v>
      </c>
      <c r="C5152" s="3" t="s">
        <v>54</v>
      </c>
      <c r="D5152" s="3"/>
      <c r="E5152" s="2" t="str">
        <f>HYPERLINK("https://old.ukr-mobil.com/shlejf_apple_iphone_xr_s_razemom_zaryadki_mikrofonom_original_prc_black_10003818", "Перейти")</f>
        <v>Перейти</v>
      </c>
      <c r="F5152" s="2">
        <v>10003818</v>
      </c>
      <c r="G5152" s="4" t="s">
        <v>5317</v>
      </c>
      <c r="H5152" s="1">
        <v>0</v>
      </c>
      <c r="I5152" s="1">
        <v>0</v>
      </c>
      <c r="J5152" s="1">
        <v>0</v>
      </c>
      <c r="K5152" s="2">
        <v>5.0</v>
      </c>
    </row>
    <row r="5153" spans="1:12">
      <c r="A5153" s="3" t="s">
        <v>2194</v>
      </c>
      <c r="B5153" s="3" t="s">
        <v>5185</v>
      </c>
      <c r="C5153" s="3" t="s">
        <v>54</v>
      </c>
      <c r="D5153" s="3"/>
      <c r="E5153" s="2" t="str">
        <f>HYPERLINK("https://old.ukr-mobil.com/shlejf_apple_iphone_xr_s_razemom_zaryadki_mikrofonom_original_prc_white_10004241", "Перейти")</f>
        <v>Перейти</v>
      </c>
      <c r="F5153" s="2">
        <v>10004241</v>
      </c>
      <c r="G5153" s="4" t="s">
        <v>5318</v>
      </c>
      <c r="H5153" s="1">
        <v>15</v>
      </c>
      <c r="I5153" s="1">
        <v>3</v>
      </c>
      <c r="J5153" s="1">
        <v>5</v>
      </c>
      <c r="K5153" s="2">
        <v>5.0</v>
      </c>
    </row>
    <row r="5154" spans="1:12">
      <c r="A5154" s="3" t="s">
        <v>2194</v>
      </c>
      <c r="B5154" s="3" t="s">
        <v>5185</v>
      </c>
      <c r="C5154" s="3" t="s">
        <v>54</v>
      </c>
      <c r="D5154" s="3"/>
      <c r="E5154" s="2" t="str">
        <f>HYPERLINK("https://old.ukr-mobil.com/shlejf_apple_iphone_xs_max_wi-fi_antenny_s_komponentami_original_prc_10001605", "Перейти")</f>
        <v>Перейти</v>
      </c>
      <c r="F5154" s="2">
        <v>10001605</v>
      </c>
      <c r="G5154" s="4" t="s">
        <v>5319</v>
      </c>
      <c r="H5154" s="1">
        <v>8</v>
      </c>
      <c r="I5154" s="1">
        <v>6</v>
      </c>
      <c r="J5154" s="1">
        <v>1</v>
      </c>
      <c r="K5154" s="2">
        <v>2.1</v>
      </c>
    </row>
    <row r="5155" spans="1:12">
      <c r="A5155" s="3" t="s">
        <v>2194</v>
      </c>
      <c r="B5155" s="3" t="s">
        <v>5185</v>
      </c>
      <c r="C5155" s="3" t="s">
        <v>54</v>
      </c>
      <c r="D5155" s="3"/>
      <c r="E5155" s="2" t="str">
        <f>HYPERLINK("https://old.ukr-mobil.com/shlejf_apple_iphone_xs_max_dlya_besprovodnoj_zaryadki_s_datchikom_nfc_s_knopkami_regulirovki_gromkosti_original_prc_10003811", "Перейти")</f>
        <v>Перейти</v>
      </c>
      <c r="F5155" s="2">
        <v>10003811</v>
      </c>
      <c r="G5155" s="4" t="s">
        <v>5320</v>
      </c>
      <c r="H5155" s="1">
        <v>3</v>
      </c>
      <c r="I5155" s="1">
        <v>3</v>
      </c>
      <c r="J5155" s="1">
        <v>0</v>
      </c>
      <c r="K5155" s="2">
        <v>8.5</v>
      </c>
    </row>
    <row r="5156" spans="1:12">
      <c r="A5156" s="3" t="s">
        <v>2194</v>
      </c>
      <c r="B5156" s="3" t="s">
        <v>5185</v>
      </c>
      <c r="C5156" s="3" t="s">
        <v>54</v>
      </c>
      <c r="D5156" s="3"/>
      <c r="E5156" s="2" t="str">
        <f>HYPERLINK("https://old.ukr-mobil.com/shlejf_apple_iphone_xs_max_s_dinamikom_s_datchikom_priblizheniya_s_mikrofonom_original_prc_10001549", "Перейти")</f>
        <v>Перейти</v>
      </c>
      <c r="F5156" s="2">
        <v>10001549</v>
      </c>
      <c r="G5156" s="4" t="s">
        <v>5321</v>
      </c>
      <c r="H5156" s="1">
        <v>8</v>
      </c>
      <c r="I5156" s="1">
        <v>14</v>
      </c>
      <c r="J5156" s="1">
        <v>6</v>
      </c>
      <c r="K5156" s="2">
        <v>5.35</v>
      </c>
    </row>
    <row r="5157" spans="1:12">
      <c r="A5157" s="3" t="s">
        <v>2194</v>
      </c>
      <c r="B5157" s="3" t="s">
        <v>5185</v>
      </c>
      <c r="C5157" s="3" t="s">
        <v>54</v>
      </c>
      <c r="D5157" s="3"/>
      <c r="E5157" s="2" t="str">
        <f>HYPERLINK("https://old.ukr-mobil.com/shlejf_apple_iphone_xs_max_regulirovki_gromkosti_original_prc_10001603", "Перейти")</f>
        <v>Перейти</v>
      </c>
      <c r="F5157" s="2">
        <v>10001603</v>
      </c>
      <c r="G5157" s="4" t="s">
        <v>5322</v>
      </c>
      <c r="H5157" s="1">
        <v>1</v>
      </c>
      <c r="I5157" s="1">
        <v>0</v>
      </c>
      <c r="J5157" s="1">
        <v>0</v>
      </c>
      <c r="K5157" s="2">
        <v>3.85</v>
      </c>
    </row>
    <row r="5158" spans="1:12">
      <c r="A5158" s="3" t="s">
        <v>2194</v>
      </c>
      <c r="B5158" s="3" t="s">
        <v>5185</v>
      </c>
      <c r="C5158" s="3" t="s">
        <v>54</v>
      </c>
      <c r="D5158" s="3"/>
      <c r="E5158" s="2" t="str">
        <f>HYPERLINK("https://old.ukr-mobil.com/shlejf_apple_iphone_xs_max_s_razemom_zaryadki_mikrofonom_original_prc_black_10001550", "Перейти")</f>
        <v>Перейти</v>
      </c>
      <c r="F5158" s="2">
        <v>10001550</v>
      </c>
      <c r="G5158" s="4" t="s">
        <v>5323</v>
      </c>
      <c r="H5158" s="1">
        <v>7</v>
      </c>
      <c r="I5158" s="1">
        <v>0</v>
      </c>
      <c r="J5158" s="1">
        <v>2</v>
      </c>
      <c r="K5158" s="2">
        <v>5.0</v>
      </c>
    </row>
    <row r="5159" spans="1:12">
      <c r="A5159" s="3" t="s">
        <v>2194</v>
      </c>
      <c r="B5159" s="3" t="s">
        <v>5185</v>
      </c>
      <c r="C5159" s="3" t="s">
        <v>54</v>
      </c>
      <c r="D5159" s="3"/>
      <c r="E5159" s="2" t="str">
        <f>HYPERLINK("https://old.ukr-mobil.com/shlejf_apple_iphone_xs_max_s_razemom_zaryadki_mikrofonom_original_prc_gold_10001601", "Перейти")</f>
        <v>Перейти</v>
      </c>
      <c r="F5159" s="2">
        <v>10001601</v>
      </c>
      <c r="G5159" s="4" t="s">
        <v>5324</v>
      </c>
      <c r="H5159" s="1">
        <v>9</v>
      </c>
      <c r="I5159" s="1">
        <v>0</v>
      </c>
      <c r="J5159" s="1">
        <v>0</v>
      </c>
      <c r="K5159" s="2">
        <v>5.3</v>
      </c>
    </row>
    <row r="5160" spans="1:12">
      <c r="A5160" s="3" t="s">
        <v>2194</v>
      </c>
      <c r="B5160" s="3" t="s">
        <v>5185</v>
      </c>
      <c r="C5160" s="3" t="s">
        <v>54</v>
      </c>
      <c r="D5160" s="3"/>
      <c r="E5160" s="2" t="str">
        <f>HYPERLINK("https://old.ukr-mobil.com/shlejf_apple_iphone_xs_max_s_razemom_zaryadki_mikrofonom_original_prc_white_10001551", "Перейти")</f>
        <v>Перейти</v>
      </c>
      <c r="F5160" s="2">
        <v>10001551</v>
      </c>
      <c r="G5160" s="4" t="s">
        <v>5325</v>
      </c>
      <c r="H5160" s="1">
        <v>8</v>
      </c>
      <c r="I5160" s="1">
        <v>1</v>
      </c>
      <c r="J5160" s="1">
        <v>2</v>
      </c>
      <c r="K5160" s="2">
        <v>5.0</v>
      </c>
    </row>
    <row r="5161" spans="1:12">
      <c r="A5161" s="3" t="s">
        <v>2194</v>
      </c>
      <c r="B5161" s="3" t="s">
        <v>5185</v>
      </c>
      <c r="C5161" s="3" t="s">
        <v>54</v>
      </c>
      <c r="D5161" s="3"/>
      <c r="E5161" s="2" t="str">
        <f>HYPERLINK("https://old.ukr-mobil.com/shlejf_apple_iphone_xs_iphone_xs_max_s_knopkoj_vklyucheniya_vspishkoj_original_prc_10001547", "Перейти")</f>
        <v>Перейти</v>
      </c>
      <c r="F5161" s="2">
        <v>10001547</v>
      </c>
      <c r="G5161" s="4" t="s">
        <v>5326</v>
      </c>
      <c r="H5161" s="1">
        <v>65</v>
      </c>
      <c r="I5161" s="1">
        <v>6</v>
      </c>
      <c r="J5161" s="1">
        <v>3</v>
      </c>
      <c r="K5161" s="2">
        <v>3.65</v>
      </c>
    </row>
    <row r="5162" spans="1:12">
      <c r="A5162" s="3" t="s">
        <v>2194</v>
      </c>
      <c r="B5162" s="3" t="s">
        <v>5185</v>
      </c>
      <c r="C5162" s="3" t="s">
        <v>54</v>
      </c>
      <c r="D5162" s="3"/>
      <c r="E5162" s="2" t="str">
        <f>HYPERLINK("https://old.ukr-mobil.com/shlejf_apple_iphone_xs_wi-fi_antenny_s_komponentami_original_prc_10001604", "Перейти")</f>
        <v>Перейти</v>
      </c>
      <c r="F5162" s="2">
        <v>10001604</v>
      </c>
      <c r="G5162" s="4" t="s">
        <v>5327</v>
      </c>
      <c r="H5162" s="1">
        <v>6</v>
      </c>
      <c r="I5162" s="1">
        <v>2</v>
      </c>
      <c r="J5162" s="1">
        <v>2</v>
      </c>
      <c r="K5162" s="2">
        <v>2.1</v>
      </c>
    </row>
    <row r="5163" spans="1:12">
      <c r="A5163" s="3" t="s">
        <v>2194</v>
      </c>
      <c r="B5163" s="3" t="s">
        <v>5185</v>
      </c>
      <c r="C5163" s="3" t="s">
        <v>54</v>
      </c>
      <c r="D5163" s="3"/>
      <c r="E5163" s="2" t="str">
        <f>HYPERLINK("https://old.ukr-mobil.com/shlejf_apple_iphone_xs_dlya_besprovodnoj_zaryadki_s_datchikom_nfc_s_knopkami_regulirovki_gromkosti_original_prc_10003810", "Перейти")</f>
        <v>Перейти</v>
      </c>
      <c r="F5163" s="2">
        <v>10003810</v>
      </c>
      <c r="G5163" s="4" t="s">
        <v>5328</v>
      </c>
      <c r="H5163" s="1">
        <v>6</v>
      </c>
      <c r="I5163" s="1">
        <v>3</v>
      </c>
      <c r="J5163" s="1">
        <v>2</v>
      </c>
      <c r="K5163" s="2">
        <v>7.75</v>
      </c>
    </row>
    <row r="5164" spans="1:12">
      <c r="A5164" s="3" t="s">
        <v>2194</v>
      </c>
      <c r="B5164" s="3" t="s">
        <v>5185</v>
      </c>
      <c r="C5164" s="3" t="s">
        <v>54</v>
      </c>
      <c r="D5164" s="3"/>
      <c r="E5164" s="2" t="str">
        <f>HYPERLINK("https://old.ukr-mobil.com/shlejf_apple_iphone_xs_regulirovki_gromkosti_original_prc_10001602", "Перейти")</f>
        <v>Перейти</v>
      </c>
      <c r="F5164" s="2">
        <v>10001602</v>
      </c>
      <c r="G5164" s="4" t="s">
        <v>5329</v>
      </c>
      <c r="H5164" s="1">
        <v>9</v>
      </c>
      <c r="I5164" s="1">
        <v>1</v>
      </c>
      <c r="J5164" s="1">
        <v>2</v>
      </c>
      <c r="K5164" s="2">
        <v>3.25</v>
      </c>
    </row>
    <row r="5165" spans="1:12">
      <c r="A5165" s="3" t="s">
        <v>2194</v>
      </c>
      <c r="B5165" s="3" t="s">
        <v>5185</v>
      </c>
      <c r="C5165" s="3" t="s">
        <v>54</v>
      </c>
      <c r="D5165" s="3"/>
      <c r="E5165" s="2" t="str">
        <f>HYPERLINK("https://old.ukr-mobil.com/shlejf_apple_iphone_xs_s_dinamikom_s_datchikom_priblizheniya_s_mikrofonom_original_prc_10001548", "Перейти")</f>
        <v>Перейти</v>
      </c>
      <c r="F5165" s="2">
        <v>10001548</v>
      </c>
      <c r="G5165" s="4" t="s">
        <v>5330</v>
      </c>
      <c r="H5165" s="1">
        <v>0</v>
      </c>
      <c r="I5165" s="1">
        <v>0</v>
      </c>
      <c r="J5165" s="1">
        <v>0</v>
      </c>
      <c r="K5165" s="2">
        <v>5.85</v>
      </c>
    </row>
    <row r="5166" spans="1:12">
      <c r="A5166" s="3" t="s">
        <v>2194</v>
      </c>
      <c r="B5166" s="3" t="s">
        <v>5185</v>
      </c>
      <c r="C5166" s="3" t="s">
        <v>54</v>
      </c>
      <c r="D5166" s="3"/>
      <c r="E5166" s="2" t="str">
        <f>HYPERLINK("https://old.ukr-mobil.com/shlejf_apple_iphone_xs_s_razemom_zaryadki_mikrofonom_original_prc_black_10001544", "Перейти")</f>
        <v>Перейти</v>
      </c>
      <c r="F5166" s="2">
        <v>10001544</v>
      </c>
      <c r="G5166" s="4" t="s">
        <v>5331</v>
      </c>
      <c r="H5166" s="1">
        <v>11</v>
      </c>
      <c r="I5166" s="1">
        <v>4</v>
      </c>
      <c r="J5166" s="1">
        <v>5</v>
      </c>
      <c r="K5166" s="2">
        <v>5.35</v>
      </c>
    </row>
    <row r="5167" spans="1:12">
      <c r="A5167" s="3" t="s">
        <v>2194</v>
      </c>
      <c r="B5167" s="3" t="s">
        <v>5185</v>
      </c>
      <c r="C5167" s="3" t="s">
        <v>54</v>
      </c>
      <c r="D5167" s="3"/>
      <c r="E5167" s="2" t="str">
        <f>HYPERLINK("https://old.ukr-mobil.com/shlejf_apple_iphone_xs_s_razemom_zaryadki_mikrofonom_original_prc_gold_10001600", "Перейти")</f>
        <v>Перейти</v>
      </c>
      <c r="F5167" s="2">
        <v>10001600</v>
      </c>
      <c r="G5167" s="4" t="s">
        <v>5332</v>
      </c>
      <c r="H5167" s="1">
        <v>0</v>
      </c>
      <c r="I5167" s="1">
        <v>0</v>
      </c>
      <c r="J5167" s="1">
        <v>0</v>
      </c>
      <c r="K5167" s="2">
        <v>4.85</v>
      </c>
    </row>
    <row r="5168" spans="1:12">
      <c r="A5168" s="3" t="s">
        <v>2194</v>
      </c>
      <c r="B5168" s="3" t="s">
        <v>5185</v>
      </c>
      <c r="C5168" s="3" t="s">
        <v>54</v>
      </c>
      <c r="D5168" s="3"/>
      <c r="E5168" s="2" t="str">
        <f>HYPERLINK("https://old.ukr-mobil.com/shlejf_apple_iphone_xs_s_razemom_zaryadki_mikrofonom_original_prc_white_10001545", "Перейти")</f>
        <v>Перейти</v>
      </c>
      <c r="F5168" s="2">
        <v>10001545</v>
      </c>
      <c r="G5168" s="4" t="s">
        <v>5333</v>
      </c>
      <c r="H5168" s="1">
        <v>8</v>
      </c>
      <c r="I5168" s="1">
        <v>4</v>
      </c>
      <c r="J5168" s="1">
        <v>1</v>
      </c>
      <c r="K5168" s="2">
        <v>5.35</v>
      </c>
    </row>
    <row r="5169" spans="1:12">
      <c r="A5169" s="3" t="s">
        <v>2194</v>
      </c>
      <c r="B5169" s="3" t="s">
        <v>5185</v>
      </c>
      <c r="C5169" s="3" t="s">
        <v>952</v>
      </c>
      <c r="D5169" s="3"/>
      <c r="E5169" s="2" t="str">
        <f>HYPERLINK("https://old.ukr-mobil.com/shlejf_google_pixel_5_so_skanerom_otpechatka_original_prc_black_10003358", "Перейти")</f>
        <v>Перейти</v>
      </c>
      <c r="F5169" s="2">
        <v>10003358</v>
      </c>
      <c r="G5169" s="4" t="s">
        <v>5334</v>
      </c>
      <c r="H5169" s="1">
        <v>16</v>
      </c>
      <c r="I5169" s="1">
        <v>5</v>
      </c>
      <c r="J5169" s="1">
        <v>3</v>
      </c>
      <c r="K5169" s="2">
        <v>4.5</v>
      </c>
    </row>
    <row r="5170" spans="1:12">
      <c r="A5170" s="3" t="s">
        <v>2194</v>
      </c>
      <c r="B5170" s="3" t="s">
        <v>5185</v>
      </c>
      <c r="C5170" s="3" t="s">
        <v>952</v>
      </c>
      <c r="D5170" s="3"/>
      <c r="E5170" s="2" t="str">
        <f>HYPERLINK("https://old.ukr-mobil.com/index.php?route=product&amp;product_id=10005070", "Перейти")</f>
        <v>Перейти</v>
      </c>
      <c r="F5170" s="2">
        <v>10005070</v>
      </c>
      <c r="G5170" s="4" t="s">
        <v>5335</v>
      </c>
      <c r="H5170" s="1">
        <v>5</v>
      </c>
      <c r="I5170" s="1">
        <v>3</v>
      </c>
      <c r="J5170" s="1">
        <v>2</v>
      </c>
      <c r="K5170" s="2">
        <v>0.0</v>
      </c>
    </row>
    <row r="5171" spans="1:12">
      <c r="A5171" s="3" t="s">
        <v>2194</v>
      </c>
      <c r="B5171" s="3" t="s">
        <v>5185</v>
      </c>
      <c r="C5171" s="3" t="s">
        <v>952</v>
      </c>
      <c r="D5171" s="3"/>
      <c r="E5171" s="2" t="str">
        <f>HYPERLINK("https://old.ukr-mobil.com/index.php?route=product&amp;product_id=10005051", "Перейти")</f>
        <v>Перейти</v>
      </c>
      <c r="F5171" s="2">
        <v>10005051</v>
      </c>
      <c r="G5171" s="4" t="s">
        <v>5336</v>
      </c>
      <c r="H5171" s="1">
        <v>3</v>
      </c>
      <c r="I5171" s="1">
        <v>2</v>
      </c>
      <c r="J5171" s="1">
        <v>0</v>
      </c>
      <c r="K5171" s="2">
        <v>0.0</v>
      </c>
    </row>
    <row r="5172" spans="1:12">
      <c r="A5172" s="3" t="s">
        <v>2194</v>
      </c>
      <c r="B5172" s="3" t="s">
        <v>5185</v>
      </c>
      <c r="C5172" s="3" t="s">
        <v>952</v>
      </c>
      <c r="D5172" s="3"/>
      <c r="E5172" s="2" t="str">
        <f>HYPERLINK("https://old.ukr-mobil.com/index.php?route=product&amp;product_id=10005068", "Перейти")</f>
        <v>Перейти</v>
      </c>
      <c r="F5172" s="2">
        <v>10005068</v>
      </c>
      <c r="G5172" s="4" t="s">
        <v>5337</v>
      </c>
      <c r="H5172" s="1">
        <v>5</v>
      </c>
      <c r="I5172" s="1">
        <v>3</v>
      </c>
      <c r="J5172" s="1">
        <v>2</v>
      </c>
      <c r="K5172" s="2">
        <v>5.75</v>
      </c>
    </row>
    <row r="5173" spans="1:12">
      <c r="A5173" s="3" t="s">
        <v>2194</v>
      </c>
      <c r="B5173" s="3" t="s">
        <v>5185</v>
      </c>
      <c r="C5173" s="3" t="s">
        <v>952</v>
      </c>
      <c r="D5173" s="3"/>
      <c r="E5173" s="2" t="str">
        <f>HYPERLINK("https://old.ukr-mobil.com/index.php?route=product&amp;product_id=10004982", "Перейти")</f>
        <v>Перейти</v>
      </c>
      <c r="F5173" s="2">
        <v>10004982</v>
      </c>
      <c r="G5173" s="4" t="s">
        <v>5338</v>
      </c>
      <c r="H5173" s="1">
        <v>0</v>
      </c>
      <c r="I5173" s="1">
        <v>0</v>
      </c>
      <c r="J5173" s="1">
        <v>0</v>
      </c>
      <c r="K5173" s="2">
        <v>11.5</v>
      </c>
    </row>
    <row r="5174" spans="1:12">
      <c r="A5174" s="3" t="s">
        <v>2194</v>
      </c>
      <c r="B5174" s="3" t="s">
        <v>5185</v>
      </c>
      <c r="C5174" s="3" t="s">
        <v>952</v>
      </c>
      <c r="D5174" s="3"/>
      <c r="E5174" s="2" t="str">
        <f>HYPERLINK("https://old.ukr-mobil.com/index.php?route=product&amp;product_id=10005069", "Перейти")</f>
        <v>Перейти</v>
      </c>
      <c r="F5174" s="2">
        <v>10005069</v>
      </c>
      <c r="G5174" s="4" t="s">
        <v>5339</v>
      </c>
      <c r="H5174" s="1">
        <v>4</v>
      </c>
      <c r="I5174" s="1">
        <v>3</v>
      </c>
      <c r="J5174" s="1">
        <v>1</v>
      </c>
      <c r="K5174" s="2">
        <v>5.2</v>
      </c>
    </row>
    <row r="5175" spans="1:12">
      <c r="A5175" s="3" t="s">
        <v>2194</v>
      </c>
      <c r="B5175" s="3" t="s">
        <v>5185</v>
      </c>
      <c r="C5175" s="3" t="s">
        <v>952</v>
      </c>
      <c r="D5175" s="3"/>
      <c r="E5175" s="2" t="str">
        <f>HYPERLINK("https://old.ukr-mobil.com/index.php?route=product&amp;product_id=10004952", "Перейти")</f>
        <v>Перейти</v>
      </c>
      <c r="F5175" s="2">
        <v>10004952</v>
      </c>
      <c r="G5175" s="4" t="s">
        <v>5340</v>
      </c>
      <c r="H5175" s="1">
        <v>0</v>
      </c>
      <c r="I5175" s="1">
        <v>0</v>
      </c>
      <c r="J5175" s="1">
        <v>0</v>
      </c>
      <c r="K5175" s="2">
        <v>11.0</v>
      </c>
    </row>
    <row r="5176" spans="1:12">
      <c r="A5176" s="3" t="s">
        <v>2194</v>
      </c>
      <c r="B5176" s="3" t="s">
        <v>5185</v>
      </c>
      <c r="C5176" s="3" t="s">
        <v>952</v>
      </c>
      <c r="D5176" s="3"/>
      <c r="E5176" s="2" t="str">
        <f>HYPERLINK("https://old.ukr-mobil.com/index.php?route=product&amp;product_id=10005073", "Перейти")</f>
        <v>Перейти</v>
      </c>
      <c r="F5176" s="2">
        <v>10005073</v>
      </c>
      <c r="G5176" s="4" t="s">
        <v>5341</v>
      </c>
      <c r="H5176" s="1">
        <v>3</v>
      </c>
      <c r="I5176" s="1">
        <v>2</v>
      </c>
      <c r="J5176" s="1">
        <v>2</v>
      </c>
      <c r="K5176" s="2">
        <v>5.2</v>
      </c>
    </row>
    <row r="5177" spans="1:12">
      <c r="A5177" s="3" t="s">
        <v>2194</v>
      </c>
      <c r="B5177" s="3" t="s">
        <v>5185</v>
      </c>
      <c r="C5177" s="3" t="s">
        <v>952</v>
      </c>
      <c r="D5177" s="3"/>
      <c r="E5177" s="2" t="str">
        <f>HYPERLINK("https://old.ukr-mobil.com/index.php?route=product&amp;product_id=10004983", "Перейти")</f>
        <v>Перейти</v>
      </c>
      <c r="F5177" s="2">
        <v>10004983</v>
      </c>
      <c r="G5177" s="4" t="s">
        <v>5342</v>
      </c>
      <c r="H5177" s="1">
        <v>0</v>
      </c>
      <c r="I5177" s="1">
        <v>0</v>
      </c>
      <c r="J5177" s="1">
        <v>0</v>
      </c>
      <c r="K5177" s="2">
        <v>12.0</v>
      </c>
    </row>
    <row r="5178" spans="1:12">
      <c r="A5178" s="3" t="s">
        <v>2194</v>
      </c>
      <c r="B5178" s="3" t="s">
        <v>5185</v>
      </c>
      <c r="C5178" s="3" t="s">
        <v>952</v>
      </c>
      <c r="D5178" s="3"/>
      <c r="E5178" s="2" t="str">
        <f>HYPERLINK("https://old.ukr-mobil.com/index.php?route=product&amp;product_id=10005072", "Перейти")</f>
        <v>Перейти</v>
      </c>
      <c r="F5178" s="2">
        <v>10005072</v>
      </c>
      <c r="G5178" s="4" t="s">
        <v>5343</v>
      </c>
      <c r="H5178" s="1">
        <v>3</v>
      </c>
      <c r="I5178" s="1">
        <v>3</v>
      </c>
      <c r="J5178" s="1">
        <v>1</v>
      </c>
      <c r="K5178" s="2">
        <v>5.85</v>
      </c>
    </row>
    <row r="5179" spans="1:12">
      <c r="A5179" s="3" t="s">
        <v>2194</v>
      </c>
      <c r="B5179" s="3" t="s">
        <v>5185</v>
      </c>
      <c r="C5179" s="3" t="s">
        <v>952</v>
      </c>
      <c r="D5179" s="3"/>
      <c r="E5179" s="2" t="str">
        <f>HYPERLINK("https://old.ukr-mobil.com/index.php?route=product&amp;product_id=10004984", "Перейти")</f>
        <v>Перейти</v>
      </c>
      <c r="F5179" s="2">
        <v>10004984</v>
      </c>
      <c r="G5179" s="4" t="s">
        <v>5344</v>
      </c>
      <c r="H5179" s="1">
        <v>0</v>
      </c>
      <c r="I5179" s="1">
        <v>0</v>
      </c>
      <c r="J5179" s="1">
        <v>0</v>
      </c>
      <c r="K5179" s="2">
        <v>14.0</v>
      </c>
    </row>
    <row r="5180" spans="1:12">
      <c r="A5180" s="3" t="s">
        <v>2194</v>
      </c>
      <c r="B5180" s="3" t="s">
        <v>5185</v>
      </c>
      <c r="C5180" s="3" t="s">
        <v>952</v>
      </c>
      <c r="D5180" s="3"/>
      <c r="E5180" s="2" t="str">
        <f>HYPERLINK("https://old.ukr-mobil.com/index.php?route=product&amp;product_id=10005071", "Перейти")</f>
        <v>Перейти</v>
      </c>
      <c r="F5180" s="2">
        <v>10005071</v>
      </c>
      <c r="G5180" s="4" t="s">
        <v>5345</v>
      </c>
      <c r="H5180" s="1">
        <v>4</v>
      </c>
      <c r="I5180" s="1">
        <v>3</v>
      </c>
      <c r="J5180" s="1">
        <v>2</v>
      </c>
      <c r="K5180" s="2">
        <v>5.85</v>
      </c>
    </row>
    <row r="5181" spans="1:12">
      <c r="A5181" s="3" t="s">
        <v>2194</v>
      </c>
      <c r="B5181" s="3" t="s">
        <v>5185</v>
      </c>
      <c r="C5181" s="3" t="s">
        <v>952</v>
      </c>
      <c r="D5181" s="3"/>
      <c r="E5181" s="2" t="str">
        <f>HYPERLINK("https://old.ukr-mobil.com/index.php?route=product&amp;product_id=10004981", "Перейти")</f>
        <v>Перейти</v>
      </c>
      <c r="F5181" s="2">
        <v>10004981</v>
      </c>
      <c r="G5181" s="4" t="s">
        <v>5346</v>
      </c>
      <c r="H5181" s="1">
        <v>0</v>
      </c>
      <c r="I5181" s="1">
        <v>2</v>
      </c>
      <c r="J5181" s="1">
        <v>0</v>
      </c>
      <c r="K5181" s="2">
        <v>13.0</v>
      </c>
    </row>
    <row r="5182" spans="1:12">
      <c r="A5182" s="3" t="s">
        <v>2194</v>
      </c>
      <c r="B5182" s="3" t="s">
        <v>5185</v>
      </c>
      <c r="C5182" s="3" t="s">
        <v>640</v>
      </c>
      <c r="D5182" s="3"/>
      <c r="E5182" s="2" t="str">
        <f>HYPERLINK("https://old.ukr-mobil.com/shlejf_huawei_g610_knopka_vklyucheniya_regulirovki_gromkosti_5983", "Перейти")</f>
        <v>Перейти</v>
      </c>
      <c r="F5182" s="2">
        <v>5983</v>
      </c>
      <c r="G5182" s="4" t="s">
        <v>5347</v>
      </c>
      <c r="H5182" s="1">
        <v>0</v>
      </c>
      <c r="I5182" s="1">
        <v>2</v>
      </c>
      <c r="J5182" s="1">
        <v>0</v>
      </c>
      <c r="K5182" s="2">
        <v>1.86</v>
      </c>
    </row>
    <row r="5183" spans="1:12">
      <c r="A5183" s="3" t="s">
        <v>2194</v>
      </c>
      <c r="B5183" s="3" t="s">
        <v>5185</v>
      </c>
      <c r="C5183" s="3" t="s">
        <v>640</v>
      </c>
      <c r="D5183" s="3"/>
      <c r="E5183" s="2" t="str">
        <f>HYPERLINK("https://old.ukr-mobil.com/shlejf_huawei_g630_knopka_vklyucheniya_regulirovki_gromkosti_5984", "Перейти")</f>
        <v>Перейти</v>
      </c>
      <c r="F5183" s="2">
        <v>5984</v>
      </c>
      <c r="G5183" s="4" t="s">
        <v>5348</v>
      </c>
      <c r="H5183" s="1">
        <v>0</v>
      </c>
      <c r="I5183" s="1">
        <v>1</v>
      </c>
      <c r="J5183" s="1">
        <v>0</v>
      </c>
      <c r="K5183" s="2">
        <v>1.86</v>
      </c>
    </row>
    <row r="5184" spans="1:12">
      <c r="A5184" s="3" t="s">
        <v>2194</v>
      </c>
      <c r="B5184" s="3" t="s">
        <v>5185</v>
      </c>
      <c r="C5184" s="3" t="s">
        <v>640</v>
      </c>
      <c r="D5184" s="3"/>
      <c r="E5184" s="2" t="str">
        <f>HYPERLINK("https://old.ukr-mobil.com/shlejf_huawei_p7_knopka_vklyucheniya_regulirovki_gromkosti_5985", "Перейти")</f>
        <v>Перейти</v>
      </c>
      <c r="F5184" s="2">
        <v>5985</v>
      </c>
      <c r="G5184" s="4" t="s">
        <v>5349</v>
      </c>
      <c r="H5184" s="1">
        <v>0</v>
      </c>
      <c r="I5184" s="1">
        <v>1</v>
      </c>
      <c r="J5184" s="1">
        <v>0</v>
      </c>
      <c r="K5184" s="2">
        <v>2.37</v>
      </c>
    </row>
    <row r="5185" spans="1:12">
      <c r="A5185" s="3" t="s">
        <v>2194</v>
      </c>
      <c r="B5185" s="3" t="s">
        <v>5185</v>
      </c>
      <c r="C5185" s="3" t="s">
        <v>640</v>
      </c>
      <c r="D5185" s="3"/>
      <c r="E5185" s="2" t="str">
        <f>HYPERLINK("https://old.ukr-mobil.com/shlejf_huawei_y210_knopka_vklyucheniya_5973", "Перейти")</f>
        <v>Перейти</v>
      </c>
      <c r="F5185" s="2">
        <v>5973</v>
      </c>
      <c r="G5185" s="4" t="s">
        <v>5350</v>
      </c>
      <c r="H5185" s="1">
        <v>0</v>
      </c>
      <c r="I5185" s="1">
        <v>3</v>
      </c>
      <c r="J5185" s="1">
        <v>0</v>
      </c>
      <c r="K5185" s="2">
        <v>1.86</v>
      </c>
    </row>
    <row r="5186" spans="1:12">
      <c r="A5186" s="3" t="s">
        <v>2194</v>
      </c>
      <c r="B5186" s="3" t="s">
        <v>5185</v>
      </c>
      <c r="C5186" s="3" t="s">
        <v>640</v>
      </c>
      <c r="D5186" s="3"/>
      <c r="E5186" s="2" t="str">
        <f>HYPERLINK("https://old.ukr-mobil.com/shlejf_huawei_y220_knopka_vklyucheniya_5974", "Перейти")</f>
        <v>Перейти</v>
      </c>
      <c r="F5186" s="2">
        <v>5974</v>
      </c>
      <c r="G5186" s="4" t="s">
        <v>5351</v>
      </c>
      <c r="H5186" s="1">
        <v>0</v>
      </c>
      <c r="I5186" s="1">
        <v>3</v>
      </c>
      <c r="J5186" s="1">
        <v>0</v>
      </c>
      <c r="K5186" s="2">
        <v>1.86</v>
      </c>
    </row>
    <row r="5187" spans="1:12">
      <c r="A5187" s="3" t="s">
        <v>2194</v>
      </c>
      <c r="B5187" s="3" t="s">
        <v>5185</v>
      </c>
      <c r="C5187" s="3" t="s">
        <v>640</v>
      </c>
      <c r="D5187" s="3"/>
      <c r="E5187" s="2" t="str">
        <f>HYPERLINK("https://old.ukr-mobil.com/shlejf_huawei_y300_knopka_vklyucheniya_5975", "Перейти")</f>
        <v>Перейти</v>
      </c>
      <c r="F5187" s="2">
        <v>5975</v>
      </c>
      <c r="G5187" s="4" t="s">
        <v>5352</v>
      </c>
      <c r="H5187" s="1">
        <v>0</v>
      </c>
      <c r="I5187" s="1">
        <v>2</v>
      </c>
      <c r="J5187" s="1">
        <v>0</v>
      </c>
      <c r="K5187" s="2">
        <v>1.86</v>
      </c>
    </row>
    <row r="5188" spans="1:12">
      <c r="A5188" s="3" t="s">
        <v>2194</v>
      </c>
      <c r="B5188" s="3" t="s">
        <v>5185</v>
      </c>
      <c r="C5188" s="3" t="s">
        <v>640</v>
      </c>
      <c r="D5188" s="3"/>
      <c r="E5188" s="2" t="str">
        <f>HYPERLINK("https://old.ukr-mobil.com/shlejf_huawei_y310_knopka_vklyucheniya_5976", "Перейти")</f>
        <v>Перейти</v>
      </c>
      <c r="F5188" s="2">
        <v>5976</v>
      </c>
      <c r="G5188" s="4" t="s">
        <v>5353</v>
      </c>
      <c r="H5188" s="1">
        <v>0</v>
      </c>
      <c r="I5188" s="1">
        <v>1</v>
      </c>
      <c r="J5188" s="1">
        <v>0</v>
      </c>
      <c r="K5188" s="2">
        <v>1.86</v>
      </c>
    </row>
    <row r="5189" spans="1:12">
      <c r="A5189" s="3" t="s">
        <v>2194</v>
      </c>
      <c r="B5189" s="3" t="s">
        <v>5185</v>
      </c>
      <c r="C5189" s="3" t="s">
        <v>640</v>
      </c>
      <c r="D5189" s="3"/>
      <c r="E5189" s="2" t="str">
        <f>HYPERLINK("https://old.ukr-mobil.com/shlejf_huawei_y325_knopka_vklyucheniya_regulirovki_gromkosti_5978", "Перейти")</f>
        <v>Перейти</v>
      </c>
      <c r="F5189" s="2">
        <v>5978</v>
      </c>
      <c r="G5189" s="4" t="s">
        <v>5354</v>
      </c>
      <c r="H5189" s="1">
        <v>0</v>
      </c>
      <c r="I5189" s="1">
        <v>2</v>
      </c>
      <c r="J5189" s="1">
        <v>0</v>
      </c>
      <c r="K5189" s="2">
        <v>1.86</v>
      </c>
    </row>
    <row r="5190" spans="1:12">
      <c r="A5190" s="3" t="s">
        <v>2194</v>
      </c>
      <c r="B5190" s="3" t="s">
        <v>5185</v>
      </c>
      <c r="C5190" s="3" t="s">
        <v>640</v>
      </c>
      <c r="D5190" s="3"/>
      <c r="E5190" s="2" t="str">
        <f>HYPERLINK("https://old.ukr-mobil.com/shlejf_huawei_y511_knopka_vklyucheniya_regulirovki_gromkosti_5979", "Перейти")</f>
        <v>Перейти</v>
      </c>
      <c r="F5190" s="2">
        <v>5979</v>
      </c>
      <c r="G5190" s="4" t="s">
        <v>5355</v>
      </c>
      <c r="H5190" s="1">
        <v>0</v>
      </c>
      <c r="I5190" s="1">
        <v>0</v>
      </c>
      <c r="J5190" s="1">
        <v>0</v>
      </c>
      <c r="K5190" s="2">
        <v>1.86</v>
      </c>
    </row>
    <row r="5191" spans="1:12">
      <c r="A5191" s="3" t="s">
        <v>2194</v>
      </c>
      <c r="B5191" s="3" t="s">
        <v>5185</v>
      </c>
      <c r="C5191" s="3" t="s">
        <v>640</v>
      </c>
      <c r="D5191" s="3"/>
      <c r="E5191" s="2" t="str">
        <f>HYPERLINK("https://old.ukr-mobil.com/shlejf_huawei_y535_knopka_vklyucheniya_regulirovki_gromkosti_5980", "Перейти")</f>
        <v>Перейти</v>
      </c>
      <c r="F5191" s="2">
        <v>5980</v>
      </c>
      <c r="G5191" s="4" t="s">
        <v>5356</v>
      </c>
      <c r="H5191" s="1">
        <v>0</v>
      </c>
      <c r="I5191" s="1">
        <v>3</v>
      </c>
      <c r="J5191" s="1">
        <v>0</v>
      </c>
      <c r="K5191" s="2">
        <v>2.02</v>
      </c>
    </row>
    <row r="5192" spans="1:12">
      <c r="A5192" s="3" t="s">
        <v>2194</v>
      </c>
      <c r="B5192" s="3" t="s">
        <v>5185</v>
      </c>
      <c r="C5192" s="3" t="s">
        <v>640</v>
      </c>
      <c r="D5192" s="3"/>
      <c r="E5192" s="2" t="str">
        <f>HYPERLINK("https://old.ukr-mobil.com/shlejf_huawei_y550_knopka_vklyucheniya_regulirovki_gromkosti_5981", "Перейти")</f>
        <v>Перейти</v>
      </c>
      <c r="F5192" s="2">
        <v>5981</v>
      </c>
      <c r="G5192" s="4" t="s">
        <v>5357</v>
      </c>
      <c r="H5192" s="1">
        <v>0</v>
      </c>
      <c r="I5192" s="1">
        <v>3</v>
      </c>
      <c r="J5192" s="1">
        <v>0</v>
      </c>
      <c r="K5192" s="2">
        <v>2.52</v>
      </c>
    </row>
    <row r="5193" spans="1:12">
      <c r="A5193" s="3" t="s">
        <v>2194</v>
      </c>
      <c r="B5193" s="3" t="s">
        <v>5185</v>
      </c>
      <c r="C5193" s="3" t="s">
        <v>640</v>
      </c>
      <c r="D5193" s="3"/>
      <c r="E5193" s="2" t="str">
        <f>HYPERLINK("https://old.ukr-mobil.com/shlejf_huawei_g510_knopka_vklyuchennya_ta_regulyuvannya_guchnost_10001375", "Перейти")</f>
        <v>Перейти</v>
      </c>
      <c r="F5193" s="2">
        <v>10001375</v>
      </c>
      <c r="G5193" s="4" t="s">
        <v>5358</v>
      </c>
      <c r="H5193" s="1">
        <v>0</v>
      </c>
      <c r="I5193" s="1">
        <v>1</v>
      </c>
      <c r="J5193" s="1">
        <v>0</v>
      </c>
      <c r="K5193" s="2">
        <v>2.65</v>
      </c>
    </row>
    <row r="5194" spans="1:12">
      <c r="A5194" s="3" t="s">
        <v>2194</v>
      </c>
      <c r="B5194" s="3" t="s">
        <v>5185</v>
      </c>
      <c r="C5194" s="3" t="s">
        <v>640</v>
      </c>
      <c r="D5194" s="3"/>
      <c r="E5194" s="2" t="str">
        <f>HYPERLINK("https://old.ukr-mobil.com/shlejf_huawei_honor_8_skaner_otpechatka_palca_black_10070", "Перейти")</f>
        <v>Перейти</v>
      </c>
      <c r="F5194" s="2">
        <v>10070</v>
      </c>
      <c r="G5194" s="4" t="s">
        <v>5359</v>
      </c>
      <c r="H5194" s="1">
        <v>0</v>
      </c>
      <c r="I5194" s="1">
        <v>1</v>
      </c>
      <c r="J5194" s="1">
        <v>0</v>
      </c>
      <c r="K5194" s="2">
        <v>4.54</v>
      </c>
    </row>
    <row r="5195" spans="1:12">
      <c r="A5195" s="3" t="s">
        <v>2194</v>
      </c>
      <c r="B5195" s="3" t="s">
        <v>5185</v>
      </c>
      <c r="C5195" s="3" t="s">
        <v>640</v>
      </c>
      <c r="D5195" s="3"/>
      <c r="E5195" s="2" t="str">
        <f>HYPERLINK("https://old.ukr-mobil.com/shlejf_huawei_honor_8_skaner_otpechatka_palca_blue_10071", "Перейти")</f>
        <v>Перейти</v>
      </c>
      <c r="F5195" s="2">
        <v>10071</v>
      </c>
      <c r="G5195" s="4" t="s">
        <v>5360</v>
      </c>
      <c r="H5195" s="1">
        <v>0</v>
      </c>
      <c r="I5195" s="1">
        <v>2</v>
      </c>
      <c r="J5195" s="1">
        <v>0</v>
      </c>
      <c r="K5195" s="2">
        <v>4.54</v>
      </c>
    </row>
    <row r="5196" spans="1:12">
      <c r="A5196" s="3" t="s">
        <v>2194</v>
      </c>
      <c r="B5196" s="3" t="s">
        <v>5185</v>
      </c>
      <c r="C5196" s="3" t="s">
        <v>640</v>
      </c>
      <c r="D5196" s="3"/>
      <c r="E5196" s="2" t="str">
        <f>HYPERLINK("https://old.ukr-mobil.com/shlejf_huawei_honor_8_skaner_otpechatka_palca_gold_10072", "Перейти")</f>
        <v>Перейти</v>
      </c>
      <c r="F5196" s="2">
        <v>10072</v>
      </c>
      <c r="G5196" s="4" t="s">
        <v>5361</v>
      </c>
      <c r="H5196" s="1">
        <v>0</v>
      </c>
      <c r="I5196" s="1">
        <v>2</v>
      </c>
      <c r="J5196" s="1">
        <v>0</v>
      </c>
      <c r="K5196" s="2">
        <v>4.54</v>
      </c>
    </row>
    <row r="5197" spans="1:12">
      <c r="A5197" s="3" t="s">
        <v>2194</v>
      </c>
      <c r="B5197" s="3" t="s">
        <v>5185</v>
      </c>
      <c r="C5197" s="3" t="s">
        <v>640</v>
      </c>
      <c r="D5197" s="3"/>
      <c r="E5197" s="2" t="str">
        <f>HYPERLINK("https://old.ukr-mobil.com/shlejf_huawei_honor_8_frd-l09_honor_8_premium_frd-l19_skaner_otpechatka_palca_white_10001924", "Перейти")</f>
        <v>Перейти</v>
      </c>
      <c r="F5197" s="2">
        <v>10001924</v>
      </c>
      <c r="G5197" s="4" t="s">
        <v>5362</v>
      </c>
      <c r="H5197" s="1">
        <v>0</v>
      </c>
      <c r="I5197" s="1">
        <v>1</v>
      </c>
      <c r="J5197" s="1">
        <v>0</v>
      </c>
      <c r="K5197" s="2">
        <v>4.54</v>
      </c>
    </row>
    <row r="5198" spans="1:12">
      <c r="A5198" s="3" t="s">
        <v>2194</v>
      </c>
      <c r="B5198" s="3" t="s">
        <v>5185</v>
      </c>
      <c r="C5198" s="3" t="s">
        <v>640</v>
      </c>
      <c r="D5198" s="3"/>
      <c r="E5198" s="2" t="str">
        <f>HYPERLINK("https://old.ukr-mobil.com/shlejf_huawei_honor_8_lite_p8_lite_2017_skaner_otpechatka_palca_blue_10094", "Перейти")</f>
        <v>Перейти</v>
      </c>
      <c r="F5198" s="2">
        <v>10094</v>
      </c>
      <c r="G5198" s="4" t="s">
        <v>5363</v>
      </c>
      <c r="H5198" s="1">
        <v>0</v>
      </c>
      <c r="I5198" s="1">
        <v>1</v>
      </c>
      <c r="J5198" s="1">
        <v>0</v>
      </c>
      <c r="K5198" s="2">
        <v>3.73</v>
      </c>
    </row>
    <row r="5199" spans="1:12">
      <c r="A5199" s="3" t="s">
        <v>2194</v>
      </c>
      <c r="B5199" s="3" t="s">
        <v>5185</v>
      </c>
      <c r="C5199" s="3" t="s">
        <v>640</v>
      </c>
      <c r="D5199" s="3"/>
      <c r="E5199" s="2" t="str">
        <f>HYPERLINK("https://old.ukr-mobil.com/shlejf_huawei_honor_8_lite_p8_lite_2017_skaner_otpechatka_palca_gold_10096", "Перейти")</f>
        <v>Перейти</v>
      </c>
      <c r="F5199" s="2">
        <v>10096</v>
      </c>
      <c r="G5199" s="4" t="s">
        <v>5364</v>
      </c>
      <c r="H5199" s="1">
        <v>0</v>
      </c>
      <c r="I5199" s="1">
        <v>1</v>
      </c>
      <c r="J5199" s="1">
        <v>0</v>
      </c>
      <c r="K5199" s="2">
        <v>3.73</v>
      </c>
    </row>
    <row r="5200" spans="1:12">
      <c r="A5200" s="3" t="s">
        <v>2194</v>
      </c>
      <c r="B5200" s="3" t="s">
        <v>5185</v>
      </c>
      <c r="C5200" s="3" t="s">
        <v>640</v>
      </c>
      <c r="D5200" s="3"/>
      <c r="E5200" s="2" t="str">
        <f>HYPERLINK("https://old.ukr-mobil.com/shlejf_huawei_honor_8_lite_p8_lite_2017_skaner_otpechatka_palca_white_10095", "Перейти")</f>
        <v>Перейти</v>
      </c>
      <c r="F5200" s="2">
        <v>10095</v>
      </c>
      <c r="G5200" s="4" t="s">
        <v>5365</v>
      </c>
      <c r="H5200" s="1">
        <v>0</v>
      </c>
      <c r="I5200" s="1">
        <v>0</v>
      </c>
      <c r="J5200" s="1">
        <v>0</v>
      </c>
      <c r="K5200" s="2">
        <v>3.73</v>
      </c>
    </row>
    <row r="5201" spans="1:12">
      <c r="A5201" s="3" t="s">
        <v>2194</v>
      </c>
      <c r="B5201" s="3" t="s">
        <v>5185</v>
      </c>
      <c r="C5201" s="3" t="s">
        <v>640</v>
      </c>
      <c r="D5201" s="3"/>
      <c r="E5201" s="2" t="str">
        <f>HYPERLINK("https://old.ukr-mobil.com/shlejf_huawei_honor_v9_knopka_vklyucheniya_regulirovki_gromkosti_10101", "Перейти")</f>
        <v>Перейти</v>
      </c>
      <c r="F5201" s="2">
        <v>10101</v>
      </c>
      <c r="G5201" s="4" t="s">
        <v>5366</v>
      </c>
      <c r="H5201" s="1">
        <v>0</v>
      </c>
      <c r="I5201" s="1">
        <v>1</v>
      </c>
      <c r="J5201" s="1">
        <v>0</v>
      </c>
      <c r="K5201" s="2">
        <v>7.06</v>
      </c>
    </row>
    <row r="5202" spans="1:12">
      <c r="A5202" s="3" t="s">
        <v>2194</v>
      </c>
      <c r="B5202" s="3" t="s">
        <v>5185</v>
      </c>
      <c r="C5202" s="3" t="s">
        <v>640</v>
      </c>
      <c r="D5202" s="3"/>
      <c r="E5202" s="2" t="str">
        <f>HYPERLINK("https://old.ukr-mobil.com/shlejf_huawei_mate_10_skaner_otpechatka_palca_gold_10084", "Перейти")</f>
        <v>Перейти</v>
      </c>
      <c r="F5202" s="2">
        <v>10084</v>
      </c>
      <c r="G5202" s="4" t="s">
        <v>5367</v>
      </c>
      <c r="H5202" s="1">
        <v>0</v>
      </c>
      <c r="I5202" s="1">
        <v>1</v>
      </c>
      <c r="J5202" s="1">
        <v>0</v>
      </c>
      <c r="K5202" s="2">
        <v>8.06</v>
      </c>
    </row>
    <row r="5203" spans="1:12">
      <c r="A5203" s="3" t="s">
        <v>2194</v>
      </c>
      <c r="B5203" s="3" t="s">
        <v>5185</v>
      </c>
      <c r="C5203" s="3" t="s">
        <v>640</v>
      </c>
      <c r="D5203" s="3"/>
      <c r="E5203" s="2" t="str">
        <f>HYPERLINK("https://old.ukr-mobil.com/shlejf_huawei_mate_10_pro_knopka_vklyucheniya_regulirovki_gromkosti_10086", "Перейти")</f>
        <v>Перейти</v>
      </c>
      <c r="F5203" s="2">
        <v>10086</v>
      </c>
      <c r="G5203" s="4" t="s">
        <v>5368</v>
      </c>
      <c r="H5203" s="1">
        <v>0</v>
      </c>
      <c r="I5203" s="1">
        <v>0</v>
      </c>
      <c r="J5203" s="1">
        <v>0</v>
      </c>
      <c r="K5203" s="2">
        <v>8.06</v>
      </c>
    </row>
    <row r="5204" spans="1:12">
      <c r="A5204" s="3" t="s">
        <v>2194</v>
      </c>
      <c r="B5204" s="3" t="s">
        <v>5185</v>
      </c>
      <c r="C5204" s="3" t="s">
        <v>640</v>
      </c>
      <c r="D5204" s="3"/>
      <c r="E5204" s="2" t="str">
        <f>HYPERLINK("https://old.ukr-mobil.com/shlejf_huawei_mate_7_s_razemom_zaryadki_mikrofonom_10079", "Перейти")</f>
        <v>Перейти</v>
      </c>
      <c r="F5204" s="2">
        <v>10079</v>
      </c>
      <c r="G5204" s="4" t="s">
        <v>5369</v>
      </c>
      <c r="H5204" s="1">
        <v>0</v>
      </c>
      <c r="I5204" s="1">
        <v>2</v>
      </c>
      <c r="J5204" s="1">
        <v>0</v>
      </c>
      <c r="K5204" s="2">
        <v>5.04</v>
      </c>
    </row>
    <row r="5205" spans="1:12">
      <c r="A5205" s="3" t="s">
        <v>2194</v>
      </c>
      <c r="B5205" s="3" t="s">
        <v>5185</v>
      </c>
      <c r="C5205" s="3" t="s">
        <v>640</v>
      </c>
      <c r="D5205" s="3"/>
      <c r="E5205" s="2" t="str">
        <f>HYPERLINK("https://old.ukr-mobil.com/shlejf_huawei_mate_8_s_razemom_zaryadki_mikrofonami_10080", "Перейти")</f>
        <v>Перейти</v>
      </c>
      <c r="F5205" s="2">
        <v>10080</v>
      </c>
      <c r="G5205" s="4" t="s">
        <v>5370</v>
      </c>
      <c r="H5205" s="1">
        <v>0</v>
      </c>
      <c r="I5205" s="1">
        <v>0</v>
      </c>
      <c r="J5205" s="1">
        <v>0</v>
      </c>
      <c r="K5205" s="2">
        <v>7.06</v>
      </c>
    </row>
    <row r="5206" spans="1:12">
      <c r="A5206" s="3" t="s">
        <v>2194</v>
      </c>
      <c r="B5206" s="3" t="s">
        <v>5185</v>
      </c>
      <c r="C5206" s="3" t="s">
        <v>640</v>
      </c>
      <c r="D5206" s="3"/>
      <c r="E5206" s="2" t="str">
        <f>HYPERLINK("https://old.ukr-mobil.com/shlejf_huawei_nova_s_razemom_zaryadki_mikrofonom_10087", "Перейти")</f>
        <v>Перейти</v>
      </c>
      <c r="F5206" s="2">
        <v>10087</v>
      </c>
      <c r="G5206" s="4" t="s">
        <v>5371</v>
      </c>
      <c r="H5206" s="1">
        <v>0</v>
      </c>
      <c r="I5206" s="1">
        <v>4</v>
      </c>
      <c r="J5206" s="1">
        <v>2</v>
      </c>
      <c r="K5206" s="2">
        <v>3.02</v>
      </c>
    </row>
    <row r="5207" spans="1:12">
      <c r="A5207" s="3" t="s">
        <v>2194</v>
      </c>
      <c r="B5207" s="3" t="s">
        <v>5185</v>
      </c>
      <c r="C5207" s="3" t="s">
        <v>640</v>
      </c>
      <c r="D5207" s="3"/>
      <c r="E5207" s="2" t="str">
        <f>HYPERLINK("https://old.ukr-mobil.com/shlejf_huawei_nova_2_2017_skaner_otpechatka_palca_f11435_10000711", "Перейти")</f>
        <v>Перейти</v>
      </c>
      <c r="F5207" s="2">
        <v>10000711</v>
      </c>
      <c r="G5207" s="4" t="s">
        <v>5372</v>
      </c>
      <c r="H5207" s="1">
        <v>0</v>
      </c>
      <c r="I5207" s="1">
        <v>1</v>
      </c>
      <c r="J5207" s="1">
        <v>0</v>
      </c>
      <c r="K5207" s="2">
        <v>1.6</v>
      </c>
    </row>
    <row r="5208" spans="1:12">
      <c r="A5208" s="3" t="s">
        <v>2194</v>
      </c>
      <c r="B5208" s="3" t="s">
        <v>5185</v>
      </c>
      <c r="C5208" s="3" t="s">
        <v>640</v>
      </c>
      <c r="D5208" s="3"/>
      <c r="E5208" s="2" t="str">
        <f>HYPERLINK("https://old.ukr-mobil.com/shlejf_huawei_nova_2_s_razemom_zaryadki_mikrofonom_10090", "Перейти")</f>
        <v>Перейти</v>
      </c>
      <c r="F5208" s="2">
        <v>10090</v>
      </c>
      <c r="G5208" s="4" t="s">
        <v>5373</v>
      </c>
      <c r="H5208" s="1">
        <v>3</v>
      </c>
      <c r="I5208" s="1">
        <v>0</v>
      </c>
      <c r="J5208" s="1">
        <v>0</v>
      </c>
      <c r="K5208" s="2">
        <v>5.04</v>
      </c>
    </row>
    <row r="5209" spans="1:12">
      <c r="A5209" s="3" t="s">
        <v>2194</v>
      </c>
      <c r="B5209" s="3" t="s">
        <v>5185</v>
      </c>
      <c r="C5209" s="3" t="s">
        <v>640</v>
      </c>
      <c r="D5209" s="3"/>
      <c r="E5209" s="2" t="str">
        <f>HYPERLINK("https://old.ukr-mobil.com/shlejf_huawei_nova_5t_honor_20_20_pro_so_skanerom_otpechatka_original_prc_black_10003360", "Перейти")</f>
        <v>Перейти</v>
      </c>
      <c r="F5209" s="2">
        <v>10003360</v>
      </c>
      <c r="G5209" s="4" t="s">
        <v>5374</v>
      </c>
      <c r="H5209" s="1">
        <v>11</v>
      </c>
      <c r="I5209" s="1">
        <v>4</v>
      </c>
      <c r="J5209" s="1">
        <v>2</v>
      </c>
      <c r="K5209" s="2">
        <v>4.65</v>
      </c>
    </row>
    <row r="5210" spans="1:12">
      <c r="A5210" s="3" t="s">
        <v>2194</v>
      </c>
      <c r="B5210" s="3" t="s">
        <v>5185</v>
      </c>
      <c r="C5210" s="3" t="s">
        <v>640</v>
      </c>
      <c r="D5210" s="3"/>
      <c r="E5210" s="2" t="str">
        <f>HYPERLINK("https://old.ukr-mobil.com/shlejf_huawei_nova_lite_2017_y6_pro_2017_p9_lite_mini_s_razemom_zaryadki_mikrofonom_10088", "Перейти")</f>
        <v>Перейти</v>
      </c>
      <c r="F5210" s="2">
        <v>10088</v>
      </c>
      <c r="G5210" s="4" t="s">
        <v>5375</v>
      </c>
      <c r="H5210" s="1">
        <v>5</v>
      </c>
      <c r="I5210" s="1">
        <v>0</v>
      </c>
      <c r="J5210" s="1">
        <v>2</v>
      </c>
      <c r="K5210" s="2">
        <v>2.85</v>
      </c>
    </row>
    <row r="5211" spans="1:12">
      <c r="A5211" s="3" t="s">
        <v>2194</v>
      </c>
      <c r="B5211" s="3" t="s">
        <v>5185</v>
      </c>
      <c r="C5211" s="3" t="s">
        <v>640</v>
      </c>
      <c r="D5211" s="3"/>
      <c r="E5211" s="2" t="str">
        <f>HYPERLINK("https://old.ukr-mobil.com/shlejf_huawei_p_smart_konnektora_naushnikov_konnektora_zaryadki_s_mikrofonom_plata_zaryadki_11668", "Перейти")</f>
        <v>Перейти</v>
      </c>
      <c r="F5211" s="2">
        <v>11668</v>
      </c>
      <c r="G5211" s="4" t="s">
        <v>5376</v>
      </c>
      <c r="H5211" s="1">
        <v>10</v>
      </c>
      <c r="I5211" s="1">
        <v>4</v>
      </c>
      <c r="J5211" s="1">
        <v>3</v>
      </c>
      <c r="K5211" s="2">
        <v>2.52</v>
      </c>
    </row>
    <row r="5212" spans="1:12">
      <c r="A5212" s="3" t="s">
        <v>2194</v>
      </c>
      <c r="B5212" s="3" t="s">
        <v>5185</v>
      </c>
      <c r="C5212" s="3" t="s">
        <v>640</v>
      </c>
      <c r="D5212" s="3"/>
      <c r="E5212" s="2" t="str">
        <f>HYPERLINK("https://old.ukr-mobil.com/shlejf_huawei_p_smart_2021_ppa-lx2_y7a_honor_10x_lite_mezhplatnyj_high_copy_10002596", "Перейти")</f>
        <v>Перейти</v>
      </c>
      <c r="F5212" s="2">
        <v>10002596</v>
      </c>
      <c r="G5212" s="4" t="s">
        <v>5377</v>
      </c>
      <c r="H5212" s="1">
        <v>19</v>
      </c>
      <c r="I5212" s="1">
        <v>4</v>
      </c>
      <c r="J5212" s="1">
        <v>4</v>
      </c>
      <c r="K5212" s="2">
        <v>2.35</v>
      </c>
    </row>
    <row r="5213" spans="1:12">
      <c r="A5213" s="3" t="s">
        <v>2194</v>
      </c>
      <c r="B5213" s="3" t="s">
        <v>5185</v>
      </c>
      <c r="C5213" s="3" t="s">
        <v>640</v>
      </c>
      <c r="D5213" s="3"/>
      <c r="E5213" s="2" t="str">
        <f>HYPERLINK("https://old.ukr-mobil.com/shlejf_huawei_p_smart_2021_s_razemom_zaryadki_garnitury_mikrofonom_high_copy_10002593", "Перейти")</f>
        <v>Перейти</v>
      </c>
      <c r="F5213" s="2">
        <v>10002593</v>
      </c>
      <c r="G5213" s="4" t="s">
        <v>5378</v>
      </c>
      <c r="H5213" s="1">
        <v>9</v>
      </c>
      <c r="I5213" s="1">
        <v>2</v>
      </c>
      <c r="J5213" s="1">
        <v>3</v>
      </c>
      <c r="K5213" s="2">
        <v>3.5</v>
      </c>
    </row>
    <row r="5214" spans="1:12">
      <c r="A5214" s="3" t="s">
        <v>2194</v>
      </c>
      <c r="B5214" s="3" t="s">
        <v>5185</v>
      </c>
      <c r="C5214" s="3" t="s">
        <v>640</v>
      </c>
      <c r="D5214" s="3"/>
      <c r="E5214" s="2" t="str">
        <f>HYPERLINK("https://old.ukr-mobil.com/shlejf_huawei_p_smart_2021_s_razemom_zaryadki_garnitury_mikrofonom_original_10002595", "Перейти")</f>
        <v>Перейти</v>
      </c>
      <c r="F5214" s="2">
        <v>10002595</v>
      </c>
      <c r="G5214" s="4" t="s">
        <v>5379</v>
      </c>
      <c r="H5214" s="1">
        <v>10</v>
      </c>
      <c r="I5214" s="1">
        <v>3</v>
      </c>
      <c r="J5214" s="1">
        <v>2</v>
      </c>
      <c r="K5214" s="2">
        <v>9.0</v>
      </c>
    </row>
    <row r="5215" spans="1:12">
      <c r="A5215" s="3" t="s">
        <v>2194</v>
      </c>
      <c r="B5215" s="3" t="s">
        <v>5185</v>
      </c>
      <c r="C5215" s="3" t="s">
        <v>640</v>
      </c>
      <c r="D5215" s="3"/>
      <c r="E5215" s="2" t="str">
        <f>HYPERLINK("https://old.ukr-mobil.com/shlejf_huawei_p_smart_2021_so_skanerom_otpechatka_original_prc_black_10003361", "Перейти")</f>
        <v>Перейти</v>
      </c>
      <c r="F5215" s="2">
        <v>10003361</v>
      </c>
      <c r="G5215" s="4" t="s">
        <v>5380</v>
      </c>
      <c r="H5215" s="1">
        <v>6</v>
      </c>
      <c r="I5215" s="1">
        <v>2</v>
      </c>
      <c r="J5215" s="1">
        <v>0</v>
      </c>
      <c r="K5215" s="2">
        <v>5.0</v>
      </c>
    </row>
    <row r="5216" spans="1:12">
      <c r="A5216" s="3" t="s">
        <v>2194</v>
      </c>
      <c r="B5216" s="3" t="s">
        <v>5185</v>
      </c>
      <c r="C5216" s="3" t="s">
        <v>640</v>
      </c>
      <c r="D5216" s="3"/>
      <c r="E5216" s="2" t="str">
        <f>HYPERLINK("https://old.ukr-mobil.com/shlejf_huawei_p_smart_plus_konnektora_naushnikov_konnektora_zaryadki_s_mikrofonom_plata_zaryadki_11669", "Перейти")</f>
        <v>Перейти</v>
      </c>
      <c r="F5216" s="2">
        <v>11669</v>
      </c>
      <c r="G5216" s="4" t="s">
        <v>5381</v>
      </c>
      <c r="H5216" s="1">
        <v>0</v>
      </c>
      <c r="I5216" s="1">
        <v>0</v>
      </c>
      <c r="J5216" s="1">
        <v>0</v>
      </c>
      <c r="K5216" s="2">
        <v>2.5</v>
      </c>
    </row>
    <row r="5217" spans="1:12">
      <c r="A5217" s="3" t="s">
        <v>2194</v>
      </c>
      <c r="B5217" s="3" t="s">
        <v>5185</v>
      </c>
      <c r="C5217" s="3" t="s">
        <v>640</v>
      </c>
      <c r="D5217" s="3"/>
      <c r="E5217" s="2" t="str">
        <f>HYPERLINK("https://old.ukr-mobil.com/shlejf_huawei_p_smart_plus_ine-lx1_nova_3_par-lx1_nova_3i_nova_3is_konnektora_naushnikov_konnektora_zaryadki_s_mikrofonom_original_10002958", "Перейти")</f>
        <v>Перейти</v>
      </c>
      <c r="F5217" s="2">
        <v>10002958</v>
      </c>
      <c r="G5217" s="4" t="s">
        <v>5382</v>
      </c>
      <c r="H5217" s="1">
        <v>0</v>
      </c>
      <c r="I5217" s="1">
        <v>0</v>
      </c>
      <c r="J5217" s="1">
        <v>0</v>
      </c>
      <c r="K5217" s="2">
        <v>6.0</v>
      </c>
    </row>
    <row r="5218" spans="1:12">
      <c r="A5218" s="3" t="s">
        <v>2194</v>
      </c>
      <c r="B5218" s="3" t="s">
        <v>5185</v>
      </c>
      <c r="C5218" s="3" t="s">
        <v>640</v>
      </c>
      <c r="D5218" s="3"/>
      <c r="E5218" s="2" t="str">
        <f>HYPERLINK("https://old.ukr-mobil.com/shlejf_huawei_p20_lite_s_razemom_zaryadki_garnitury_mikrofonom_original_prc_11670", "Перейти")</f>
        <v>Перейти</v>
      </c>
      <c r="F5218" s="2">
        <v>11670</v>
      </c>
      <c r="G5218" s="4" t="s">
        <v>5383</v>
      </c>
      <c r="H5218" s="1">
        <v>0</v>
      </c>
      <c r="I5218" s="1">
        <v>0</v>
      </c>
      <c r="J5218" s="1">
        <v>0</v>
      </c>
      <c r="K5218" s="2">
        <v>3.0</v>
      </c>
    </row>
    <row r="5219" spans="1:12">
      <c r="A5219" s="3" t="s">
        <v>2194</v>
      </c>
      <c r="B5219" s="3" t="s">
        <v>5185</v>
      </c>
      <c r="C5219" s="3" t="s">
        <v>640</v>
      </c>
      <c r="D5219" s="3"/>
      <c r="E5219" s="2" t="str">
        <f>HYPERLINK("https://old.ukr-mobil.com/shlejf_huawei_p40_lite_so_skanerom_otpechatka_original_prc_black_10003359", "Перейти")</f>
        <v>Перейти</v>
      </c>
      <c r="F5219" s="2">
        <v>10003359</v>
      </c>
      <c r="G5219" s="4" t="s">
        <v>5384</v>
      </c>
      <c r="H5219" s="1">
        <v>6</v>
      </c>
      <c r="I5219" s="1">
        <v>0</v>
      </c>
      <c r="J5219" s="1">
        <v>3</v>
      </c>
      <c r="K5219" s="2">
        <v>4.75</v>
      </c>
    </row>
    <row r="5220" spans="1:12">
      <c r="A5220" s="3" t="s">
        <v>2194</v>
      </c>
      <c r="B5220" s="3" t="s">
        <v>5185</v>
      </c>
      <c r="C5220" s="3" t="s">
        <v>640</v>
      </c>
      <c r="D5220" s="3"/>
      <c r="E5220" s="2" t="str">
        <f>HYPERLINK("https://old.ukr-mobil.com/shlejf_huawei_p8_lite_ale_l21_knopka_vklyucheniya_regulirovki_gromkosti_10092", "Перейти")</f>
        <v>Перейти</v>
      </c>
      <c r="F5220" s="2">
        <v>10092</v>
      </c>
      <c r="G5220" s="4" t="s">
        <v>5385</v>
      </c>
      <c r="H5220" s="1">
        <v>0</v>
      </c>
      <c r="I5220" s="1">
        <v>0</v>
      </c>
      <c r="J5220" s="1">
        <v>0</v>
      </c>
      <c r="K5220" s="2">
        <v>2.02</v>
      </c>
    </row>
    <row r="5221" spans="1:12">
      <c r="A5221" s="3" t="s">
        <v>2194</v>
      </c>
      <c r="B5221" s="3" t="s">
        <v>5185</v>
      </c>
      <c r="C5221" s="3" t="s">
        <v>640</v>
      </c>
      <c r="D5221" s="3"/>
      <c r="E5221" s="2" t="str">
        <f>HYPERLINK("https://old.ukr-mobil.com/shlejf_huawei_y320_knopka_vklyuchennya_ta_regulyuvannya_guchnost_10001376", "Перейти")</f>
        <v>Перейти</v>
      </c>
      <c r="F5221" s="2">
        <v>10001376</v>
      </c>
      <c r="G5221" s="4" t="s">
        <v>5386</v>
      </c>
      <c r="H5221" s="1">
        <v>0</v>
      </c>
      <c r="I5221" s="1">
        <v>1</v>
      </c>
      <c r="J5221" s="1">
        <v>0</v>
      </c>
      <c r="K5221" s="2">
        <v>2.5</v>
      </c>
    </row>
    <row r="5222" spans="1:12">
      <c r="A5222" s="3" t="s">
        <v>2194</v>
      </c>
      <c r="B5222" s="3" t="s">
        <v>5185</v>
      </c>
      <c r="C5222" s="3" t="s">
        <v>640</v>
      </c>
      <c r="D5222" s="3"/>
      <c r="E5222" s="2" t="str">
        <f>HYPERLINK("https://old.ukr-mobil.com/shlejf_huawei_y6_2018_atu-l21_y6_prime_2018_honor_7a_pro_konnektora_zaryadki_s_mikrofonom_plata_zaryadki_11671", "Перейти")</f>
        <v>Перейти</v>
      </c>
      <c r="F5222" s="2">
        <v>11671</v>
      </c>
      <c r="G5222" s="4" t="s">
        <v>5387</v>
      </c>
      <c r="H5222" s="1">
        <v>0</v>
      </c>
      <c r="I5222" s="1">
        <v>0</v>
      </c>
      <c r="J5222" s="1">
        <v>0</v>
      </c>
      <c r="K5222" s="2">
        <v>2.17</v>
      </c>
    </row>
    <row r="5223" spans="1:12">
      <c r="A5223" s="3" t="s">
        <v>2194</v>
      </c>
      <c r="B5223" s="3" t="s">
        <v>5185</v>
      </c>
      <c r="C5223" s="3" t="s">
        <v>2761</v>
      </c>
      <c r="D5223" s="3"/>
      <c r="E5223" s="2" t="str">
        <f>HYPERLINK("https://old.ukr-mobil.com/index.php?route=product&amp;product_id=10005125", "Перейти")</f>
        <v>Перейти</v>
      </c>
      <c r="F5223" s="2">
        <v>10005125</v>
      </c>
      <c r="G5223" s="4" t="s">
        <v>5388</v>
      </c>
      <c r="H5223" s="1">
        <v>0</v>
      </c>
      <c r="I5223" s="1">
        <v>3</v>
      </c>
      <c r="J5223" s="1">
        <v>2</v>
      </c>
      <c r="K5223" s="2">
        <v>2.85</v>
      </c>
    </row>
    <row r="5224" spans="1:12">
      <c r="A5224" s="3" t="s">
        <v>2194</v>
      </c>
      <c r="B5224" s="3" t="s">
        <v>5185</v>
      </c>
      <c r="C5224" s="3" t="s">
        <v>1048</v>
      </c>
      <c r="D5224" s="3"/>
      <c r="E5224" s="2" t="str">
        <f>HYPERLINK("https://old.ukr-mobil.com/shlejf_lenovo_a516_knopka_vklyuchennya_original_5960", "Перейти")</f>
        <v>Перейти</v>
      </c>
      <c r="F5224" s="2">
        <v>5960</v>
      </c>
      <c r="G5224" s="4" t="s">
        <v>5389</v>
      </c>
      <c r="H5224" s="1">
        <v>0</v>
      </c>
      <c r="I5224" s="1">
        <v>1</v>
      </c>
      <c r="J5224" s="1">
        <v>0</v>
      </c>
      <c r="K5224" s="2">
        <v>3.28</v>
      </c>
    </row>
    <row r="5225" spans="1:12">
      <c r="A5225" s="3" t="s">
        <v>2194</v>
      </c>
      <c r="B5225" s="3" t="s">
        <v>5185</v>
      </c>
      <c r="C5225" s="3" t="s">
        <v>1048</v>
      </c>
      <c r="D5225" s="3"/>
      <c r="E5225" s="2" t="str">
        <f>HYPERLINK("https://old.ukr-mobil.com/shlejf_lenovo_a516_regulirovki_gromkosti_original_5966", "Перейти")</f>
        <v>Перейти</v>
      </c>
      <c r="F5225" s="2">
        <v>5966</v>
      </c>
      <c r="G5225" s="4" t="s">
        <v>5390</v>
      </c>
      <c r="H5225" s="1">
        <v>0</v>
      </c>
      <c r="I5225" s="1">
        <v>1</v>
      </c>
      <c r="J5225" s="1">
        <v>0</v>
      </c>
      <c r="K5225" s="2">
        <v>3.78</v>
      </c>
    </row>
    <row r="5226" spans="1:12">
      <c r="A5226" s="3" t="s">
        <v>2194</v>
      </c>
      <c r="B5226" s="3" t="s">
        <v>5185</v>
      </c>
      <c r="C5226" s="3" t="s">
        <v>1048</v>
      </c>
      <c r="D5226" s="3"/>
      <c r="E5226" s="2" t="str">
        <f>HYPERLINK("https://old.ukr-mobil.com/shlejf_lenovo_a560_knopka_vklyuchennya_original_5959", "Перейти")</f>
        <v>Перейти</v>
      </c>
      <c r="F5226" s="2">
        <v>5959</v>
      </c>
      <c r="G5226" s="4" t="s">
        <v>5391</v>
      </c>
      <c r="H5226" s="1">
        <v>0</v>
      </c>
      <c r="I5226" s="1">
        <v>1</v>
      </c>
      <c r="J5226" s="1">
        <v>0</v>
      </c>
      <c r="K5226" s="2">
        <v>3.28</v>
      </c>
    </row>
    <row r="5227" spans="1:12">
      <c r="A5227" s="3" t="s">
        <v>2194</v>
      </c>
      <c r="B5227" s="3" t="s">
        <v>5185</v>
      </c>
      <c r="C5227" s="3" t="s">
        <v>1048</v>
      </c>
      <c r="D5227" s="3"/>
      <c r="E5227" s="2" t="str">
        <f>HYPERLINK("https://old.ukr-mobil.com/shlejf_lenovo_a7020_vibe_k5_note_knopka_vklyucheniya_regulirovki_gromkosti_9083", "Перейти")</f>
        <v>Перейти</v>
      </c>
      <c r="F5227" s="2">
        <v>9083</v>
      </c>
      <c r="G5227" s="4" t="s">
        <v>5392</v>
      </c>
      <c r="H5227" s="1">
        <v>0</v>
      </c>
      <c r="I5227" s="1">
        <v>0</v>
      </c>
      <c r="J5227" s="1">
        <v>0</v>
      </c>
      <c r="K5227" s="2">
        <v>1.86</v>
      </c>
    </row>
    <row r="5228" spans="1:12">
      <c r="A5228" s="3" t="s">
        <v>2194</v>
      </c>
      <c r="B5228" s="3" t="s">
        <v>5185</v>
      </c>
      <c r="C5228" s="3" t="s">
        <v>1048</v>
      </c>
      <c r="D5228" s="3"/>
      <c r="E5228" s="2" t="str">
        <f>HYPERLINK("https://old.ukr-mobil.com/shlejf_lenovo_a850_regulirovki_gromkosti_5958", "Перейти")</f>
        <v>Перейти</v>
      </c>
      <c r="F5228" s="2">
        <v>5958</v>
      </c>
      <c r="G5228" s="4" t="s">
        <v>5393</v>
      </c>
      <c r="H5228" s="1">
        <v>0</v>
      </c>
      <c r="I5228" s="1">
        <v>1</v>
      </c>
      <c r="J5228" s="1">
        <v>0</v>
      </c>
      <c r="K5228" s="2">
        <v>1.76</v>
      </c>
    </row>
    <row r="5229" spans="1:12">
      <c r="A5229" s="3" t="s">
        <v>2194</v>
      </c>
      <c r="B5229" s="3" t="s">
        <v>5185</v>
      </c>
      <c r="C5229" s="3" t="s">
        <v>1048</v>
      </c>
      <c r="D5229" s="3"/>
      <c r="E5229" s="2" t="str">
        <f>HYPERLINK("https://old.ukr-mobil.com/shlejf_lenovo_s720_knopka_vklyuchennya_5556", "Перейти")</f>
        <v>Перейти</v>
      </c>
      <c r="F5229" s="2">
        <v>5556</v>
      </c>
      <c r="G5229" s="4" t="s">
        <v>5394</v>
      </c>
      <c r="H5229" s="1">
        <v>0</v>
      </c>
      <c r="I5229" s="1">
        <v>1</v>
      </c>
      <c r="J5229" s="1">
        <v>0</v>
      </c>
      <c r="K5229" s="2">
        <v>3.28</v>
      </c>
    </row>
    <row r="5230" spans="1:12">
      <c r="A5230" s="3" t="s">
        <v>2194</v>
      </c>
      <c r="B5230" s="3" t="s">
        <v>5185</v>
      </c>
      <c r="C5230" s="3" t="s">
        <v>1048</v>
      </c>
      <c r="D5230" s="3"/>
      <c r="E5230" s="2" t="str">
        <f>HYPERLINK("https://old.ukr-mobil.com/shlejf_lenovo_s720_knopki_regulyuvannya_guchnost_5557", "Перейти")</f>
        <v>Перейти</v>
      </c>
      <c r="F5230" s="2">
        <v>5557</v>
      </c>
      <c r="G5230" s="4" t="s">
        <v>5395</v>
      </c>
      <c r="H5230" s="1">
        <v>8</v>
      </c>
      <c r="I5230" s="1">
        <v>2</v>
      </c>
      <c r="J5230" s="1">
        <v>0</v>
      </c>
      <c r="K5230" s="2">
        <v>3.38</v>
      </c>
    </row>
    <row r="5231" spans="1:12">
      <c r="A5231" s="3" t="s">
        <v>2194</v>
      </c>
      <c r="B5231" s="3" t="s">
        <v>5185</v>
      </c>
      <c r="C5231" s="3" t="s">
        <v>1048</v>
      </c>
      <c r="D5231" s="3"/>
      <c r="E5231" s="2" t="str">
        <f>HYPERLINK("https://old.ukr-mobil.com/shlejf_lenovo_s820_knopka_vklyuchennya_5554", "Перейти")</f>
        <v>Перейти</v>
      </c>
      <c r="F5231" s="2">
        <v>5554</v>
      </c>
      <c r="G5231" s="4" t="s">
        <v>5396</v>
      </c>
      <c r="H5231" s="1">
        <v>0</v>
      </c>
      <c r="I5231" s="1">
        <v>0</v>
      </c>
      <c r="J5231" s="1">
        <v>0</v>
      </c>
      <c r="K5231" s="2">
        <v>3.53</v>
      </c>
    </row>
    <row r="5232" spans="1:12">
      <c r="A5232" s="3" t="s">
        <v>2194</v>
      </c>
      <c r="B5232" s="3" t="s">
        <v>5185</v>
      </c>
      <c r="C5232" s="3" t="s">
        <v>1048</v>
      </c>
      <c r="D5232" s="3"/>
      <c r="E5232" s="2" t="str">
        <f>HYPERLINK("https://old.ukr-mobil.com/shlejf_lenovo_s960_knopki_regulyuvannya_guchnost_5558", "Перейти")</f>
        <v>Перейти</v>
      </c>
      <c r="F5232" s="2">
        <v>5558</v>
      </c>
      <c r="G5232" s="4" t="s">
        <v>5397</v>
      </c>
      <c r="H5232" s="1">
        <v>0</v>
      </c>
      <c r="I5232" s="1">
        <v>0</v>
      </c>
      <c r="J5232" s="1">
        <v>0</v>
      </c>
      <c r="K5232" s="2">
        <v>4.03</v>
      </c>
    </row>
    <row r="5233" spans="1:12">
      <c r="A5233" s="3" t="s">
        <v>2194</v>
      </c>
      <c r="B5233" s="3" t="s">
        <v>5185</v>
      </c>
      <c r="C5233" s="3" t="s">
        <v>1056</v>
      </c>
      <c r="D5233" s="3"/>
      <c r="E5233" s="2" t="str">
        <f>HYPERLINK("https://old.ukr-mobil.com/shlejf_lg_d800_g2_d801_g2_d803_optimus_g2_s_konnektorom_zaryadki_naushnikov_mikrofonom_4847", "Перейти")</f>
        <v>Перейти</v>
      </c>
      <c r="F5233" s="2">
        <v>4847</v>
      </c>
      <c r="G5233" s="4" t="s">
        <v>5398</v>
      </c>
      <c r="H5233" s="1">
        <v>0</v>
      </c>
      <c r="I5233" s="1">
        <v>0</v>
      </c>
      <c r="J5233" s="1">
        <v>0</v>
      </c>
      <c r="K5233" s="2">
        <v>11.59</v>
      </c>
    </row>
    <row r="5234" spans="1:12">
      <c r="A5234" s="3" t="s">
        <v>2194</v>
      </c>
      <c r="B5234" s="3" t="s">
        <v>5185</v>
      </c>
      <c r="C5234" s="3" t="s">
        <v>1056</v>
      </c>
      <c r="D5234" s="3"/>
      <c r="E5234" s="2" t="str">
        <f>HYPERLINK("https://old.ukr-mobil.com/shlejf_lg_ku580_orig_nal_2941", "Перейти")</f>
        <v>Перейти</v>
      </c>
      <c r="F5234" s="2">
        <v>2941</v>
      </c>
      <c r="G5234" s="4" t="s">
        <v>5399</v>
      </c>
      <c r="H5234" s="1">
        <v>0</v>
      </c>
      <c r="I5234" s="1">
        <v>0</v>
      </c>
      <c r="J5234" s="1">
        <v>0</v>
      </c>
      <c r="K5234" s="2">
        <v>3.83</v>
      </c>
    </row>
    <row r="5235" spans="1:12">
      <c r="A5235" s="3" t="s">
        <v>2194</v>
      </c>
      <c r="B5235" s="3" t="s">
        <v>5185</v>
      </c>
      <c r="C5235" s="3" t="s">
        <v>1068</v>
      </c>
      <c r="D5235" s="3"/>
      <c r="E5235" s="2" t="str">
        <f>HYPERLINK("https://old.ukr-mobil.com/shlejf_motorola_e6s_xt2053_so_skanerom_otpechatka_original_prc_blue_10003412", "Перейти")</f>
        <v>Перейти</v>
      </c>
      <c r="F5235" s="2">
        <v>10003412</v>
      </c>
      <c r="G5235" s="4" t="s">
        <v>5400</v>
      </c>
      <c r="H5235" s="1">
        <v>10</v>
      </c>
      <c r="I5235" s="1">
        <v>4</v>
      </c>
      <c r="J5235" s="1">
        <v>4</v>
      </c>
      <c r="K5235" s="2">
        <v>3.0</v>
      </c>
    </row>
    <row r="5236" spans="1:12">
      <c r="A5236" s="3" t="s">
        <v>2194</v>
      </c>
      <c r="B5236" s="3" t="s">
        <v>5185</v>
      </c>
      <c r="C5236" s="3" t="s">
        <v>1068</v>
      </c>
      <c r="D5236" s="3"/>
      <c r="E5236" s="2" t="str">
        <f>HYPERLINK("https://old.ukr-mobil.com/shlejf_motorola_e6s_xt2053_so_skanerom_otpechatka_original_prc_grey_10003413", "Перейти")</f>
        <v>Перейти</v>
      </c>
      <c r="F5236" s="2">
        <v>10003413</v>
      </c>
      <c r="G5236" s="4" t="s">
        <v>5401</v>
      </c>
      <c r="H5236" s="1">
        <v>12</v>
      </c>
      <c r="I5236" s="1">
        <v>4</v>
      </c>
      <c r="J5236" s="1">
        <v>4</v>
      </c>
      <c r="K5236" s="2">
        <v>4.2</v>
      </c>
    </row>
    <row r="5237" spans="1:12">
      <c r="A5237" s="3" t="s">
        <v>2194</v>
      </c>
      <c r="B5237" s="3" t="s">
        <v>5185</v>
      </c>
      <c r="C5237" s="3" t="s">
        <v>1068</v>
      </c>
      <c r="D5237" s="3"/>
      <c r="E5237" s="2" t="str">
        <f>HYPERLINK("https://old.ukr-mobil.com/shlejf_motorola_e7_plus_xt2081_e7_power_xt2097_so_skanerom_otpechatka_original_prc_blue_10003354", "Перейти")</f>
        <v>Перейти</v>
      </c>
      <c r="F5237" s="2">
        <v>10003354</v>
      </c>
      <c r="G5237" s="4" t="s">
        <v>5402</v>
      </c>
      <c r="H5237" s="1">
        <v>0</v>
      </c>
      <c r="I5237" s="1">
        <v>0</v>
      </c>
      <c r="J5237" s="1">
        <v>0</v>
      </c>
      <c r="K5237" s="2">
        <v>5.2</v>
      </c>
    </row>
    <row r="5238" spans="1:12">
      <c r="A5238" s="3" t="s">
        <v>2194</v>
      </c>
      <c r="B5238" s="3" t="s">
        <v>5185</v>
      </c>
      <c r="C5238" s="3" t="s">
        <v>1068</v>
      </c>
      <c r="D5238" s="3"/>
      <c r="E5238" s="2" t="str">
        <f>HYPERLINK("https://old.ukr-mobil.com/index.php?route=product&amp;product_id=10005287", "Перейти")</f>
        <v>Перейти</v>
      </c>
      <c r="F5238" s="2">
        <v>10005287</v>
      </c>
      <c r="G5238" s="4" t="s">
        <v>5403</v>
      </c>
      <c r="H5238" s="1">
        <v>8</v>
      </c>
      <c r="I5238" s="1">
        <v>5</v>
      </c>
      <c r="J5238" s="1">
        <v>1</v>
      </c>
      <c r="K5238" s="2">
        <v>3.25</v>
      </c>
    </row>
    <row r="5239" spans="1:12">
      <c r="A5239" s="3" t="s">
        <v>2194</v>
      </c>
      <c r="B5239" s="3" t="s">
        <v>5185</v>
      </c>
      <c r="C5239" s="3" t="s">
        <v>1068</v>
      </c>
      <c r="D5239" s="3"/>
      <c r="E5239" s="2" t="str">
        <f>HYPERLINK("https://old.ukr-mobil.com/index.php?route=product&amp;product_id=10005297", "Перейти")</f>
        <v>Перейти</v>
      </c>
      <c r="F5239" s="2">
        <v>10005297</v>
      </c>
      <c r="G5239" s="4" t="s">
        <v>5404</v>
      </c>
      <c r="H5239" s="1">
        <v>0</v>
      </c>
      <c r="I5239" s="1">
        <v>0</v>
      </c>
      <c r="J5239" s="1">
        <v>0</v>
      </c>
      <c r="K5239" s="2">
        <v>6.5</v>
      </c>
    </row>
    <row r="5240" spans="1:12">
      <c r="A5240" s="3" t="s">
        <v>2194</v>
      </c>
      <c r="B5240" s="3" t="s">
        <v>5185</v>
      </c>
      <c r="C5240" s="3" t="s">
        <v>1068</v>
      </c>
      <c r="D5240" s="3"/>
      <c r="E5240" s="2" t="str">
        <f>HYPERLINK("https://old.ukr-mobil.com/index.php?route=product&amp;product_id=10005299", "Перейти")</f>
        <v>Перейти</v>
      </c>
      <c r="F5240" s="2">
        <v>10005299</v>
      </c>
      <c r="G5240" s="4" t="s">
        <v>5405</v>
      </c>
      <c r="H5240" s="1">
        <v>5</v>
      </c>
      <c r="I5240" s="1">
        <v>3</v>
      </c>
      <c r="J5240" s="1">
        <v>2</v>
      </c>
      <c r="K5240" s="2">
        <v>5.5</v>
      </c>
    </row>
    <row r="5241" spans="1:12">
      <c r="A5241" s="3" t="s">
        <v>2194</v>
      </c>
      <c r="B5241" s="3" t="s">
        <v>5185</v>
      </c>
      <c r="C5241" s="3" t="s">
        <v>1068</v>
      </c>
      <c r="D5241" s="3"/>
      <c r="E5241" s="2" t="str">
        <f>HYPERLINK("https://old.ukr-mobil.com/index.php?route=product&amp;product_id=10005298", "Перейти")</f>
        <v>Перейти</v>
      </c>
      <c r="F5241" s="2">
        <v>10005298</v>
      </c>
      <c r="G5241" s="4" t="s">
        <v>5406</v>
      </c>
      <c r="H5241" s="1">
        <v>6</v>
      </c>
      <c r="I5241" s="1">
        <v>3</v>
      </c>
      <c r="J5241" s="1">
        <v>2</v>
      </c>
      <c r="K5241" s="2">
        <v>6.8</v>
      </c>
    </row>
    <row r="5242" spans="1:12">
      <c r="A5242" s="3" t="s">
        <v>2194</v>
      </c>
      <c r="B5242" s="3" t="s">
        <v>5185</v>
      </c>
      <c r="C5242" s="3" t="s">
        <v>1068</v>
      </c>
      <c r="D5242" s="3"/>
      <c r="E5242" s="2" t="str">
        <f>HYPERLINK("https://old.ukr-mobil.com/index.php?route=product&amp;product_id=10005081", "Перейти")</f>
        <v>Перейти</v>
      </c>
      <c r="F5242" s="2">
        <v>10005081</v>
      </c>
      <c r="G5242" s="4" t="s">
        <v>5407</v>
      </c>
      <c r="H5242" s="1">
        <v>0</v>
      </c>
      <c r="I5242" s="1">
        <v>0</v>
      </c>
      <c r="J5242" s="1">
        <v>0</v>
      </c>
      <c r="K5242" s="2">
        <v>1.1</v>
      </c>
    </row>
    <row r="5243" spans="1:12">
      <c r="A5243" s="3" t="s">
        <v>2194</v>
      </c>
      <c r="B5243" s="3" t="s">
        <v>5185</v>
      </c>
      <c r="C5243" s="3" t="s">
        <v>1068</v>
      </c>
      <c r="D5243" s="3"/>
      <c r="E5243" s="2" t="str">
        <f>HYPERLINK("https://old.ukr-mobil.com/index.php?route=product&amp;product_id=10005055", "Перейти")</f>
        <v>Перейти</v>
      </c>
      <c r="F5243" s="2">
        <v>10005055</v>
      </c>
      <c r="G5243" s="4" t="s">
        <v>5408</v>
      </c>
      <c r="H5243" s="1">
        <v>0</v>
      </c>
      <c r="I5243" s="1">
        <v>0</v>
      </c>
      <c r="J5243" s="1">
        <v>0</v>
      </c>
      <c r="K5243" s="2">
        <v>6.0</v>
      </c>
    </row>
    <row r="5244" spans="1:12">
      <c r="A5244" s="3" t="s">
        <v>2194</v>
      </c>
      <c r="B5244" s="3" t="s">
        <v>5185</v>
      </c>
      <c r="C5244" s="3" t="s">
        <v>1068</v>
      </c>
      <c r="D5244" s="3"/>
      <c r="E5244" s="2" t="str">
        <f>HYPERLINK("https://old.ukr-mobil.com/index.php?route=product&amp;product_id=10004948", "Перейти")</f>
        <v>Перейти</v>
      </c>
      <c r="F5244" s="2">
        <v>10004948</v>
      </c>
      <c r="G5244" s="4" t="s">
        <v>5409</v>
      </c>
      <c r="H5244" s="1">
        <v>0</v>
      </c>
      <c r="I5244" s="1">
        <v>0</v>
      </c>
      <c r="J5244" s="1">
        <v>0</v>
      </c>
      <c r="K5244" s="2">
        <v>6.35</v>
      </c>
    </row>
    <row r="5245" spans="1:12">
      <c r="A5245" s="3" t="s">
        <v>2194</v>
      </c>
      <c r="B5245" s="3" t="s">
        <v>5185</v>
      </c>
      <c r="C5245" s="3" t="s">
        <v>1068</v>
      </c>
      <c r="D5245" s="3"/>
      <c r="E5245" s="2" t="str">
        <f>HYPERLINK("https://old.ukr-mobil.com/index.php?route=product&amp;product_id=10005080", "Перейти")</f>
        <v>Перейти</v>
      </c>
      <c r="F5245" s="2">
        <v>10005080</v>
      </c>
      <c r="G5245" s="4" t="s">
        <v>5410</v>
      </c>
      <c r="H5245" s="1">
        <v>2</v>
      </c>
      <c r="I5245" s="1">
        <v>1</v>
      </c>
      <c r="J5245" s="1">
        <v>1</v>
      </c>
      <c r="K5245" s="2">
        <v>0.95</v>
      </c>
    </row>
    <row r="5246" spans="1:12">
      <c r="A5246" s="3" t="s">
        <v>2194</v>
      </c>
      <c r="B5246" s="3" t="s">
        <v>5185</v>
      </c>
      <c r="C5246" s="3" t="s">
        <v>1068</v>
      </c>
      <c r="D5246" s="3"/>
      <c r="E5246" s="2" t="str">
        <f>HYPERLINK("https://old.ukr-mobil.com/index.php?route=product&amp;product_id=10005045", "Перейти")</f>
        <v>Перейти</v>
      </c>
      <c r="F5246" s="2">
        <v>10005045</v>
      </c>
      <c r="G5246" s="4" t="s">
        <v>5411</v>
      </c>
      <c r="H5246" s="1">
        <v>1</v>
      </c>
      <c r="I5246" s="1">
        <v>0</v>
      </c>
      <c r="J5246" s="1">
        <v>0</v>
      </c>
      <c r="K5246" s="2">
        <v>2.61</v>
      </c>
    </row>
    <row r="5247" spans="1:12">
      <c r="A5247" s="3" t="s">
        <v>2194</v>
      </c>
      <c r="B5247" s="3" t="s">
        <v>5185</v>
      </c>
      <c r="C5247" s="3" t="s">
        <v>1068</v>
      </c>
      <c r="D5247" s="3"/>
      <c r="E5247" s="2" t="str">
        <f>HYPERLINK("https://old.ukr-mobil.com/index.php?route=product&amp;product_id=10004988", "Перейти")</f>
        <v>Перейти</v>
      </c>
      <c r="F5247" s="2">
        <v>10004988</v>
      </c>
      <c r="G5247" s="4" t="s">
        <v>5412</v>
      </c>
      <c r="H5247" s="1">
        <v>0</v>
      </c>
      <c r="I5247" s="1">
        <v>0</v>
      </c>
      <c r="J5247" s="1">
        <v>0</v>
      </c>
      <c r="K5247" s="2">
        <v>6.5</v>
      </c>
    </row>
    <row r="5248" spans="1:12">
      <c r="A5248" s="3" t="s">
        <v>2194</v>
      </c>
      <c r="B5248" s="3" t="s">
        <v>5185</v>
      </c>
      <c r="C5248" s="3" t="s">
        <v>1068</v>
      </c>
      <c r="D5248" s="3"/>
      <c r="E5248" s="2" t="str">
        <f>HYPERLINK("https://old.ukr-mobil.com/shlejf_motorola_g8_power_xt2041_so_skanerom_otpechatka_original_prc_black_10003356", "Перейти")</f>
        <v>Перейти</v>
      </c>
      <c r="F5248" s="2">
        <v>10003356</v>
      </c>
      <c r="G5248" s="4" t="s">
        <v>5413</v>
      </c>
      <c r="H5248" s="1">
        <v>5</v>
      </c>
      <c r="I5248" s="1">
        <v>4</v>
      </c>
      <c r="J5248" s="1">
        <v>3</v>
      </c>
      <c r="K5248" s="2">
        <v>5.0</v>
      </c>
    </row>
    <row r="5249" spans="1:12">
      <c r="A5249" s="3" t="s">
        <v>2194</v>
      </c>
      <c r="B5249" s="3" t="s">
        <v>5185</v>
      </c>
      <c r="C5249" s="3" t="s">
        <v>1068</v>
      </c>
      <c r="D5249" s="3"/>
      <c r="E5249" s="2" t="str">
        <f>HYPERLINK("https://old.ukr-mobil.com/shlejf_motorola_g9_plus_xt2087_so_skanerom_otpechatka_original_prc_blue_10003353", "Перейти")</f>
        <v>Перейти</v>
      </c>
      <c r="F5249" s="2">
        <v>10003353</v>
      </c>
      <c r="G5249" s="4" t="s">
        <v>5414</v>
      </c>
      <c r="H5249" s="1">
        <v>1</v>
      </c>
      <c r="I5249" s="1">
        <v>3</v>
      </c>
      <c r="J5249" s="1">
        <v>2</v>
      </c>
      <c r="K5249" s="2">
        <v>6.25</v>
      </c>
    </row>
    <row r="5250" spans="1:12">
      <c r="A5250" s="3" t="s">
        <v>2194</v>
      </c>
      <c r="B5250" s="3" t="s">
        <v>5185</v>
      </c>
      <c r="C5250" s="3" t="s">
        <v>1068</v>
      </c>
      <c r="D5250" s="3"/>
      <c r="E5250" s="2" t="str">
        <f>HYPERLINK("https://old.ukr-mobil.com/shlejf_motorola_g9_power_xt2091-3_xt2091-4_so_skanerom_otpechatka_original_prc_green_10003352", "Перейти")</f>
        <v>Перейти</v>
      </c>
      <c r="F5250" s="2">
        <v>10003352</v>
      </c>
      <c r="G5250" s="4" t="s">
        <v>5415</v>
      </c>
      <c r="H5250" s="1">
        <v>0</v>
      </c>
      <c r="I5250" s="1">
        <v>0</v>
      </c>
      <c r="J5250" s="1">
        <v>0</v>
      </c>
      <c r="K5250" s="2">
        <v>4.5</v>
      </c>
    </row>
    <row r="5251" spans="1:12">
      <c r="A5251" s="3" t="s">
        <v>2194</v>
      </c>
      <c r="B5251" s="3" t="s">
        <v>5185</v>
      </c>
      <c r="C5251" s="3" t="s">
        <v>1068</v>
      </c>
      <c r="D5251" s="3"/>
      <c r="E5251" s="2" t="str">
        <f>HYPERLINK("https://old.ukr-mobil.com/index.php?route=product&amp;product_id=10005293", "Перейти")</f>
        <v>Перейти</v>
      </c>
      <c r="F5251" s="2">
        <v>10005293</v>
      </c>
      <c r="G5251" s="4" t="s">
        <v>5416</v>
      </c>
      <c r="H5251" s="1">
        <v>9</v>
      </c>
      <c r="I5251" s="1">
        <v>4</v>
      </c>
      <c r="J5251" s="1">
        <v>3</v>
      </c>
      <c r="K5251" s="2">
        <v>3.9</v>
      </c>
    </row>
    <row r="5252" spans="1:12">
      <c r="A5252" s="3" t="s">
        <v>2194</v>
      </c>
      <c r="B5252" s="3" t="s">
        <v>5185</v>
      </c>
      <c r="C5252" s="3" t="s">
        <v>1068</v>
      </c>
      <c r="D5252" s="3"/>
      <c r="E5252" s="2" t="str">
        <f>HYPERLINK("https://old.ukr-mobil.com/index.php?route=product&amp;product_id=10005294", "Перейти")</f>
        <v>Перейти</v>
      </c>
      <c r="F5252" s="2">
        <v>10005294</v>
      </c>
      <c r="G5252" s="4" t="s">
        <v>5417</v>
      </c>
      <c r="H5252" s="1">
        <v>9</v>
      </c>
      <c r="I5252" s="1">
        <v>5</v>
      </c>
      <c r="J5252" s="1">
        <v>5</v>
      </c>
      <c r="K5252" s="2">
        <v>3.9</v>
      </c>
    </row>
    <row r="5253" spans="1:12">
      <c r="A5253" s="3" t="s">
        <v>2194</v>
      </c>
      <c r="B5253" s="3" t="s">
        <v>5185</v>
      </c>
      <c r="C5253" s="3" t="s">
        <v>1068</v>
      </c>
      <c r="D5253" s="3"/>
      <c r="E5253" s="2" t="str">
        <f>HYPERLINK("https://old.ukr-mobil.com/index.php?route=product&amp;product_id=10005295", "Перейти")</f>
        <v>Перейти</v>
      </c>
      <c r="F5253" s="2">
        <v>10005295</v>
      </c>
      <c r="G5253" s="4" t="s">
        <v>5418</v>
      </c>
      <c r="H5253" s="1">
        <v>7</v>
      </c>
      <c r="I5253" s="1">
        <v>4</v>
      </c>
      <c r="J5253" s="1">
        <v>4</v>
      </c>
      <c r="K5253" s="2">
        <v>3.9</v>
      </c>
    </row>
    <row r="5254" spans="1:12">
      <c r="A5254" s="3" t="s">
        <v>2194</v>
      </c>
      <c r="B5254" s="3" t="s">
        <v>5185</v>
      </c>
      <c r="C5254" s="3" t="s">
        <v>1068</v>
      </c>
      <c r="D5254" s="3"/>
      <c r="E5254" s="2" t="str">
        <f>HYPERLINK("https://old.ukr-mobil.com/index.php?route=product&amp;product_id=10005290", "Перейти")</f>
        <v>Перейти</v>
      </c>
      <c r="F5254" s="2">
        <v>10005290</v>
      </c>
      <c r="G5254" s="4" t="s">
        <v>5419</v>
      </c>
      <c r="H5254" s="1">
        <v>10</v>
      </c>
      <c r="I5254" s="1">
        <v>4</v>
      </c>
      <c r="J5254" s="1">
        <v>4</v>
      </c>
      <c r="K5254" s="2">
        <v>3.0</v>
      </c>
    </row>
    <row r="5255" spans="1:12">
      <c r="A5255" s="3" t="s">
        <v>2194</v>
      </c>
      <c r="B5255" s="3" t="s">
        <v>5185</v>
      </c>
      <c r="C5255" s="3" t="s">
        <v>1068</v>
      </c>
      <c r="D5255" s="3"/>
      <c r="E5255" s="2" t="str">
        <f>HYPERLINK("https://old.ukr-mobil.com/index.php?route=product&amp;product_id=10005289", "Перейти")</f>
        <v>Перейти</v>
      </c>
      <c r="F5255" s="2">
        <v>10005289</v>
      </c>
      <c r="G5255" s="4" t="s">
        <v>5420</v>
      </c>
      <c r="H5255" s="1">
        <v>9</v>
      </c>
      <c r="I5255" s="1">
        <v>5</v>
      </c>
      <c r="J5255" s="1">
        <v>5</v>
      </c>
      <c r="K5255" s="2">
        <v>3.0</v>
      </c>
    </row>
    <row r="5256" spans="1:12">
      <c r="A5256" s="3" t="s">
        <v>2194</v>
      </c>
      <c r="B5256" s="3" t="s">
        <v>5185</v>
      </c>
      <c r="C5256" s="3" t="s">
        <v>1068</v>
      </c>
      <c r="D5256" s="3"/>
      <c r="E5256" s="2" t="str">
        <f>HYPERLINK("https://old.ukr-mobil.com/index.php?route=product&amp;product_id=10005288", "Перейти")</f>
        <v>Перейти</v>
      </c>
      <c r="F5256" s="2">
        <v>10005288</v>
      </c>
      <c r="G5256" s="4" t="s">
        <v>5421</v>
      </c>
      <c r="H5256" s="1">
        <v>4</v>
      </c>
      <c r="I5256" s="1">
        <v>2</v>
      </c>
      <c r="J5256" s="1">
        <v>4</v>
      </c>
      <c r="K5256" s="2">
        <v>3.3</v>
      </c>
    </row>
    <row r="5257" spans="1:12">
      <c r="A5257" s="3" t="s">
        <v>2194</v>
      </c>
      <c r="B5257" s="3" t="s">
        <v>5185</v>
      </c>
      <c r="C5257" s="3" t="s">
        <v>1068</v>
      </c>
      <c r="D5257" s="3"/>
      <c r="E5257" s="2" t="str">
        <f>HYPERLINK("https://old.ukr-mobil.com/index.php?route=product&amp;product_id=10005291", "Перейти")</f>
        <v>Перейти</v>
      </c>
      <c r="F5257" s="2">
        <v>10005291</v>
      </c>
      <c r="G5257" s="4" t="s">
        <v>5422</v>
      </c>
      <c r="H5257" s="1">
        <v>7</v>
      </c>
      <c r="I5257" s="1">
        <v>4</v>
      </c>
      <c r="J5257" s="1">
        <v>5</v>
      </c>
      <c r="K5257" s="2">
        <v>2.9</v>
      </c>
    </row>
    <row r="5258" spans="1:12">
      <c r="A5258" s="3" t="s">
        <v>2194</v>
      </c>
      <c r="B5258" s="3" t="s">
        <v>5185</v>
      </c>
      <c r="C5258" s="3" t="s">
        <v>1068</v>
      </c>
      <c r="D5258" s="3"/>
      <c r="E5258" s="2" t="str">
        <f>HYPERLINK("https://old.ukr-mobil.com/index.php?route=product&amp;product_id=10005292", "Перейти")</f>
        <v>Перейти</v>
      </c>
      <c r="F5258" s="2">
        <v>10005292</v>
      </c>
      <c r="G5258" s="4" t="s">
        <v>5423</v>
      </c>
      <c r="H5258" s="1">
        <v>6</v>
      </c>
      <c r="I5258" s="1">
        <v>2</v>
      </c>
      <c r="J5258" s="1">
        <v>4</v>
      </c>
      <c r="K5258" s="2">
        <v>2.9</v>
      </c>
    </row>
    <row r="5259" spans="1:12">
      <c r="A5259" s="3" t="s">
        <v>2194</v>
      </c>
      <c r="B5259" s="3" t="s">
        <v>5185</v>
      </c>
      <c r="C5259" s="3" t="s">
        <v>1068</v>
      </c>
      <c r="D5259" s="3"/>
      <c r="E5259" s="2" t="str">
        <f>HYPERLINK("https://old.ukr-mobil.com/index.php?route=product&amp;product_id=10005296", "Перейти")</f>
        <v>Перейти</v>
      </c>
      <c r="F5259" s="2">
        <v>10005296</v>
      </c>
      <c r="G5259" s="4" t="s">
        <v>5424</v>
      </c>
      <c r="H5259" s="1">
        <v>10</v>
      </c>
      <c r="I5259" s="1">
        <v>5</v>
      </c>
      <c r="J5259" s="1">
        <v>3</v>
      </c>
      <c r="K5259" s="2">
        <v>4.0</v>
      </c>
    </row>
    <row r="5260" spans="1:12">
      <c r="A5260" s="3" t="s">
        <v>2194</v>
      </c>
      <c r="B5260" s="3" t="s">
        <v>5185</v>
      </c>
      <c r="C5260" s="3" t="s">
        <v>1068</v>
      </c>
      <c r="D5260" s="3"/>
      <c r="E5260" s="2" t="str">
        <f>HYPERLINK("https://old.ukr-mobil.com/index.php?route=product&amp;product_id=10005300", "Перейти")</f>
        <v>Перейти</v>
      </c>
      <c r="F5260" s="2">
        <v>10005300</v>
      </c>
      <c r="G5260" s="4" t="s">
        <v>5425</v>
      </c>
      <c r="H5260" s="1">
        <v>0</v>
      </c>
      <c r="I5260" s="1">
        <v>0</v>
      </c>
      <c r="J5260" s="1">
        <v>0</v>
      </c>
      <c r="K5260" s="2">
        <v>4.5</v>
      </c>
    </row>
    <row r="5261" spans="1:12">
      <c r="A5261" s="3" t="s">
        <v>2194</v>
      </c>
      <c r="B5261" s="3" t="s">
        <v>5185</v>
      </c>
      <c r="C5261" s="3" t="s">
        <v>1068</v>
      </c>
      <c r="D5261" s="3"/>
      <c r="E5261" s="2" t="str">
        <f>HYPERLINK("https://old.ukr-mobil.com/shlejf_motorola_one_action_xt2013_onevision_xt1970_so_skanerom_otpechatka_original_prc_black_10003355", "Перейти")</f>
        <v>Перейти</v>
      </c>
      <c r="F5261" s="2">
        <v>10003355</v>
      </c>
      <c r="G5261" s="4" t="s">
        <v>5426</v>
      </c>
      <c r="H5261" s="1">
        <v>2</v>
      </c>
      <c r="I5261" s="1">
        <v>1</v>
      </c>
      <c r="J5261" s="1">
        <v>0</v>
      </c>
      <c r="K5261" s="2">
        <v>5.5</v>
      </c>
    </row>
    <row r="5262" spans="1:12">
      <c r="A5262" s="3" t="s">
        <v>2194</v>
      </c>
      <c r="B5262" s="3" t="s">
        <v>5185</v>
      </c>
      <c r="C5262" s="3" t="s">
        <v>1068</v>
      </c>
      <c r="D5262" s="3"/>
      <c r="E5262" s="2" t="str">
        <f>HYPERLINK("https://old.ukr-mobil.com/shlejf_motorola_xt1941-4_moto_one_xt1941-2_moto_p30_play_s_razemom_zaryadki_mikrofonom_high_copy_10002348", "Перейти")</f>
        <v>Перейти</v>
      </c>
      <c r="F5262" s="2">
        <v>10002348</v>
      </c>
      <c r="G5262" s="4" t="s">
        <v>5427</v>
      </c>
      <c r="H5262" s="1">
        <v>0</v>
      </c>
      <c r="I5262" s="1">
        <v>0</v>
      </c>
      <c r="J5262" s="1">
        <v>0</v>
      </c>
      <c r="K5262" s="2">
        <v>3.0</v>
      </c>
    </row>
    <row r="5263" spans="1:12">
      <c r="A5263" s="3" t="s">
        <v>2194</v>
      </c>
      <c r="B5263" s="3" t="s">
        <v>5185</v>
      </c>
      <c r="C5263" s="3" t="s">
        <v>1068</v>
      </c>
      <c r="D5263" s="3"/>
      <c r="E5263" s="2" t="str">
        <f>HYPERLINK("https://old.ukr-mobil.com/shlejf_motorola_xt2013_moto_one_action_xt1970_moto_one_vision_s_razemom_zaryadki_mikrofonom_high_copy_10002347", "Перейти")</f>
        <v>Перейти</v>
      </c>
      <c r="F5263" s="2">
        <v>10002347</v>
      </c>
      <c r="G5263" s="4" t="s">
        <v>5428</v>
      </c>
      <c r="H5263" s="1">
        <v>0</v>
      </c>
      <c r="I5263" s="1">
        <v>0</v>
      </c>
      <c r="J5263" s="1">
        <v>0</v>
      </c>
      <c r="K5263" s="2">
        <v>3.0</v>
      </c>
    </row>
    <row r="5264" spans="1:12">
      <c r="A5264" s="3" t="s">
        <v>2194</v>
      </c>
      <c r="B5264" s="3" t="s">
        <v>5185</v>
      </c>
      <c r="C5264" s="3" t="s">
        <v>1086</v>
      </c>
      <c r="D5264" s="3"/>
      <c r="E5264" s="2" t="str">
        <f>HYPERLINK("https://old.ukr-mobil.com/shlejf_nokia_3_1_plus_s_razemom_zaryadki_mikrofonom_plata_zaryadki_10001118", "Перейти")</f>
        <v>Перейти</v>
      </c>
      <c r="F5264" s="2">
        <v>10001118</v>
      </c>
      <c r="G5264" s="4" t="s">
        <v>5429</v>
      </c>
      <c r="H5264" s="1">
        <v>0</v>
      </c>
      <c r="I5264" s="1">
        <v>0</v>
      </c>
      <c r="J5264" s="1">
        <v>0</v>
      </c>
      <c r="K5264" s="2">
        <v>1.85</v>
      </c>
    </row>
    <row r="5265" spans="1:12">
      <c r="A5265" s="3" t="s">
        <v>2194</v>
      </c>
      <c r="B5265" s="3" t="s">
        <v>5185</v>
      </c>
      <c r="C5265" s="3" t="s">
        <v>1086</v>
      </c>
      <c r="D5265" s="3"/>
      <c r="E5265" s="2" t="str">
        <f>HYPERLINK("https://old.ukr-mobil.com/shlejf_nokia_3_1_s_razemom_zaryadki_mikrofonom_plata_zaryadki_10001117", "Перейти")</f>
        <v>Перейти</v>
      </c>
      <c r="F5265" s="2">
        <v>10001117</v>
      </c>
      <c r="G5265" s="4" t="s">
        <v>5430</v>
      </c>
      <c r="H5265" s="1">
        <v>2</v>
      </c>
      <c r="I5265" s="1">
        <v>2</v>
      </c>
      <c r="J5265" s="1">
        <v>1</v>
      </c>
      <c r="K5265" s="2">
        <v>2.5</v>
      </c>
    </row>
    <row r="5266" spans="1:12">
      <c r="A5266" s="3" t="s">
        <v>2194</v>
      </c>
      <c r="B5266" s="3" t="s">
        <v>5185</v>
      </c>
      <c r="C5266" s="3" t="s">
        <v>1086</v>
      </c>
      <c r="D5266" s="3"/>
      <c r="E5266" s="2" t="str">
        <f>HYPERLINK("https://old.ukr-mobil.com/shlejf_nokia_5_dual_sim_konnektora_zaryadki_s_mikrofonom_plata_zaryadki_11672", "Перейти")</f>
        <v>Перейти</v>
      </c>
      <c r="F5266" s="2">
        <v>11672</v>
      </c>
      <c r="G5266" s="4" t="s">
        <v>5431</v>
      </c>
      <c r="H5266" s="1">
        <v>0</v>
      </c>
      <c r="I5266" s="1">
        <v>0</v>
      </c>
      <c r="J5266" s="1">
        <v>0</v>
      </c>
      <c r="K5266" s="2">
        <v>2.0</v>
      </c>
    </row>
    <row r="5267" spans="1:12">
      <c r="A5267" s="3" t="s">
        <v>2194</v>
      </c>
      <c r="B5267" s="3" t="s">
        <v>5185</v>
      </c>
      <c r="C5267" s="3" t="s">
        <v>1086</v>
      </c>
      <c r="D5267" s="3"/>
      <c r="E5267" s="2" t="str">
        <f>HYPERLINK("https://old.ukr-mobil.com/shlejf_nokia_6_dual_sim_konnektora_zaryadki_s_mikrofonom_plata_zaryadki_11673", "Перейти")</f>
        <v>Перейти</v>
      </c>
      <c r="F5267" s="2">
        <v>11673</v>
      </c>
      <c r="G5267" s="4" t="s">
        <v>5432</v>
      </c>
      <c r="H5267" s="1">
        <v>0</v>
      </c>
      <c r="I5267" s="1">
        <v>0</v>
      </c>
      <c r="J5267" s="1">
        <v>0</v>
      </c>
      <c r="K5267" s="2">
        <v>2.4</v>
      </c>
    </row>
    <row r="5268" spans="1:12">
      <c r="A5268" s="3" t="s">
        <v>2194</v>
      </c>
      <c r="B5268" s="3" t="s">
        <v>5185</v>
      </c>
      <c r="C5268" s="3" t="s">
        <v>1086</v>
      </c>
      <c r="D5268" s="3"/>
      <c r="E5268" s="2" t="str">
        <f>HYPERLINK("https://old.ukr-mobil.com/shlejf_nokia_6_1_plus_s_razemom_zaryadki_mikrofonom_plata_zaryadki_10001119", "Перейти")</f>
        <v>Перейти</v>
      </c>
      <c r="F5268" s="2">
        <v>10001119</v>
      </c>
      <c r="G5268" s="4" t="s">
        <v>5433</v>
      </c>
      <c r="H5268" s="1">
        <v>0</v>
      </c>
      <c r="I5268" s="1">
        <v>0</v>
      </c>
      <c r="J5268" s="1">
        <v>0</v>
      </c>
      <c r="K5268" s="2">
        <v>2.15</v>
      </c>
    </row>
    <row r="5269" spans="1:12">
      <c r="A5269" s="3" t="s">
        <v>2194</v>
      </c>
      <c r="B5269" s="3" t="s">
        <v>5185</v>
      </c>
      <c r="C5269" s="3" t="s">
        <v>1086</v>
      </c>
      <c r="D5269" s="3"/>
      <c r="E5269" s="2" t="str">
        <f>HYPERLINK("https://old.ukr-mobil.com/shlejf_nokia_6_1_s_razemom_zaryadki_mikrofonom_plata_zaryadki_10001120", "Перейти")</f>
        <v>Перейти</v>
      </c>
      <c r="F5269" s="2">
        <v>10001120</v>
      </c>
      <c r="G5269" s="4" t="s">
        <v>5434</v>
      </c>
      <c r="H5269" s="1">
        <v>0</v>
      </c>
      <c r="I5269" s="1">
        <v>0</v>
      </c>
      <c r="J5269" s="1">
        <v>0</v>
      </c>
      <c r="K5269" s="2">
        <v>2.15</v>
      </c>
    </row>
    <row r="5270" spans="1:12">
      <c r="A5270" s="3" t="s">
        <v>2194</v>
      </c>
      <c r="B5270" s="3" t="s">
        <v>5185</v>
      </c>
      <c r="C5270" s="3" t="s">
        <v>796</v>
      </c>
      <c r="D5270" s="3"/>
      <c r="E5270" s="2" t="str">
        <f>HYPERLINK("https://old.ukr-mobil.com/shlejf_oppo_a12_cph2083_cph2077_s_razemom_zaryadki_garnitury_mikrofonom_high_copy_10002350", "Перейти")</f>
        <v>Перейти</v>
      </c>
      <c r="F5270" s="2">
        <v>10002350</v>
      </c>
      <c r="G5270" s="4" t="s">
        <v>5435</v>
      </c>
      <c r="H5270" s="1">
        <v>8</v>
      </c>
      <c r="I5270" s="1">
        <v>3</v>
      </c>
      <c r="J5270" s="1">
        <v>1</v>
      </c>
      <c r="K5270" s="2">
        <v>2.0</v>
      </c>
    </row>
    <row r="5271" spans="1:12">
      <c r="A5271" s="3" t="s">
        <v>2194</v>
      </c>
      <c r="B5271" s="3" t="s">
        <v>5185</v>
      </c>
      <c r="C5271" s="3" t="s">
        <v>796</v>
      </c>
      <c r="D5271" s="3"/>
      <c r="E5271" s="2" t="str">
        <f>HYPERLINK("https://old.ukr-mobil.com/shlejf_oppo_a15_cph2185_a15s_cph2179_mezhplatnyj_high_copy_10002353", "Перейти")</f>
        <v>Перейти</v>
      </c>
      <c r="F5271" s="2">
        <v>10002353</v>
      </c>
      <c r="G5271" s="4" t="s">
        <v>5436</v>
      </c>
      <c r="H5271" s="1">
        <v>3</v>
      </c>
      <c r="I5271" s="1">
        <v>2</v>
      </c>
      <c r="J5271" s="1">
        <v>1</v>
      </c>
      <c r="K5271" s="2">
        <v>2.2</v>
      </c>
    </row>
    <row r="5272" spans="1:12">
      <c r="A5272" s="3" t="s">
        <v>2194</v>
      </c>
      <c r="B5272" s="3" t="s">
        <v>5185</v>
      </c>
      <c r="C5272" s="3" t="s">
        <v>796</v>
      </c>
      <c r="D5272" s="3"/>
      <c r="E5272" s="2" t="str">
        <f>HYPERLINK("https://old.ukr-mobil.com/shlejf_oppo_a15_cph2185_a15s_cph2179_s_knopkoj_vklyucheniya_regulirovki_gromkosti_high_copy_10002354", "Перейти")</f>
        <v>Перейти</v>
      </c>
      <c r="F5272" s="2">
        <v>10002354</v>
      </c>
      <c r="G5272" s="4" t="s">
        <v>5437</v>
      </c>
      <c r="H5272" s="1">
        <v>0</v>
      </c>
      <c r="I5272" s="1">
        <v>0</v>
      </c>
      <c r="J5272" s="1">
        <v>0</v>
      </c>
      <c r="K5272" s="2">
        <v>1.6</v>
      </c>
    </row>
    <row r="5273" spans="1:12">
      <c r="A5273" s="3" t="s">
        <v>2194</v>
      </c>
      <c r="B5273" s="3" t="s">
        <v>5185</v>
      </c>
      <c r="C5273" s="3" t="s">
        <v>796</v>
      </c>
      <c r="D5273" s="3"/>
      <c r="E5273" s="2" t="str">
        <f>HYPERLINK("https://old.ukr-mobil.com/shlejf_oppo_a15_cph2185_a15s_cph2179_s_razemom_zaryadki_garnitury_mikrofonom_high_copy_10002351", "Перейти")</f>
        <v>Перейти</v>
      </c>
      <c r="F5273" s="2">
        <v>10002351</v>
      </c>
      <c r="G5273" s="4" t="s">
        <v>5438</v>
      </c>
      <c r="H5273" s="1">
        <v>4</v>
      </c>
      <c r="I5273" s="1">
        <v>3</v>
      </c>
      <c r="J5273" s="1">
        <v>4</v>
      </c>
      <c r="K5273" s="2">
        <v>2.25</v>
      </c>
    </row>
    <row r="5274" spans="1:12">
      <c r="A5274" s="3" t="s">
        <v>2194</v>
      </c>
      <c r="B5274" s="3" t="s">
        <v>5185</v>
      </c>
      <c r="C5274" s="3" t="s">
        <v>796</v>
      </c>
      <c r="D5274" s="3"/>
      <c r="E5274" s="2" t="str">
        <f>HYPERLINK("https://old.ukr-mobil.com/shlejf_oppo_a15_cph2185_a15s_cph2179_s_razemom_zaryadki_garnitury_mikrofonom_original_10002352", "Перейти")</f>
        <v>Перейти</v>
      </c>
      <c r="F5274" s="2">
        <v>10002352</v>
      </c>
      <c r="G5274" s="4" t="s">
        <v>5439</v>
      </c>
      <c r="H5274" s="1">
        <v>0</v>
      </c>
      <c r="I5274" s="1">
        <v>2</v>
      </c>
      <c r="J5274" s="1">
        <v>1</v>
      </c>
      <c r="K5274" s="2">
        <v>6.25</v>
      </c>
    </row>
    <row r="5275" spans="1:12">
      <c r="A5275" s="3" t="s">
        <v>2194</v>
      </c>
      <c r="B5275" s="3" t="s">
        <v>5185</v>
      </c>
      <c r="C5275" s="3" t="s">
        <v>796</v>
      </c>
      <c r="D5275" s="3"/>
      <c r="E5275" s="2" t="str">
        <f>HYPERLINK("https://old.ukr-mobil.com/shlejf_oppo_a5_2020_a9_2020_mezhplatnyj_high_copy_10002357", "Перейти")</f>
        <v>Перейти</v>
      </c>
      <c r="F5275" s="2">
        <v>10002357</v>
      </c>
      <c r="G5275" s="4" t="s">
        <v>5440</v>
      </c>
      <c r="H5275" s="1">
        <v>12</v>
      </c>
      <c r="I5275" s="1">
        <v>2</v>
      </c>
      <c r="J5275" s="1">
        <v>2</v>
      </c>
      <c r="K5275" s="2">
        <v>3.0</v>
      </c>
    </row>
    <row r="5276" spans="1:12">
      <c r="A5276" s="3" t="s">
        <v>2194</v>
      </c>
      <c r="B5276" s="3" t="s">
        <v>5185</v>
      </c>
      <c r="C5276" s="3" t="s">
        <v>796</v>
      </c>
      <c r="D5276" s="3"/>
      <c r="E5276" s="2" t="str">
        <f>HYPERLINK("https://old.ukr-mobil.com/shlejf_oppo_a5_2020_a9_2020_s_razemom_zaryadki_garnitury_mikrofonom_high_copy_10002355", "Перейти")</f>
        <v>Перейти</v>
      </c>
      <c r="F5276" s="2">
        <v>10002355</v>
      </c>
      <c r="G5276" s="4" t="s">
        <v>5441</v>
      </c>
      <c r="H5276" s="1">
        <v>0</v>
      </c>
      <c r="I5276" s="1">
        <v>0</v>
      </c>
      <c r="J5276" s="1">
        <v>0</v>
      </c>
      <c r="K5276" s="2">
        <v>3.0</v>
      </c>
    </row>
    <row r="5277" spans="1:12">
      <c r="A5277" s="3" t="s">
        <v>2194</v>
      </c>
      <c r="B5277" s="3" t="s">
        <v>5185</v>
      </c>
      <c r="C5277" s="3" t="s">
        <v>796</v>
      </c>
      <c r="D5277" s="3"/>
      <c r="E5277" s="2" t="str">
        <f>HYPERLINK("https://old.ukr-mobil.com/shlejf_oppo_a5_2020_a9_2020_s_razemom_zaryadki_garnitury_mikrofonom_original_10002356", "Перейти")</f>
        <v>Перейти</v>
      </c>
      <c r="F5277" s="2">
        <v>10002356</v>
      </c>
      <c r="G5277" s="4" t="s">
        <v>5442</v>
      </c>
      <c r="H5277" s="1">
        <v>0</v>
      </c>
      <c r="I5277" s="1">
        <v>0</v>
      </c>
      <c r="J5277" s="1">
        <v>1</v>
      </c>
      <c r="K5277" s="2">
        <v>7.0</v>
      </c>
    </row>
    <row r="5278" spans="1:12">
      <c r="A5278" s="3" t="s">
        <v>2194</v>
      </c>
      <c r="B5278" s="3" t="s">
        <v>5185</v>
      </c>
      <c r="C5278" s="3" t="s">
        <v>796</v>
      </c>
      <c r="D5278" s="3"/>
      <c r="E5278" s="2" t="str">
        <f>HYPERLINK("https://old.ukr-mobil.com/shlejf_oppo_a52_a92_s_razemom_zaryadki_garnitury_mikrofonom_high_copy_10002358", "Перейти")</f>
        <v>Перейти</v>
      </c>
      <c r="F5278" s="2">
        <v>10002358</v>
      </c>
      <c r="G5278" s="4" t="s">
        <v>5443</v>
      </c>
      <c r="H5278" s="1">
        <v>5</v>
      </c>
      <c r="I5278" s="1">
        <v>2</v>
      </c>
      <c r="J5278" s="1">
        <v>1</v>
      </c>
      <c r="K5278" s="2">
        <v>3.25</v>
      </c>
    </row>
    <row r="5279" spans="1:12">
      <c r="A5279" s="3" t="s">
        <v>2194</v>
      </c>
      <c r="B5279" s="3" t="s">
        <v>5185</v>
      </c>
      <c r="C5279" s="3" t="s">
        <v>796</v>
      </c>
      <c r="D5279" s="3"/>
      <c r="E5279" s="2" t="str">
        <f>HYPERLINK("https://old.ukr-mobil.com/shlejf_oppo_a52_a92_s_razemom_zaryadki_garnitury_mikrofonom_original_10002359", "Перейти")</f>
        <v>Перейти</v>
      </c>
      <c r="F5279" s="2">
        <v>10002359</v>
      </c>
      <c r="G5279" s="4" t="s">
        <v>5444</v>
      </c>
      <c r="H5279" s="1">
        <v>1</v>
      </c>
      <c r="I5279" s="1">
        <v>1</v>
      </c>
      <c r="J5279" s="1">
        <v>2</v>
      </c>
      <c r="K5279" s="2">
        <v>8.0</v>
      </c>
    </row>
    <row r="5280" spans="1:12">
      <c r="A5280" s="3" t="s">
        <v>2194</v>
      </c>
      <c r="B5280" s="3" t="s">
        <v>5185</v>
      </c>
      <c r="C5280" s="3" t="s">
        <v>796</v>
      </c>
      <c r="D5280" s="3"/>
      <c r="E5280" s="2" t="str">
        <f>HYPERLINK("https://old.ukr-mobil.com/shlejf_oppo_a52_so_skanerom_otpechatka_original_prc_twilight_black_10003366", "Перейти")</f>
        <v>Перейти</v>
      </c>
      <c r="F5280" s="2">
        <v>10003366</v>
      </c>
      <c r="G5280" s="4" t="s">
        <v>5445</v>
      </c>
      <c r="H5280" s="1">
        <v>0</v>
      </c>
      <c r="I5280" s="1">
        <v>1</v>
      </c>
      <c r="J5280" s="1">
        <v>1</v>
      </c>
      <c r="K5280" s="2">
        <v>3.65</v>
      </c>
    </row>
    <row r="5281" spans="1:12">
      <c r="A5281" s="3" t="s">
        <v>2194</v>
      </c>
      <c r="B5281" s="3" t="s">
        <v>5185</v>
      </c>
      <c r="C5281" s="3" t="s">
        <v>796</v>
      </c>
      <c r="D5281" s="3"/>
      <c r="E5281" s="2" t="str">
        <f>HYPERLINK("https://old.ukr-mobil.com/shlejf_oppo_a53_cph2127_cph2131_mezhplatnyj_high_copy_10002361", "Перейти")</f>
        <v>Перейти</v>
      </c>
      <c r="F5281" s="2">
        <v>10002361</v>
      </c>
      <c r="G5281" s="4" t="s">
        <v>5446</v>
      </c>
      <c r="H5281" s="1">
        <v>3</v>
      </c>
      <c r="I5281" s="1">
        <v>1</v>
      </c>
      <c r="J5281" s="1">
        <v>1</v>
      </c>
      <c r="K5281" s="2">
        <v>3.85</v>
      </c>
    </row>
    <row r="5282" spans="1:12">
      <c r="A5282" s="3" t="s">
        <v>2194</v>
      </c>
      <c r="B5282" s="3" t="s">
        <v>5185</v>
      </c>
      <c r="C5282" s="3" t="s">
        <v>796</v>
      </c>
      <c r="D5282" s="3"/>
      <c r="E5282" s="2" t="str">
        <f>HYPERLINK("https://old.ukr-mobil.com/shlejf_oppo_a53_cph2127_cph2131_s_razemom_zaryadki_garnitury_mikrofonom_high_copy_10002360", "Перейти")</f>
        <v>Перейти</v>
      </c>
      <c r="F5282" s="2">
        <v>10002360</v>
      </c>
      <c r="G5282" s="4" t="s">
        <v>5447</v>
      </c>
      <c r="H5282" s="1">
        <v>0</v>
      </c>
      <c r="I5282" s="1">
        <v>0</v>
      </c>
      <c r="J5282" s="1">
        <v>0</v>
      </c>
      <c r="K5282" s="2">
        <v>3.2</v>
      </c>
    </row>
    <row r="5283" spans="1:12">
      <c r="A5283" s="3" t="s">
        <v>2194</v>
      </c>
      <c r="B5283" s="3" t="s">
        <v>5185</v>
      </c>
      <c r="C5283" s="3" t="s">
        <v>796</v>
      </c>
      <c r="D5283" s="3"/>
      <c r="E5283" s="2" t="str">
        <f>HYPERLINK("https://old.ukr-mobil.com/shlejf_oppo_realme_6_pro_s_razemom_zaryadki_garnitury_mikrofonom_high_copy_10002362", "Перейти")</f>
        <v>Перейти</v>
      </c>
      <c r="F5283" s="2">
        <v>10002362</v>
      </c>
      <c r="G5283" s="4" t="s">
        <v>5448</v>
      </c>
      <c r="H5283" s="1">
        <v>0</v>
      </c>
      <c r="I5283" s="1">
        <v>0</v>
      </c>
      <c r="J5283" s="1">
        <v>0</v>
      </c>
      <c r="K5283" s="2">
        <v>3.35</v>
      </c>
    </row>
    <row r="5284" spans="1:12">
      <c r="A5284" s="3" t="s">
        <v>2194</v>
      </c>
      <c r="B5284" s="3" t="s">
        <v>5185</v>
      </c>
      <c r="C5284" s="3" t="s">
        <v>796</v>
      </c>
      <c r="D5284" s="3"/>
      <c r="E5284" s="2" t="str">
        <f>HYPERLINK("https://old.ukr-mobil.com/shlejf_oppo_realme_6_pro_s_razemom_zaryadki_garnitury_mikrofonom_original_10002363", "Перейти")</f>
        <v>Перейти</v>
      </c>
      <c r="F5284" s="2">
        <v>10002363</v>
      </c>
      <c r="G5284" s="4" t="s">
        <v>5449</v>
      </c>
      <c r="H5284" s="1">
        <v>2</v>
      </c>
      <c r="I5284" s="1">
        <v>2</v>
      </c>
      <c r="J5284" s="1">
        <v>2</v>
      </c>
      <c r="K5284" s="2">
        <v>8.0</v>
      </c>
    </row>
    <row r="5285" spans="1:12">
      <c r="A5285" s="3" t="s">
        <v>2194</v>
      </c>
      <c r="B5285" s="3" t="s">
        <v>5185</v>
      </c>
      <c r="C5285" s="3" t="s">
        <v>796</v>
      </c>
      <c r="D5285" s="3"/>
      <c r="E5285" s="2" t="str">
        <f>HYPERLINK("https://old.ukr-mobil.com/shlejf_oppo_realme_6_mezhplatnyj_high_copy_10002366", "Перейти")</f>
        <v>Перейти</v>
      </c>
      <c r="F5285" s="2">
        <v>10002366</v>
      </c>
      <c r="G5285" s="4" t="s">
        <v>5450</v>
      </c>
      <c r="H5285" s="1">
        <v>3</v>
      </c>
      <c r="I5285" s="1">
        <v>2</v>
      </c>
      <c r="J5285" s="1">
        <v>2</v>
      </c>
      <c r="K5285" s="2">
        <v>2.2</v>
      </c>
    </row>
    <row r="5286" spans="1:12">
      <c r="A5286" s="3" t="s">
        <v>2194</v>
      </c>
      <c r="B5286" s="3" t="s">
        <v>5185</v>
      </c>
      <c r="C5286" s="3" t="s">
        <v>796</v>
      </c>
      <c r="D5286" s="3"/>
      <c r="E5286" s="2" t="str">
        <f>HYPERLINK("https://old.ukr-mobil.com/shlejf_oppo_realme_6_s_razemom_zaryadki_garnitury_mikrofonom_high_copy_10002364", "Перейти")</f>
        <v>Перейти</v>
      </c>
      <c r="F5286" s="2">
        <v>10002364</v>
      </c>
      <c r="G5286" s="4" t="s">
        <v>5451</v>
      </c>
      <c r="H5286" s="1">
        <v>0</v>
      </c>
      <c r="I5286" s="1">
        <v>0</v>
      </c>
      <c r="J5286" s="1">
        <v>0</v>
      </c>
      <c r="K5286" s="2">
        <v>3.35</v>
      </c>
    </row>
    <row r="5287" spans="1:12">
      <c r="A5287" s="3" t="s">
        <v>2194</v>
      </c>
      <c r="B5287" s="3" t="s">
        <v>5185</v>
      </c>
      <c r="C5287" s="3" t="s">
        <v>796</v>
      </c>
      <c r="D5287" s="3"/>
      <c r="E5287" s="2" t="str">
        <f>HYPERLINK("https://old.ukr-mobil.com/shlejf_oppo_realme_6_s_razemom_zaryadki_garnitury_mikrofonom_original_10002365", "Перейти")</f>
        <v>Перейти</v>
      </c>
      <c r="F5287" s="2">
        <v>10002365</v>
      </c>
      <c r="G5287" s="4" t="s">
        <v>5452</v>
      </c>
      <c r="H5287" s="1">
        <v>5</v>
      </c>
      <c r="I5287" s="1">
        <v>2</v>
      </c>
      <c r="J5287" s="1">
        <v>2</v>
      </c>
      <c r="K5287" s="2">
        <v>8.0</v>
      </c>
    </row>
    <row r="5288" spans="1:12">
      <c r="A5288" s="3" t="s">
        <v>2194</v>
      </c>
      <c r="B5288" s="3" t="s">
        <v>5185</v>
      </c>
      <c r="C5288" s="3" t="s">
        <v>796</v>
      </c>
      <c r="D5288" s="3"/>
      <c r="E5288" s="2" t="str">
        <f>HYPERLINK("https://old.ukr-mobil.com/shlejf_oppo_realme_6_so_skanerom_otpechatka_original_prc_black_10003365", "Перейти")</f>
        <v>Перейти</v>
      </c>
      <c r="F5288" s="2">
        <v>10003365</v>
      </c>
      <c r="G5288" s="4" t="s">
        <v>5453</v>
      </c>
      <c r="H5288" s="1">
        <v>0</v>
      </c>
      <c r="I5288" s="1">
        <v>0</v>
      </c>
      <c r="J5288" s="1">
        <v>0</v>
      </c>
      <c r="K5288" s="2">
        <v>4.75</v>
      </c>
    </row>
    <row r="5289" spans="1:12">
      <c r="A5289" s="3" t="s">
        <v>2194</v>
      </c>
      <c r="B5289" s="3" t="s">
        <v>5185</v>
      </c>
      <c r="C5289" s="3" t="s">
        <v>796</v>
      </c>
      <c r="D5289" s="3"/>
      <c r="E5289" s="2" t="str">
        <f>HYPERLINK("https://old.ukr-mobil.com/shlejf_oppo_realme_c20_realme_c21_s_razemom_zaryadki_garnitury_mikrofonom_original_10003888", "Перейти")</f>
        <v>Перейти</v>
      </c>
      <c r="F5289" s="2">
        <v>10003888</v>
      </c>
      <c r="G5289" s="4" t="s">
        <v>5454</v>
      </c>
      <c r="H5289" s="1">
        <v>0</v>
      </c>
      <c r="I5289" s="1">
        <v>0</v>
      </c>
      <c r="J5289" s="1">
        <v>0</v>
      </c>
      <c r="K5289" s="2">
        <v>2.85</v>
      </c>
    </row>
    <row r="5290" spans="1:12">
      <c r="A5290" s="3" t="s">
        <v>2194</v>
      </c>
      <c r="B5290" s="3" t="s">
        <v>5185</v>
      </c>
      <c r="C5290" s="3" t="s">
        <v>796</v>
      </c>
      <c r="D5290" s="3"/>
      <c r="E5290" s="2" t="str">
        <f>HYPERLINK("https://old.ukr-mobil.com/shlejf_oppo_realme_c21y_realme_c25y_s_razemom_zaryadki_garnitury_mikrofonom_original_10003887", "Перейти")</f>
        <v>Перейти</v>
      </c>
      <c r="F5290" s="2">
        <v>10003887</v>
      </c>
      <c r="G5290" s="4" t="s">
        <v>5455</v>
      </c>
      <c r="H5290" s="1">
        <v>0</v>
      </c>
      <c r="I5290" s="1">
        <v>0</v>
      </c>
      <c r="J5290" s="1">
        <v>0</v>
      </c>
      <c r="K5290" s="2">
        <v>2.65</v>
      </c>
    </row>
    <row r="5291" spans="1:12">
      <c r="A5291" s="3" t="s">
        <v>2194</v>
      </c>
      <c r="B5291" s="3" t="s">
        <v>5185</v>
      </c>
      <c r="C5291" s="3" t="s">
        <v>796</v>
      </c>
      <c r="D5291" s="3"/>
      <c r="E5291" s="2" t="str">
        <f>HYPERLINK("https://old.ukr-mobil.com/shlejf_oppo_realme_c25y_2021_rmx3269_s_razemom_zaryadki_garnitury_mikrofonom_original_10003886", "Перейти")</f>
        <v>Перейти</v>
      </c>
      <c r="F5291" s="2">
        <v>10003886</v>
      </c>
      <c r="G5291" s="4" t="s">
        <v>5456</v>
      </c>
      <c r="H5291" s="1">
        <v>16</v>
      </c>
      <c r="I5291" s="1">
        <v>2</v>
      </c>
      <c r="J5291" s="1">
        <v>4</v>
      </c>
      <c r="K5291" s="2">
        <v>3.35</v>
      </c>
    </row>
    <row r="5292" spans="1:12">
      <c r="A5292" s="3" t="s">
        <v>2194</v>
      </c>
      <c r="B5292" s="3" t="s">
        <v>5185</v>
      </c>
      <c r="C5292" s="3" t="s">
        <v>796</v>
      </c>
      <c r="D5292" s="3"/>
      <c r="E5292" s="2" t="str">
        <f>HYPERLINK("https://old.ukr-mobil.com/shlejf_realme_c11_realme_s12_realme_s15_mezhplatnyj_high_copy_10002369", "Перейти")</f>
        <v>Перейти</v>
      </c>
      <c r="F5292" s="2">
        <v>10002369</v>
      </c>
      <c r="G5292" s="4" t="s">
        <v>5457</v>
      </c>
      <c r="H5292" s="1">
        <v>2</v>
      </c>
      <c r="I5292" s="1">
        <v>1</v>
      </c>
      <c r="J5292" s="1">
        <v>2</v>
      </c>
      <c r="K5292" s="2">
        <v>2.25</v>
      </c>
    </row>
    <row r="5293" spans="1:12">
      <c r="A5293" s="3" t="s">
        <v>2194</v>
      </c>
      <c r="B5293" s="3" t="s">
        <v>5185</v>
      </c>
      <c r="C5293" s="3" t="s">
        <v>796</v>
      </c>
      <c r="D5293" s="3"/>
      <c r="E5293" s="2" t="str">
        <f>HYPERLINK("https://old.ukr-mobil.com/shlejf_realme_c11_realme_s12_realme_s15_s_knopkoj_vklyucheniya_regulirovki_gromkosti_high_copy_10002368", "Перейти")</f>
        <v>Перейти</v>
      </c>
      <c r="F5293" s="2">
        <v>10002368</v>
      </c>
      <c r="G5293" s="4" t="s">
        <v>5458</v>
      </c>
      <c r="H5293" s="1">
        <v>0</v>
      </c>
      <c r="I5293" s="1">
        <v>0</v>
      </c>
      <c r="J5293" s="1">
        <v>0</v>
      </c>
      <c r="K5293" s="2">
        <v>2.0</v>
      </c>
    </row>
    <row r="5294" spans="1:12">
      <c r="A5294" s="3" t="s">
        <v>2194</v>
      </c>
      <c r="B5294" s="3" t="s">
        <v>5185</v>
      </c>
      <c r="C5294" s="3" t="s">
        <v>796</v>
      </c>
      <c r="D5294" s="3"/>
      <c r="E5294" s="2" t="str">
        <f>HYPERLINK("https://old.ukr-mobil.com/shlejf_realme_c3_realme_c11_realme_s12_realme_s15_s_razemom_zaryadki_garnitury_mikrofonom_high_copy_10002367", "Перейти")</f>
        <v>Перейти</v>
      </c>
      <c r="F5294" s="2">
        <v>10002367</v>
      </c>
      <c r="G5294" s="4" t="s">
        <v>5459</v>
      </c>
      <c r="H5294" s="1">
        <v>8</v>
      </c>
      <c r="I5294" s="1">
        <v>5</v>
      </c>
      <c r="J5294" s="1">
        <v>0</v>
      </c>
      <c r="K5294" s="2">
        <v>2.5</v>
      </c>
    </row>
    <row r="5295" spans="1:12">
      <c r="A5295" s="3" t="s">
        <v>2194</v>
      </c>
      <c r="B5295" s="3" t="s">
        <v>5185</v>
      </c>
      <c r="C5295" s="3" t="s">
        <v>5460</v>
      </c>
      <c r="D5295" s="3"/>
      <c r="E5295" s="2" t="str">
        <f>HYPERLINK("https://old.ukr-mobil.com/shlejf_poco_x3_x3_nfc_x3_pro_s_razemom_zaryadki_garnitury_mikrofonom_high_copy_10002374", "Перейти")</f>
        <v>Перейти</v>
      </c>
      <c r="F5295" s="2">
        <v>10002374</v>
      </c>
      <c r="G5295" s="4" t="s">
        <v>5461</v>
      </c>
      <c r="H5295" s="1">
        <v>0</v>
      </c>
      <c r="I5295" s="1">
        <v>0</v>
      </c>
      <c r="J5295" s="1">
        <v>0</v>
      </c>
      <c r="K5295" s="2">
        <v>2.75</v>
      </c>
    </row>
    <row r="5296" spans="1:12">
      <c r="A5296" s="3" t="s">
        <v>2194</v>
      </c>
      <c r="B5296" s="3" t="s">
        <v>5185</v>
      </c>
      <c r="C5296" s="3" t="s">
        <v>653</v>
      </c>
      <c r="D5296" s="3"/>
      <c r="E5296" s="2" t="str">
        <f>HYPERLINK("https://old.ukr-mobil.com/shlejf_samsung_a022_galaxy_a02_mezhplatnyj_original_10001870", "Перейти")</f>
        <v>Перейти</v>
      </c>
      <c r="F5296" s="2">
        <v>10001870</v>
      </c>
      <c r="G5296" s="4" t="s">
        <v>5462</v>
      </c>
      <c r="H5296" s="1">
        <v>1</v>
      </c>
      <c r="I5296" s="1">
        <v>1</v>
      </c>
      <c r="J5296" s="1">
        <v>0</v>
      </c>
      <c r="K5296" s="2">
        <v>3.5</v>
      </c>
    </row>
    <row r="5297" spans="1:12">
      <c r="A5297" s="3" t="s">
        <v>2194</v>
      </c>
      <c r="B5297" s="3" t="s">
        <v>5185</v>
      </c>
      <c r="C5297" s="3" t="s">
        <v>653</v>
      </c>
      <c r="D5297" s="3"/>
      <c r="E5297" s="2" t="str">
        <f>HYPERLINK("https://old.ukr-mobil.com/shlejf_samsung_a022_galaxy_a02_s_razemom_zaryadki_garnitury_mikrofonom_high_copy_10002146", "Перейти")</f>
        <v>Перейти</v>
      </c>
      <c r="F5297" s="2">
        <v>10002146</v>
      </c>
      <c r="G5297" s="4" t="s">
        <v>5463</v>
      </c>
      <c r="H5297" s="1">
        <v>0</v>
      </c>
      <c r="I5297" s="1">
        <v>0</v>
      </c>
      <c r="J5297" s="1">
        <v>0</v>
      </c>
      <c r="K5297" s="2">
        <v>3.5</v>
      </c>
    </row>
    <row r="5298" spans="1:12">
      <c r="A5298" s="3" t="s">
        <v>2194</v>
      </c>
      <c r="B5298" s="3" t="s">
        <v>5185</v>
      </c>
      <c r="C5298" s="3" t="s">
        <v>653</v>
      </c>
      <c r="D5298" s="3"/>
      <c r="E5298" s="2" t="str">
        <f>HYPERLINK("https://old.ukr-mobil.com/shlejf_samsung_a022_galaxy_a02_s_razemom_zaryadki_garnitury_original_10001869", "Перейти")</f>
        <v>Перейти</v>
      </c>
      <c r="F5298" s="2">
        <v>10001869</v>
      </c>
      <c r="G5298" s="4" t="s">
        <v>5464</v>
      </c>
      <c r="H5298" s="1">
        <v>1</v>
      </c>
      <c r="I5298" s="1">
        <v>0</v>
      </c>
      <c r="J5298" s="1">
        <v>2</v>
      </c>
      <c r="K5298" s="2">
        <v>12.5</v>
      </c>
    </row>
    <row r="5299" spans="1:12">
      <c r="A5299" s="3" t="s">
        <v>2194</v>
      </c>
      <c r="B5299" s="3" t="s">
        <v>5185</v>
      </c>
      <c r="C5299" s="3" t="s">
        <v>653</v>
      </c>
      <c r="D5299" s="3"/>
      <c r="E5299" s="2" t="str">
        <f>HYPERLINK("https://old.ukr-mobil.com/shlejf_samsung_a025_galaxy_a02s_s_razemom_zaryadki_garnitury_original_10001871", "Перейти")</f>
        <v>Перейти</v>
      </c>
      <c r="F5299" s="2">
        <v>10001871</v>
      </c>
      <c r="G5299" s="4" t="s">
        <v>5465</v>
      </c>
      <c r="H5299" s="1">
        <v>1</v>
      </c>
      <c r="I5299" s="1">
        <v>0</v>
      </c>
      <c r="J5299" s="1">
        <v>2</v>
      </c>
      <c r="K5299" s="2">
        <v>7.25</v>
      </c>
    </row>
    <row r="5300" spans="1:12">
      <c r="A5300" s="3" t="s">
        <v>2194</v>
      </c>
      <c r="B5300" s="3" t="s">
        <v>5185</v>
      </c>
      <c r="C5300" s="3" t="s">
        <v>653</v>
      </c>
      <c r="D5300" s="3"/>
      <c r="E5300" s="2" t="str">
        <f>HYPERLINK("https://old.ukr-mobil.com/shlejf_samsung_a037_galaxy_a03s_so_skanerom_otpechatka_palca_original_black_10003390", "Перейти")</f>
        <v>Перейти</v>
      </c>
      <c r="F5300" s="2">
        <v>10003390</v>
      </c>
      <c r="G5300" s="4" t="s">
        <v>5466</v>
      </c>
      <c r="H5300" s="1">
        <v>0</v>
      </c>
      <c r="I5300" s="1">
        <v>4</v>
      </c>
      <c r="J5300" s="1">
        <v>3</v>
      </c>
      <c r="K5300" s="2">
        <v>6.25</v>
      </c>
    </row>
    <row r="5301" spans="1:12">
      <c r="A5301" s="3" t="s">
        <v>2194</v>
      </c>
      <c r="B5301" s="3" t="s">
        <v>5185</v>
      </c>
      <c r="C5301" s="3" t="s">
        <v>653</v>
      </c>
      <c r="D5301" s="3"/>
      <c r="E5301" s="2" t="str">
        <f>HYPERLINK("https://old.ukr-mobil.com/shlejf_samsung_a037_galaxy_a03s_so_skanerom_otpechatka_palca_original_blue_10003391", "Перейти")</f>
        <v>Перейти</v>
      </c>
      <c r="F5301" s="2">
        <v>10003391</v>
      </c>
      <c r="G5301" s="4" t="s">
        <v>5467</v>
      </c>
      <c r="H5301" s="1">
        <v>7</v>
      </c>
      <c r="I5301" s="1">
        <v>4</v>
      </c>
      <c r="J5301" s="1">
        <v>4</v>
      </c>
      <c r="K5301" s="2">
        <v>6.25</v>
      </c>
    </row>
    <row r="5302" spans="1:12">
      <c r="A5302" s="3" t="s">
        <v>2194</v>
      </c>
      <c r="B5302" s="3" t="s">
        <v>5185</v>
      </c>
      <c r="C5302" s="3" t="s">
        <v>653</v>
      </c>
      <c r="D5302" s="3"/>
      <c r="E5302" s="2" t="str">
        <f>HYPERLINK("https://old.ukr-mobil.com/index.php?route=product&amp;product_id=10005063", "Перейти")</f>
        <v>Перейти</v>
      </c>
      <c r="F5302" s="2">
        <v>10005063</v>
      </c>
      <c r="G5302" s="4" t="s">
        <v>5468</v>
      </c>
      <c r="H5302" s="1">
        <v>0</v>
      </c>
      <c r="I5302" s="1">
        <v>1</v>
      </c>
      <c r="J5302" s="1">
        <v>1</v>
      </c>
      <c r="K5302" s="2">
        <v>1.5</v>
      </c>
    </row>
    <row r="5303" spans="1:12">
      <c r="A5303" s="3" t="s">
        <v>2194</v>
      </c>
      <c r="B5303" s="3" t="s">
        <v>5185</v>
      </c>
      <c r="C5303" s="3" t="s">
        <v>653</v>
      </c>
      <c r="D5303" s="3"/>
      <c r="E5303" s="2" t="str">
        <f>HYPERLINK("https://old.ukr-mobil.com/index.php?route=product&amp;product_id=10004634", "Перейти")</f>
        <v>Перейти</v>
      </c>
      <c r="F5303" s="2">
        <v>10004634</v>
      </c>
      <c r="G5303" s="4" t="s">
        <v>5469</v>
      </c>
      <c r="H5303" s="1">
        <v>3</v>
      </c>
      <c r="I5303" s="1">
        <v>6</v>
      </c>
      <c r="J5303" s="1">
        <v>4</v>
      </c>
      <c r="K5303" s="2">
        <v>10.0</v>
      </c>
    </row>
    <row r="5304" spans="1:12">
      <c r="A5304" s="3" t="s">
        <v>2194</v>
      </c>
      <c r="B5304" s="3" t="s">
        <v>5185</v>
      </c>
      <c r="C5304" s="3" t="s">
        <v>653</v>
      </c>
      <c r="D5304" s="3"/>
      <c r="E5304" s="2" t="str">
        <f>HYPERLINK("https://old.ukr-mobil.com/index.php?route=product&amp;product_id=10004633", "Перейти")</f>
        <v>Перейти</v>
      </c>
      <c r="F5304" s="2">
        <v>10004633</v>
      </c>
      <c r="G5304" s="4" t="s">
        <v>5470</v>
      </c>
      <c r="H5304" s="1">
        <v>7</v>
      </c>
      <c r="I5304" s="1">
        <v>7</v>
      </c>
      <c r="J5304" s="1">
        <v>3</v>
      </c>
      <c r="K5304" s="2">
        <v>3.25</v>
      </c>
    </row>
    <row r="5305" spans="1:12">
      <c r="A5305" s="3" t="s">
        <v>2194</v>
      </c>
      <c r="B5305" s="3" t="s">
        <v>5185</v>
      </c>
      <c r="C5305" s="3" t="s">
        <v>653</v>
      </c>
      <c r="D5305" s="3"/>
      <c r="E5305" s="2" t="str">
        <f>HYPERLINK("https://old.ukr-mobil.com/index.php?route=product&amp;product_id=10005067", "Перейти")</f>
        <v>Перейти</v>
      </c>
      <c r="F5305" s="2">
        <v>10005067</v>
      </c>
      <c r="G5305" s="4" t="s">
        <v>5471</v>
      </c>
      <c r="H5305" s="1">
        <v>10</v>
      </c>
      <c r="I5305" s="1">
        <v>3</v>
      </c>
      <c r="J5305" s="1">
        <v>5</v>
      </c>
      <c r="K5305" s="2">
        <v>1.5</v>
      </c>
    </row>
    <row r="5306" spans="1:12">
      <c r="A5306" s="3" t="s">
        <v>2194</v>
      </c>
      <c r="B5306" s="3" t="s">
        <v>5185</v>
      </c>
      <c r="C5306" s="3" t="s">
        <v>653</v>
      </c>
      <c r="D5306" s="3"/>
      <c r="E5306" s="2" t="str">
        <f>HYPERLINK("https://old.ukr-mobil.com/index.php?route=product&amp;product_id=10004929", "Перейти")</f>
        <v>Перейти</v>
      </c>
      <c r="F5306" s="2">
        <v>10004929</v>
      </c>
      <c r="G5306" s="4" t="s">
        <v>5472</v>
      </c>
      <c r="H5306" s="1">
        <v>0</v>
      </c>
      <c r="I5306" s="1">
        <v>0</v>
      </c>
      <c r="J5306" s="1">
        <v>0</v>
      </c>
      <c r="K5306" s="2">
        <v>8.0</v>
      </c>
    </row>
    <row r="5307" spans="1:12">
      <c r="A5307" s="3" t="s">
        <v>2194</v>
      </c>
      <c r="B5307" s="3" t="s">
        <v>5185</v>
      </c>
      <c r="C5307" s="3" t="s">
        <v>653</v>
      </c>
      <c r="D5307" s="3"/>
      <c r="E5307" s="2" t="str">
        <f>HYPERLINK("https://old.ukr-mobil.com/index.php?route=product&amp;product_id=10004630", "Перейти")</f>
        <v>Перейти</v>
      </c>
      <c r="F5307" s="2">
        <v>10004630</v>
      </c>
      <c r="G5307" s="4" t="s">
        <v>5473</v>
      </c>
      <c r="H5307" s="1">
        <v>0</v>
      </c>
      <c r="I5307" s="1">
        <v>2</v>
      </c>
      <c r="J5307" s="1">
        <v>0</v>
      </c>
      <c r="K5307" s="2">
        <v>3.2</v>
      </c>
    </row>
    <row r="5308" spans="1:12">
      <c r="A5308" s="3" t="s">
        <v>2194</v>
      </c>
      <c r="B5308" s="3" t="s">
        <v>5185</v>
      </c>
      <c r="C5308" s="3" t="s">
        <v>653</v>
      </c>
      <c r="D5308" s="3"/>
      <c r="E5308" s="2" t="str">
        <f>HYPERLINK("https://old.ukr-mobil.com/index.php?route=product&amp;product_id=10004632", "Перейти")</f>
        <v>Перейти</v>
      </c>
      <c r="F5308" s="2">
        <v>10004632</v>
      </c>
      <c r="G5308" s="4" t="s">
        <v>5474</v>
      </c>
      <c r="H5308" s="1">
        <v>0</v>
      </c>
      <c r="I5308" s="1">
        <v>1</v>
      </c>
      <c r="J5308" s="1">
        <v>2</v>
      </c>
      <c r="K5308" s="2">
        <v>9.0</v>
      </c>
    </row>
    <row r="5309" spans="1:12">
      <c r="A5309" s="3" t="s">
        <v>2194</v>
      </c>
      <c r="B5309" s="3" t="s">
        <v>5185</v>
      </c>
      <c r="C5309" s="3" t="s">
        <v>653</v>
      </c>
      <c r="D5309" s="3"/>
      <c r="E5309" s="2" t="str">
        <f>HYPERLINK("https://old.ukr-mobil.com/index.php?route=product&amp;product_id=10004631", "Перейти")</f>
        <v>Перейти</v>
      </c>
      <c r="F5309" s="2">
        <v>10004631</v>
      </c>
      <c r="G5309" s="4" t="s">
        <v>5475</v>
      </c>
      <c r="H5309" s="1">
        <v>0</v>
      </c>
      <c r="I5309" s="1">
        <v>0</v>
      </c>
      <c r="J5309" s="1">
        <v>0</v>
      </c>
      <c r="K5309" s="2">
        <v>5.0</v>
      </c>
    </row>
    <row r="5310" spans="1:12">
      <c r="A5310" s="3" t="s">
        <v>2194</v>
      </c>
      <c r="B5310" s="3" t="s">
        <v>5185</v>
      </c>
      <c r="C5310" s="3" t="s">
        <v>653</v>
      </c>
      <c r="D5310" s="3"/>
      <c r="E5310" s="2" t="str">
        <f>HYPERLINK("https://old.ukr-mobil.com/index.php?route=product&amp;product_id=10004641", "Перейти")</f>
        <v>Перейти</v>
      </c>
      <c r="F5310" s="2">
        <v>10004641</v>
      </c>
      <c r="G5310" s="4" t="s">
        <v>5476</v>
      </c>
      <c r="H5310" s="1">
        <v>6</v>
      </c>
      <c r="I5310" s="1">
        <v>1</v>
      </c>
      <c r="J5310" s="1">
        <v>0</v>
      </c>
      <c r="K5310" s="2">
        <v>7.5</v>
      </c>
    </row>
    <row r="5311" spans="1:12">
      <c r="A5311" s="3" t="s">
        <v>2194</v>
      </c>
      <c r="B5311" s="3" t="s">
        <v>5185</v>
      </c>
      <c r="C5311" s="3" t="s">
        <v>653</v>
      </c>
      <c r="D5311" s="3"/>
      <c r="E5311" s="2" t="str">
        <f>HYPERLINK("https://old.ukr-mobil.com/shlejf_samsung_a105_galaxy_a10_m105_galaxy_m10_m205_m305_s_knopkoj_vklyucheniya_regulirovki_gromkosti_original_prc_10000796", "Перейти")</f>
        <v>Перейти</v>
      </c>
      <c r="F5311" s="2">
        <v>10000796</v>
      </c>
      <c r="G5311" s="4" t="s">
        <v>5477</v>
      </c>
      <c r="H5311" s="1">
        <v>0</v>
      </c>
      <c r="I5311" s="1">
        <v>0</v>
      </c>
      <c r="J5311" s="1">
        <v>0</v>
      </c>
      <c r="K5311" s="2">
        <v>1.25</v>
      </c>
    </row>
    <row r="5312" spans="1:12">
      <c r="A5312" s="3" t="s">
        <v>2194</v>
      </c>
      <c r="B5312" s="3" t="s">
        <v>5185</v>
      </c>
      <c r="C5312" s="3" t="s">
        <v>653</v>
      </c>
      <c r="D5312" s="3"/>
      <c r="E5312" s="2" t="str">
        <f>HYPERLINK("https://old.ukr-mobil.com/shlejf_samsung_a105_galaxy_a10_mezhplatnyj_original_prc_10000771", "Перейти")</f>
        <v>Перейти</v>
      </c>
      <c r="F5312" s="2">
        <v>10000771</v>
      </c>
      <c r="G5312" s="4" t="s">
        <v>5478</v>
      </c>
      <c r="H5312" s="1">
        <v>17</v>
      </c>
      <c r="I5312" s="1">
        <v>0</v>
      </c>
      <c r="J5312" s="1">
        <v>1</v>
      </c>
      <c r="K5312" s="2">
        <v>2.25</v>
      </c>
    </row>
    <row r="5313" spans="1:12">
      <c r="A5313" s="3" t="s">
        <v>2194</v>
      </c>
      <c r="B5313" s="3" t="s">
        <v>5185</v>
      </c>
      <c r="C5313" s="3" t="s">
        <v>653</v>
      </c>
      <c r="D5313" s="3"/>
      <c r="E5313" s="2" t="str">
        <f>HYPERLINK("https://old.ukr-mobil.com/shlejf_samsung_a105_galaxy_a10_s_razemom_zaryadki_garnitury_original_prc_12184", "Перейти")</f>
        <v>Перейти</v>
      </c>
      <c r="F5313" s="2">
        <v>12184</v>
      </c>
      <c r="G5313" s="4" t="s">
        <v>5479</v>
      </c>
      <c r="H5313" s="1">
        <v>0</v>
      </c>
      <c r="I5313" s="1">
        <v>0</v>
      </c>
      <c r="J5313" s="1">
        <v>0</v>
      </c>
      <c r="K5313" s="2">
        <v>2.6</v>
      </c>
    </row>
    <row r="5314" spans="1:12">
      <c r="A5314" s="3" t="s">
        <v>2194</v>
      </c>
      <c r="B5314" s="3" t="s">
        <v>5185</v>
      </c>
      <c r="C5314" s="3" t="s">
        <v>653</v>
      </c>
      <c r="D5314" s="3"/>
      <c r="E5314" s="2" t="str">
        <f>HYPERLINK("https://old.ukr-mobil.com/shlejf_samsung_a107_galaxy_a10s_mezhplatnyj_original_prc_10000772", "Перейти")</f>
        <v>Перейти</v>
      </c>
      <c r="F5314" s="2">
        <v>10000772</v>
      </c>
      <c r="G5314" s="4" t="s">
        <v>5480</v>
      </c>
      <c r="H5314" s="1">
        <v>0</v>
      </c>
      <c r="I5314" s="1">
        <v>0</v>
      </c>
      <c r="J5314" s="1">
        <v>0</v>
      </c>
      <c r="K5314" s="2">
        <v>1.6</v>
      </c>
    </row>
    <row r="5315" spans="1:12">
      <c r="A5315" s="3" t="s">
        <v>2194</v>
      </c>
      <c r="B5315" s="3" t="s">
        <v>5185</v>
      </c>
      <c r="C5315" s="3" t="s">
        <v>653</v>
      </c>
      <c r="D5315" s="3"/>
      <c r="E5315" s="2" t="str">
        <f>HYPERLINK("https://old.ukr-mobil.com/shlejf_samsung_a107_galaxy_a10s_s_knopkoj_vklyucheniya_original_prc_10000778", "Перейти")</f>
        <v>Перейти</v>
      </c>
      <c r="F5315" s="2">
        <v>10000778</v>
      </c>
      <c r="G5315" s="4" t="s">
        <v>5481</v>
      </c>
      <c r="H5315" s="1">
        <v>0</v>
      </c>
      <c r="I5315" s="1">
        <v>0</v>
      </c>
      <c r="J5315" s="1">
        <v>0</v>
      </c>
      <c r="K5315" s="2">
        <v>1.6</v>
      </c>
    </row>
    <row r="5316" spans="1:12">
      <c r="A5316" s="3" t="s">
        <v>2194</v>
      </c>
      <c r="B5316" s="3" t="s">
        <v>5185</v>
      </c>
      <c r="C5316" s="3" t="s">
        <v>653</v>
      </c>
      <c r="D5316" s="3"/>
      <c r="E5316" s="2" t="str">
        <f>HYPERLINK("https://old.ukr-mobil.com/shlejf_samsung_a107_galaxy_a10s_s_razemom_zaryadki_garnitury_original_prc_10001962", "Перейти")</f>
        <v>Перейти</v>
      </c>
      <c r="F5316" s="2">
        <v>10001962</v>
      </c>
      <c r="G5316" s="4" t="s">
        <v>5482</v>
      </c>
      <c r="H5316" s="1">
        <v>0</v>
      </c>
      <c r="I5316" s="1">
        <v>0</v>
      </c>
      <c r="J5316" s="1">
        <v>0</v>
      </c>
      <c r="K5316" s="2">
        <v>2.25</v>
      </c>
    </row>
    <row r="5317" spans="1:12">
      <c r="A5317" s="3" t="s">
        <v>2194</v>
      </c>
      <c r="B5317" s="3" t="s">
        <v>5185</v>
      </c>
      <c r="C5317" s="3" t="s">
        <v>653</v>
      </c>
      <c r="D5317" s="3"/>
      <c r="E5317" s="2" t="str">
        <f>HYPERLINK("https://old.ukr-mobil.com/shlejf_samsung_a107_galaxy_a10s_s_razemom_zaryadki_garnitury_m16_original_prc_10002972", "Перейти")</f>
        <v>Перейти</v>
      </c>
      <c r="F5317" s="2">
        <v>10002972</v>
      </c>
      <c r="G5317" s="4" t="s">
        <v>5483</v>
      </c>
      <c r="H5317" s="1">
        <v>0</v>
      </c>
      <c r="I5317" s="1">
        <v>0</v>
      </c>
      <c r="J5317" s="1">
        <v>0</v>
      </c>
      <c r="K5317" s="2">
        <v>2.35</v>
      </c>
    </row>
    <row r="5318" spans="1:12">
      <c r="A5318" s="3" t="s">
        <v>2194</v>
      </c>
      <c r="B5318" s="3" t="s">
        <v>5185</v>
      </c>
      <c r="C5318" s="3" t="s">
        <v>653</v>
      </c>
      <c r="D5318" s="3"/>
      <c r="E5318" s="2" t="str">
        <f>HYPERLINK("https://old.ukr-mobil.com/shlejf_samsung_a107_galaxy_a10s_so_skanerom_otpechatka_palca_black_10003379", "Перейти")</f>
        <v>Перейти</v>
      </c>
      <c r="F5318" s="2">
        <v>10003379</v>
      </c>
      <c r="G5318" s="4" t="s">
        <v>5484</v>
      </c>
      <c r="H5318" s="1">
        <v>0</v>
      </c>
      <c r="I5318" s="1">
        <v>4</v>
      </c>
      <c r="J5318" s="1">
        <v>2</v>
      </c>
      <c r="K5318" s="2">
        <v>3.9</v>
      </c>
    </row>
    <row r="5319" spans="1:12">
      <c r="A5319" s="3" t="s">
        <v>2194</v>
      </c>
      <c r="B5319" s="3" t="s">
        <v>5185</v>
      </c>
      <c r="C5319" s="3" t="s">
        <v>653</v>
      </c>
      <c r="D5319" s="3"/>
      <c r="E5319" s="2" t="str">
        <f>HYPERLINK("https://old.ukr-mobil.com/shlejf_samsung_a107_galaxy_a10s_so_skanerom_otpechatka_palca_blue_10003378", "Перейти")</f>
        <v>Перейти</v>
      </c>
      <c r="F5319" s="2">
        <v>10003378</v>
      </c>
      <c r="G5319" s="4" t="s">
        <v>5485</v>
      </c>
      <c r="H5319" s="1">
        <v>2</v>
      </c>
      <c r="I5319" s="1">
        <v>3</v>
      </c>
      <c r="J5319" s="1">
        <v>2</v>
      </c>
      <c r="K5319" s="2">
        <v>3.9</v>
      </c>
    </row>
    <row r="5320" spans="1:12">
      <c r="A5320" s="3" t="s">
        <v>2194</v>
      </c>
      <c r="B5320" s="3" t="s">
        <v>5185</v>
      </c>
      <c r="C5320" s="3" t="s">
        <v>653</v>
      </c>
      <c r="D5320" s="3"/>
      <c r="E5320" s="2" t="str">
        <f>HYPERLINK("https://old.ukr-mobil.com/shlejf_samsung_a115_galaxy_a11_s_razemom_zaryadki_mikrofonom_original_prc_10001179", "Перейти")</f>
        <v>Перейти</v>
      </c>
      <c r="F5320" s="2">
        <v>10001179</v>
      </c>
      <c r="G5320" s="4" t="s">
        <v>5486</v>
      </c>
      <c r="H5320" s="1">
        <v>0</v>
      </c>
      <c r="I5320" s="1">
        <v>0</v>
      </c>
      <c r="J5320" s="1">
        <v>0</v>
      </c>
      <c r="K5320" s="2">
        <v>2.35</v>
      </c>
    </row>
    <row r="5321" spans="1:12">
      <c r="A5321" s="3" t="s">
        <v>2194</v>
      </c>
      <c r="B5321" s="3" t="s">
        <v>5185</v>
      </c>
      <c r="C5321" s="3" t="s">
        <v>653</v>
      </c>
      <c r="D5321" s="3"/>
      <c r="E5321" s="2" t="str">
        <f>HYPERLINK("https://old.ukr-mobil.com/shlejf_samsung_a125_galaxy_a12_s_skanerom_otpechatka_palca_black_10001873", "Перейти")</f>
        <v>Перейти</v>
      </c>
      <c r="F5321" s="2">
        <v>10001873</v>
      </c>
      <c r="G5321" s="4" t="s">
        <v>5487</v>
      </c>
      <c r="H5321" s="1">
        <v>0</v>
      </c>
      <c r="I5321" s="1">
        <v>0</v>
      </c>
      <c r="J5321" s="1">
        <v>0</v>
      </c>
      <c r="K5321" s="2">
        <v>3.5</v>
      </c>
    </row>
    <row r="5322" spans="1:12">
      <c r="A5322" s="3" t="s">
        <v>2194</v>
      </c>
      <c r="B5322" s="3" t="s">
        <v>5185</v>
      </c>
      <c r="C5322" s="3" t="s">
        <v>653</v>
      </c>
      <c r="D5322" s="3"/>
      <c r="E5322" s="2" t="str">
        <f>HYPERLINK("https://old.ukr-mobil.com/shlejf_samsung_a125_galaxy_a12_m127_galaxy_m12_so_skanerom_otpechatka_palca_knopka_vklyucheniya_original_black_10003376", "Перейти")</f>
        <v>Перейти</v>
      </c>
      <c r="F5322" s="2">
        <v>10003376</v>
      </c>
      <c r="G5322" s="4" t="s">
        <v>5488</v>
      </c>
      <c r="H5322" s="1">
        <v>0</v>
      </c>
      <c r="I5322" s="1">
        <v>0</v>
      </c>
      <c r="J5322" s="1">
        <v>0</v>
      </c>
      <c r="K5322" s="2">
        <v>6.25</v>
      </c>
    </row>
    <row r="5323" spans="1:12">
      <c r="A5323" s="3" t="s">
        <v>2194</v>
      </c>
      <c r="B5323" s="3" t="s">
        <v>5185</v>
      </c>
      <c r="C5323" s="3" t="s">
        <v>653</v>
      </c>
      <c r="D5323" s="3"/>
      <c r="E5323" s="2" t="str">
        <f>HYPERLINK("https://old.ukr-mobil.com/shlejf_samsung_a125_galaxy_a12_m127_galaxy_m12_so_skanerom_otpechatka_palca_knopka_vklyucheniya_original_white_10003377", "Перейти")</f>
        <v>Перейти</v>
      </c>
      <c r="F5323" s="2">
        <v>10003377</v>
      </c>
      <c r="G5323" s="4" t="s">
        <v>5489</v>
      </c>
      <c r="H5323" s="1">
        <v>4</v>
      </c>
      <c r="I5323" s="1">
        <v>0</v>
      </c>
      <c r="J5323" s="1">
        <v>2</v>
      </c>
      <c r="K5323" s="2">
        <v>6.25</v>
      </c>
    </row>
    <row r="5324" spans="1:12">
      <c r="A5324" s="3" t="s">
        <v>2194</v>
      </c>
      <c r="B5324" s="3" t="s">
        <v>5185</v>
      </c>
      <c r="C5324" s="3" t="s">
        <v>653</v>
      </c>
      <c r="D5324" s="3"/>
      <c r="E5324" s="2" t="str">
        <f>HYPERLINK("https://old.ukr-mobil.com/shlejf_samsung_a125_galaxy_a12_s_razemom_zaryadki_garnitury_high_copy_10001961", "Перейти")</f>
        <v>Перейти</v>
      </c>
      <c r="F5324" s="2">
        <v>10001961</v>
      </c>
      <c r="G5324" s="4" t="s">
        <v>5490</v>
      </c>
      <c r="H5324" s="1">
        <v>0</v>
      </c>
      <c r="I5324" s="1">
        <v>0</v>
      </c>
      <c r="J5324" s="1">
        <v>0</v>
      </c>
      <c r="K5324" s="2">
        <v>2.6</v>
      </c>
    </row>
    <row r="5325" spans="1:12">
      <c r="A5325" s="3" t="s">
        <v>2194</v>
      </c>
      <c r="B5325" s="3" t="s">
        <v>5185</v>
      </c>
      <c r="C5325" s="3" t="s">
        <v>653</v>
      </c>
      <c r="D5325" s="3"/>
      <c r="E5325" s="2" t="str">
        <f>HYPERLINK("https://old.ukr-mobil.com/shlejf_samsung_a125_galaxy_a12_s_razemom_zaryadki_garnitury_original_10001872", "Перейти")</f>
        <v>Перейти</v>
      </c>
      <c r="F5325" s="2">
        <v>10001872</v>
      </c>
      <c r="G5325" s="4" t="s">
        <v>5491</v>
      </c>
      <c r="H5325" s="1">
        <v>0</v>
      </c>
      <c r="I5325" s="1">
        <v>0</v>
      </c>
      <c r="J5325" s="1">
        <v>1</v>
      </c>
      <c r="K5325" s="2">
        <v>7.5</v>
      </c>
    </row>
    <row r="5326" spans="1:12">
      <c r="A5326" s="3" t="s">
        <v>2194</v>
      </c>
      <c r="B5326" s="3" t="s">
        <v>5185</v>
      </c>
      <c r="C5326" s="3" t="s">
        <v>653</v>
      </c>
      <c r="D5326" s="3"/>
      <c r="E5326" s="2" t="str">
        <f>HYPERLINK("https://old.ukr-mobil.com/shlejf_samsung_a125_galaxy_a12_s_razemom_zaryadki_garnitury_original_prc_10002628", "Перейти")</f>
        <v>Перейти</v>
      </c>
      <c r="F5326" s="2">
        <v>10002628</v>
      </c>
      <c r="G5326" s="4" t="s">
        <v>5492</v>
      </c>
      <c r="H5326" s="1">
        <v>0</v>
      </c>
      <c r="I5326" s="1">
        <v>0</v>
      </c>
      <c r="J5326" s="1">
        <v>0</v>
      </c>
      <c r="K5326" s="2">
        <v>4.5</v>
      </c>
    </row>
    <row r="5327" spans="1:12">
      <c r="A5327" s="3" t="s">
        <v>2194</v>
      </c>
      <c r="B5327" s="3" t="s">
        <v>5185</v>
      </c>
      <c r="C5327" s="3" t="s">
        <v>653</v>
      </c>
      <c r="D5327" s="3"/>
      <c r="E5327" s="2" t="str">
        <f>HYPERLINK("https://old.ukr-mobil.com/index.php?route=product&amp;product_id=10005065", "Перейти")</f>
        <v>Перейти</v>
      </c>
      <c r="F5327" s="2">
        <v>10005065</v>
      </c>
      <c r="G5327" s="4" t="s">
        <v>5493</v>
      </c>
      <c r="H5327" s="1">
        <v>1</v>
      </c>
      <c r="I5327" s="1">
        <v>4</v>
      </c>
      <c r="J5327" s="1">
        <v>1</v>
      </c>
      <c r="K5327" s="2">
        <v>1.5</v>
      </c>
    </row>
    <row r="5328" spans="1:12">
      <c r="A5328" s="3" t="s">
        <v>2194</v>
      </c>
      <c r="B5328" s="3" t="s">
        <v>5185</v>
      </c>
      <c r="C5328" s="3" t="s">
        <v>653</v>
      </c>
      <c r="D5328" s="3"/>
      <c r="E5328" s="2" t="str">
        <f>HYPERLINK("https://old.ukr-mobil.com/index.php?route=product&amp;product_id=10004638", "Перейти")</f>
        <v>Перейти</v>
      </c>
      <c r="F5328" s="2">
        <v>10004638</v>
      </c>
      <c r="G5328" s="4" t="s">
        <v>5494</v>
      </c>
      <c r="H5328" s="1">
        <v>0</v>
      </c>
      <c r="I5328" s="1">
        <v>1</v>
      </c>
      <c r="J5328" s="1">
        <v>1</v>
      </c>
      <c r="K5328" s="2">
        <v>7.0</v>
      </c>
    </row>
    <row r="5329" spans="1:12">
      <c r="A5329" s="3" t="s">
        <v>2194</v>
      </c>
      <c r="B5329" s="3" t="s">
        <v>5185</v>
      </c>
      <c r="C5329" s="3" t="s">
        <v>653</v>
      </c>
      <c r="D5329" s="3"/>
      <c r="E5329" s="2" t="str">
        <f>HYPERLINK("https://old.ukr-mobil.com/index.php?route=product&amp;product_id=10004637", "Перейти")</f>
        <v>Перейти</v>
      </c>
      <c r="F5329" s="2">
        <v>10004637</v>
      </c>
      <c r="G5329" s="4" t="s">
        <v>5495</v>
      </c>
      <c r="H5329" s="1">
        <v>0</v>
      </c>
      <c r="I5329" s="1">
        <v>3</v>
      </c>
      <c r="J5329" s="1">
        <v>0</v>
      </c>
      <c r="K5329" s="2">
        <v>3.0</v>
      </c>
    </row>
    <row r="5330" spans="1:12">
      <c r="A5330" s="3" t="s">
        <v>2194</v>
      </c>
      <c r="B5330" s="3" t="s">
        <v>5185</v>
      </c>
      <c r="C5330" s="3" t="s">
        <v>653</v>
      </c>
      <c r="D5330" s="3"/>
      <c r="E5330" s="2" t="str">
        <f>HYPERLINK("https://old.ukr-mobil.com/shlejf_samsung_a135_galaxy_a13_so_skanerom_otpechatka_palca_knopka_vklyucheniya_original_black_10003382", "Перейти")</f>
        <v>Перейти</v>
      </c>
      <c r="F5330" s="2">
        <v>10003382</v>
      </c>
      <c r="G5330" s="4" t="s">
        <v>5496</v>
      </c>
      <c r="H5330" s="1">
        <v>1</v>
      </c>
      <c r="I5330" s="1">
        <v>4</v>
      </c>
      <c r="J5330" s="1">
        <v>0</v>
      </c>
      <c r="K5330" s="2">
        <v>5.55</v>
      </c>
    </row>
    <row r="5331" spans="1:12">
      <c r="A5331" s="3" t="s">
        <v>2194</v>
      </c>
      <c r="B5331" s="3" t="s">
        <v>5185</v>
      </c>
      <c r="C5331" s="3" t="s">
        <v>653</v>
      </c>
      <c r="D5331" s="3"/>
      <c r="E5331" s="2" t="str">
        <f>HYPERLINK("https://old.ukr-mobil.com/index.php?route=product&amp;product_id=10004951", "Перейти")</f>
        <v>Перейти</v>
      </c>
      <c r="F5331" s="2">
        <v>10004951</v>
      </c>
      <c r="G5331" s="4" t="s">
        <v>5497</v>
      </c>
      <c r="H5331" s="1">
        <v>0</v>
      </c>
      <c r="I5331" s="1">
        <v>0</v>
      </c>
      <c r="J5331" s="1">
        <v>0</v>
      </c>
      <c r="K5331" s="2">
        <v>7.0</v>
      </c>
    </row>
    <row r="5332" spans="1:12">
      <c r="A5332" s="3" t="s">
        <v>2194</v>
      </c>
      <c r="B5332" s="3" t="s">
        <v>5185</v>
      </c>
      <c r="C5332" s="3" t="s">
        <v>653</v>
      </c>
      <c r="D5332" s="3"/>
      <c r="E5332" s="2" t="str">
        <f>HYPERLINK("https://old.ukr-mobil.com/index.php?route=product&amp;product_id=10004636", "Перейти")</f>
        <v>Перейти</v>
      </c>
      <c r="F5332" s="2">
        <v>10004636</v>
      </c>
      <c r="G5332" s="4" t="s">
        <v>5498</v>
      </c>
      <c r="H5332" s="1">
        <v>6</v>
      </c>
      <c r="I5332" s="1">
        <v>0</v>
      </c>
      <c r="J5332" s="1">
        <v>1</v>
      </c>
      <c r="K5332" s="2">
        <v>10.0</v>
      </c>
    </row>
    <row r="5333" spans="1:12">
      <c r="A5333" s="3" t="s">
        <v>2194</v>
      </c>
      <c r="B5333" s="3" t="s">
        <v>5185</v>
      </c>
      <c r="C5333" s="3" t="s">
        <v>653</v>
      </c>
      <c r="D5333" s="3"/>
      <c r="E5333" s="2" t="str">
        <f>HYPERLINK("https://old.ukr-mobil.com/index.php?route=product&amp;product_id=10004635", "Перейти")</f>
        <v>Перейти</v>
      </c>
      <c r="F5333" s="2">
        <v>10004635</v>
      </c>
      <c r="G5333" s="4" t="s">
        <v>5499</v>
      </c>
      <c r="H5333" s="1">
        <v>0</v>
      </c>
      <c r="I5333" s="1">
        <v>0</v>
      </c>
      <c r="J5333" s="1">
        <v>0</v>
      </c>
      <c r="K5333" s="2">
        <v>3.25</v>
      </c>
    </row>
    <row r="5334" spans="1:12">
      <c r="A5334" s="3" t="s">
        <v>2194</v>
      </c>
      <c r="B5334" s="3" t="s">
        <v>5185</v>
      </c>
      <c r="C5334" s="3" t="s">
        <v>653</v>
      </c>
      <c r="D5334" s="3"/>
      <c r="E5334" s="2" t="str">
        <f>HYPERLINK("https://old.ukr-mobil.com/index.php?route=product&amp;product_id=10004950", "Перейти")</f>
        <v>Перейти</v>
      </c>
      <c r="F5334" s="2">
        <v>10004950</v>
      </c>
      <c r="G5334" s="4" t="s">
        <v>5500</v>
      </c>
      <c r="H5334" s="1">
        <v>0</v>
      </c>
      <c r="I5334" s="1">
        <v>0</v>
      </c>
      <c r="J5334" s="1">
        <v>0</v>
      </c>
      <c r="K5334" s="2">
        <v>7.0</v>
      </c>
    </row>
    <row r="5335" spans="1:12">
      <c r="A5335" s="3" t="s">
        <v>2194</v>
      </c>
      <c r="B5335" s="3" t="s">
        <v>5185</v>
      </c>
      <c r="C5335" s="3" t="s">
        <v>653</v>
      </c>
      <c r="D5335" s="3"/>
      <c r="E5335" s="2" t="str">
        <f>HYPERLINK("https://old.ukr-mobil.com/index.php?route=product&amp;product_id=10005101", "Перейти")</f>
        <v>Перейти</v>
      </c>
      <c r="F5335" s="2">
        <v>10005101</v>
      </c>
      <c r="G5335" s="4" t="s">
        <v>5501</v>
      </c>
      <c r="H5335" s="1">
        <v>0</v>
      </c>
      <c r="I5335" s="1">
        <v>0</v>
      </c>
      <c r="J5335" s="1">
        <v>0</v>
      </c>
      <c r="K5335" s="2">
        <v>7.0</v>
      </c>
    </row>
    <row r="5336" spans="1:12">
      <c r="A5336" s="3" t="s">
        <v>2194</v>
      </c>
      <c r="B5336" s="3" t="s">
        <v>5185</v>
      </c>
      <c r="C5336" s="3" t="s">
        <v>653</v>
      </c>
      <c r="D5336" s="3"/>
      <c r="E5336" s="2" t="str">
        <f>HYPERLINK("https://old.ukr-mobil.com/index.php?route=product&amp;product_id=10004640", "Перейти")</f>
        <v>Перейти</v>
      </c>
      <c r="F5336" s="2">
        <v>10004640</v>
      </c>
      <c r="G5336" s="4" t="s">
        <v>5502</v>
      </c>
      <c r="H5336" s="1">
        <v>0</v>
      </c>
      <c r="I5336" s="1">
        <v>0</v>
      </c>
      <c r="J5336" s="1">
        <v>0</v>
      </c>
      <c r="K5336" s="2">
        <v>8.0</v>
      </c>
    </row>
    <row r="5337" spans="1:12">
      <c r="A5337" s="3" t="s">
        <v>2194</v>
      </c>
      <c r="B5337" s="3" t="s">
        <v>5185</v>
      </c>
      <c r="C5337" s="3" t="s">
        <v>653</v>
      </c>
      <c r="D5337" s="3"/>
      <c r="E5337" s="2" t="str">
        <f>HYPERLINK("https://old.ukr-mobil.com/index.php?route=product&amp;product_id=10004931", "Перейти")</f>
        <v>Перейти</v>
      </c>
      <c r="F5337" s="2">
        <v>10004931</v>
      </c>
      <c r="G5337" s="4" t="s">
        <v>5503</v>
      </c>
      <c r="H5337" s="1">
        <v>5</v>
      </c>
      <c r="I5337" s="1">
        <v>3</v>
      </c>
      <c r="J5337" s="1">
        <v>2</v>
      </c>
      <c r="K5337" s="2">
        <v>11.0</v>
      </c>
    </row>
    <row r="5338" spans="1:12">
      <c r="A5338" s="3" t="s">
        <v>2194</v>
      </c>
      <c r="B5338" s="3" t="s">
        <v>5185</v>
      </c>
      <c r="C5338" s="3" t="s">
        <v>653</v>
      </c>
      <c r="D5338" s="3"/>
      <c r="E5338" s="2" t="str">
        <f>HYPERLINK("https://old.ukr-mobil.com/index.php?route=product&amp;product_id=10004912", "Перейти")</f>
        <v>Перейти</v>
      </c>
      <c r="F5338" s="2">
        <v>10004912</v>
      </c>
      <c r="G5338" s="4" t="s">
        <v>5504</v>
      </c>
      <c r="H5338" s="1">
        <v>0</v>
      </c>
      <c r="I5338" s="1">
        <v>0</v>
      </c>
      <c r="J5338" s="1">
        <v>0</v>
      </c>
      <c r="K5338" s="2">
        <v>3.65</v>
      </c>
    </row>
    <row r="5339" spans="1:12">
      <c r="A5339" s="3" t="s">
        <v>2194</v>
      </c>
      <c r="B5339" s="3" t="s">
        <v>5185</v>
      </c>
      <c r="C5339" s="3" t="s">
        <v>653</v>
      </c>
      <c r="D5339" s="3"/>
      <c r="E5339" s="2" t="str">
        <f>HYPERLINK("https://old.ukr-mobil.com/shlejf_samsung_a205_galaxy_a20_a305_a405_a505_a705_s_knopkoj_vklyucheniya_regulirovki_gromkosti_original_prc_10000777", "Перейти")</f>
        <v>Перейти</v>
      </c>
      <c r="F5339" s="2">
        <v>10000777</v>
      </c>
      <c r="G5339" s="4" t="s">
        <v>5505</v>
      </c>
      <c r="H5339" s="1">
        <v>0</v>
      </c>
      <c r="I5339" s="1">
        <v>0</v>
      </c>
      <c r="J5339" s="1">
        <v>0</v>
      </c>
      <c r="K5339" s="2">
        <v>1.5</v>
      </c>
    </row>
    <row r="5340" spans="1:12">
      <c r="A5340" s="3" t="s">
        <v>2194</v>
      </c>
      <c r="B5340" s="3" t="s">
        <v>5185</v>
      </c>
      <c r="C5340" s="3" t="s">
        <v>653</v>
      </c>
      <c r="D5340" s="3"/>
      <c r="E5340" s="2" t="str">
        <f>HYPERLINK("https://old.ukr-mobil.com/shlejf_samsung_a205_galaxy_a20_mezhplatnyj_original_prc_10000773", "Перейти")</f>
        <v>Перейти</v>
      </c>
      <c r="F5340" s="2">
        <v>10000773</v>
      </c>
      <c r="G5340" s="4" t="s">
        <v>5506</v>
      </c>
      <c r="H5340" s="1">
        <v>21</v>
      </c>
      <c r="I5340" s="1">
        <v>3</v>
      </c>
      <c r="J5340" s="1">
        <v>0</v>
      </c>
      <c r="K5340" s="2">
        <v>1.95</v>
      </c>
    </row>
    <row r="5341" spans="1:12">
      <c r="A5341" s="3" t="s">
        <v>2194</v>
      </c>
      <c r="B5341" s="3" t="s">
        <v>5185</v>
      </c>
      <c r="C5341" s="3" t="s">
        <v>653</v>
      </c>
      <c r="D5341" s="3"/>
      <c r="E5341" s="2" t="str">
        <f>HYPERLINK("https://old.ukr-mobil.com/shlejf_samsung_a205_galaxy_a20_s_razemom_zaryadki_garnitury_original_12185", "Перейти")</f>
        <v>Перейти</v>
      </c>
      <c r="F5341" s="2">
        <v>12185</v>
      </c>
      <c r="G5341" s="4" t="s">
        <v>5507</v>
      </c>
      <c r="H5341" s="1">
        <v>0</v>
      </c>
      <c r="I5341" s="1">
        <v>0</v>
      </c>
      <c r="J5341" s="1">
        <v>0</v>
      </c>
      <c r="K5341" s="2">
        <v>2.35</v>
      </c>
    </row>
    <row r="5342" spans="1:12">
      <c r="A5342" s="3" t="s">
        <v>2194</v>
      </c>
      <c r="B5342" s="3" t="s">
        <v>5185</v>
      </c>
      <c r="C5342" s="3" t="s">
        <v>653</v>
      </c>
      <c r="D5342" s="3"/>
      <c r="E5342" s="2" t="str">
        <f>HYPERLINK("https://old.ukr-mobil.com/shlejf_samsung_a207_galaxy_a20s_mezhplatnyj_original_prc_10000774", "Перейти")</f>
        <v>Перейти</v>
      </c>
      <c r="F5342" s="2">
        <v>10000774</v>
      </c>
      <c r="G5342" s="4" t="s">
        <v>5508</v>
      </c>
      <c r="H5342" s="1">
        <v>11</v>
      </c>
      <c r="I5342" s="1">
        <v>2</v>
      </c>
      <c r="J5342" s="1">
        <v>3</v>
      </c>
      <c r="K5342" s="2">
        <v>3.0</v>
      </c>
    </row>
    <row r="5343" spans="1:12">
      <c r="A5343" s="3" t="s">
        <v>2194</v>
      </c>
      <c r="B5343" s="3" t="s">
        <v>5185</v>
      </c>
      <c r="C5343" s="3" t="s">
        <v>653</v>
      </c>
      <c r="D5343" s="3"/>
      <c r="E5343" s="2" t="str">
        <f>HYPERLINK("https://old.ukr-mobil.com/shlejf_samsung_a207_galaxy_a20s_s_razemom_zaryadki_garnitury_mikrofonom_high_copy_10002403", "Перейти")</f>
        <v>Перейти</v>
      </c>
      <c r="F5343" s="2">
        <v>10002403</v>
      </c>
      <c r="G5343" s="4" t="s">
        <v>5509</v>
      </c>
      <c r="H5343" s="1">
        <v>15</v>
      </c>
      <c r="I5343" s="1">
        <v>1</v>
      </c>
      <c r="J5343" s="1">
        <v>0</v>
      </c>
      <c r="K5343" s="2">
        <v>2.5</v>
      </c>
    </row>
    <row r="5344" spans="1:12">
      <c r="A5344" s="3" t="s">
        <v>2194</v>
      </c>
      <c r="B5344" s="3" t="s">
        <v>5185</v>
      </c>
      <c r="C5344" s="3" t="s">
        <v>653</v>
      </c>
      <c r="D5344" s="3"/>
      <c r="E5344" s="2" t="str">
        <f>HYPERLINK("https://old.ukr-mobil.com/index.php?route=product&amp;product_id=10004703", "Перейти")</f>
        <v>Перейти</v>
      </c>
      <c r="F5344" s="2">
        <v>10004703</v>
      </c>
      <c r="G5344" s="4" t="s">
        <v>5510</v>
      </c>
      <c r="H5344" s="1">
        <v>0</v>
      </c>
      <c r="I5344" s="1">
        <v>0</v>
      </c>
      <c r="J5344" s="1">
        <v>0</v>
      </c>
      <c r="K5344" s="2">
        <v>2.5</v>
      </c>
    </row>
    <row r="5345" spans="1:12">
      <c r="A5345" s="3" t="s">
        <v>2194</v>
      </c>
      <c r="B5345" s="3" t="s">
        <v>5185</v>
      </c>
      <c r="C5345" s="3" t="s">
        <v>653</v>
      </c>
      <c r="D5345" s="3"/>
      <c r="E5345" s="2" t="str">
        <f>HYPERLINK("https://old.ukr-mobil.com/shlejf_samsung_a207_galaxy_a20s_s_knopkoj_vklyucheniya_original_prc_10000779", "Перейти")</f>
        <v>Перейти</v>
      </c>
      <c r="F5345" s="2">
        <v>10000779</v>
      </c>
      <c r="G5345" s="4" t="s">
        <v>5511</v>
      </c>
      <c r="H5345" s="1">
        <v>1</v>
      </c>
      <c r="I5345" s="1">
        <v>3</v>
      </c>
      <c r="J5345" s="1">
        <v>1</v>
      </c>
      <c r="K5345" s="2">
        <v>1.65</v>
      </c>
    </row>
    <row r="5346" spans="1:12">
      <c r="A5346" s="3" t="s">
        <v>2194</v>
      </c>
      <c r="B5346" s="3" t="s">
        <v>5185</v>
      </c>
      <c r="C5346" s="3" t="s">
        <v>653</v>
      </c>
      <c r="D5346" s="3"/>
      <c r="E5346" s="2" t="str">
        <f>HYPERLINK("https://old.ukr-mobil.com/shlejf_samsung_a217_galaxy_a21s_s_razemom_zaryadki_garnitury_mikrofonom_high_copy_10002375", "Перейти")</f>
        <v>Перейти</v>
      </c>
      <c r="F5346" s="2">
        <v>10002375</v>
      </c>
      <c r="G5346" s="4" t="s">
        <v>5512</v>
      </c>
      <c r="H5346" s="1">
        <v>14</v>
      </c>
      <c r="I5346" s="1">
        <v>6</v>
      </c>
      <c r="J5346" s="1">
        <v>6</v>
      </c>
      <c r="K5346" s="2">
        <v>2.75</v>
      </c>
    </row>
    <row r="5347" spans="1:12">
      <c r="A5347" s="3" t="s">
        <v>2194</v>
      </c>
      <c r="B5347" s="3" t="s">
        <v>5185</v>
      </c>
      <c r="C5347" s="3" t="s">
        <v>653</v>
      </c>
      <c r="D5347" s="3"/>
      <c r="E5347" s="2" t="str">
        <f>HYPERLINK("https://old.ukr-mobil.com/shlejf_samsung_a217_galaxy_a21s_s_razemom_zaryadki_garnitury_mikrofonom_original_10002376", "Перейти")</f>
        <v>Перейти</v>
      </c>
      <c r="F5347" s="2">
        <v>10002376</v>
      </c>
      <c r="G5347" s="4" t="s">
        <v>5513</v>
      </c>
      <c r="H5347" s="1">
        <v>9</v>
      </c>
      <c r="I5347" s="1">
        <v>2</v>
      </c>
      <c r="J5347" s="1">
        <v>3</v>
      </c>
      <c r="K5347" s="2">
        <v>8.5</v>
      </c>
    </row>
    <row r="5348" spans="1:12">
      <c r="A5348" s="3" t="s">
        <v>2194</v>
      </c>
      <c r="B5348" s="3" t="s">
        <v>5185</v>
      </c>
      <c r="C5348" s="3" t="s">
        <v>653</v>
      </c>
      <c r="D5348" s="3"/>
      <c r="E5348" s="2" t="str">
        <f>HYPERLINK("https://old.ukr-mobil.com/shlejf_samsung_a217_galaxy_a21s_so_skanerom_otpechatka_palca_black_10003380", "Перейти")</f>
        <v>Перейти</v>
      </c>
      <c r="F5348" s="2">
        <v>10003380</v>
      </c>
      <c r="G5348" s="4" t="s">
        <v>5514</v>
      </c>
      <c r="H5348" s="1">
        <v>3</v>
      </c>
      <c r="I5348" s="1">
        <v>3</v>
      </c>
      <c r="J5348" s="1">
        <v>3</v>
      </c>
      <c r="K5348" s="2">
        <v>7.25</v>
      </c>
    </row>
    <row r="5349" spans="1:12">
      <c r="A5349" s="3" t="s">
        <v>2194</v>
      </c>
      <c r="B5349" s="3" t="s">
        <v>5185</v>
      </c>
      <c r="C5349" s="3" t="s">
        <v>653</v>
      </c>
      <c r="D5349" s="3"/>
      <c r="E5349" s="2" t="str">
        <f>HYPERLINK("https://old.ukr-mobil.com/shlejf_samsung_a225_galaxy_a22_a325_galaxy_a32_mezhplatnyj_high_copy_10002379", "Перейти")</f>
        <v>Перейти</v>
      </c>
      <c r="F5349" s="2">
        <v>10002379</v>
      </c>
      <c r="G5349" s="4" t="s">
        <v>5515</v>
      </c>
      <c r="H5349" s="1">
        <v>0</v>
      </c>
      <c r="I5349" s="1">
        <v>0</v>
      </c>
      <c r="J5349" s="1">
        <v>0</v>
      </c>
      <c r="K5349" s="2">
        <v>3.85</v>
      </c>
    </row>
    <row r="5350" spans="1:12">
      <c r="A5350" s="3" t="s">
        <v>2194</v>
      </c>
      <c r="B5350" s="3" t="s">
        <v>5185</v>
      </c>
      <c r="C5350" s="3" t="s">
        <v>653</v>
      </c>
      <c r="D5350" s="3"/>
      <c r="E5350" s="2" t="str">
        <f>HYPERLINK("https://old.ukr-mobil.com/shlejf_samsung_a225_galaxy_a22_s_razemom_zaryadki_garnitury_mikrofonom_original_10002378", "Перейти")</f>
        <v>Перейти</v>
      </c>
      <c r="F5350" s="2">
        <v>10002378</v>
      </c>
      <c r="G5350" s="4" t="s">
        <v>5516</v>
      </c>
      <c r="H5350" s="1">
        <v>2</v>
      </c>
      <c r="I5350" s="1">
        <v>2</v>
      </c>
      <c r="J5350" s="1">
        <v>2</v>
      </c>
      <c r="K5350" s="2">
        <v>13.5</v>
      </c>
    </row>
    <row r="5351" spans="1:12">
      <c r="A5351" s="3" t="s">
        <v>2194</v>
      </c>
      <c r="B5351" s="3" t="s">
        <v>5185</v>
      </c>
      <c r="C5351" s="3" t="s">
        <v>653</v>
      </c>
      <c r="D5351" s="3"/>
      <c r="E5351" s="2" t="str">
        <f>HYPERLINK("https://old.ukr-mobil.com/shlejf_samsung_a225_galaxy_a22_s_razemom_zaryadki_garnitury_mikrofonom_original_prc_10002377", "Перейти")</f>
        <v>Перейти</v>
      </c>
      <c r="F5351" s="2">
        <v>10002377</v>
      </c>
      <c r="G5351" s="4" t="s">
        <v>5517</v>
      </c>
      <c r="H5351" s="1">
        <v>0</v>
      </c>
      <c r="I5351" s="1">
        <v>0</v>
      </c>
      <c r="J5351" s="1">
        <v>0</v>
      </c>
      <c r="K5351" s="2">
        <v>3.85</v>
      </c>
    </row>
    <row r="5352" spans="1:12">
      <c r="A5352" s="3" t="s">
        <v>2194</v>
      </c>
      <c r="B5352" s="3" t="s">
        <v>5185</v>
      </c>
      <c r="C5352" s="3" t="s">
        <v>653</v>
      </c>
      <c r="D5352" s="3"/>
      <c r="E5352" s="2" t="str">
        <f>HYPERLINK("https://old.ukr-mobil.com/shlejf_samsung_a225_galaxy_a22_so_skanerom_otpechatka_palca_knopka_vklyucheniya_original_black_10003392", "Перейти")</f>
        <v>Перейти</v>
      </c>
      <c r="F5352" s="2">
        <v>10003392</v>
      </c>
      <c r="G5352" s="4" t="s">
        <v>5518</v>
      </c>
      <c r="H5352" s="1">
        <v>0</v>
      </c>
      <c r="I5352" s="1">
        <v>0</v>
      </c>
      <c r="J5352" s="1">
        <v>0</v>
      </c>
      <c r="K5352" s="2">
        <v>3.35</v>
      </c>
    </row>
    <row r="5353" spans="1:12">
      <c r="A5353" s="3" t="s">
        <v>2194</v>
      </c>
      <c r="B5353" s="3" t="s">
        <v>5185</v>
      </c>
      <c r="C5353" s="3" t="s">
        <v>653</v>
      </c>
      <c r="D5353" s="3"/>
      <c r="E5353" s="2" t="str">
        <f>HYPERLINK("https://old.ukr-mobil.com/shlejf_samsung_a225_galaxy_a22_so_skanerom_otpechatka_palca_knopka_vklyucheniya_original_green_10003393", "Перейти")</f>
        <v>Перейти</v>
      </c>
      <c r="F5353" s="2">
        <v>10003393</v>
      </c>
      <c r="G5353" s="4" t="s">
        <v>5519</v>
      </c>
      <c r="H5353" s="1">
        <v>0</v>
      </c>
      <c r="I5353" s="1">
        <v>0</v>
      </c>
      <c r="J5353" s="1">
        <v>0</v>
      </c>
      <c r="K5353" s="2">
        <v>3.35</v>
      </c>
    </row>
    <row r="5354" spans="1:12">
      <c r="A5354" s="3" t="s">
        <v>2194</v>
      </c>
      <c r="B5354" s="3" t="s">
        <v>5185</v>
      </c>
      <c r="C5354" s="3" t="s">
        <v>653</v>
      </c>
      <c r="D5354" s="3"/>
      <c r="E5354" s="2" t="str">
        <f>HYPERLINK("https://old.ukr-mobil.com/shlejf_samsung_a225_galaxy_a22_so_skanerom_otpechatka_palca_knopka_vklyucheniya_original_purple_10003395", "Перейти")</f>
        <v>Перейти</v>
      </c>
      <c r="F5354" s="2">
        <v>10003395</v>
      </c>
      <c r="G5354" s="4" t="s">
        <v>5520</v>
      </c>
      <c r="H5354" s="1">
        <v>2</v>
      </c>
      <c r="I5354" s="1">
        <v>0</v>
      </c>
      <c r="J5354" s="1">
        <v>0</v>
      </c>
      <c r="K5354" s="2">
        <v>3.35</v>
      </c>
    </row>
    <row r="5355" spans="1:12">
      <c r="A5355" s="3" t="s">
        <v>2194</v>
      </c>
      <c r="B5355" s="3" t="s">
        <v>5185</v>
      </c>
      <c r="C5355" s="3" t="s">
        <v>653</v>
      </c>
      <c r="D5355" s="3"/>
      <c r="E5355" s="2" t="str">
        <f>HYPERLINK("https://old.ukr-mobil.com/shlejf_samsung_a225_galaxy_a22_so_skanerom_otpechatka_palca_knopka_vklyucheniya_original_white_10003394", "Перейти")</f>
        <v>Перейти</v>
      </c>
      <c r="F5355" s="2">
        <v>10003394</v>
      </c>
      <c r="G5355" s="4" t="s">
        <v>5521</v>
      </c>
      <c r="H5355" s="1">
        <v>0</v>
      </c>
      <c r="I5355" s="1">
        <v>0</v>
      </c>
      <c r="J5355" s="1">
        <v>0</v>
      </c>
      <c r="K5355" s="2">
        <v>3.35</v>
      </c>
    </row>
    <row r="5356" spans="1:12">
      <c r="A5356" s="3" t="s">
        <v>2194</v>
      </c>
      <c r="B5356" s="3" t="s">
        <v>5185</v>
      </c>
      <c r="C5356" s="3" t="s">
        <v>653</v>
      </c>
      <c r="D5356" s="3"/>
      <c r="E5356" s="2" t="str">
        <f>HYPERLINK("https://old.ukr-mobil.com/shlejf_samsung_a226_galaxy_a22_5g_so_skanerom_otpechatka_palca_original_black_10003374", "Перейти")</f>
        <v>Перейти</v>
      </c>
      <c r="F5356" s="2">
        <v>10003374</v>
      </c>
      <c r="G5356" s="4" t="s">
        <v>5522</v>
      </c>
      <c r="H5356" s="1">
        <v>6</v>
      </c>
      <c r="I5356" s="1">
        <v>4</v>
      </c>
      <c r="J5356" s="1">
        <v>4</v>
      </c>
      <c r="K5356" s="2">
        <v>5.0</v>
      </c>
    </row>
    <row r="5357" spans="1:12">
      <c r="A5357" s="3" t="s">
        <v>2194</v>
      </c>
      <c r="B5357" s="3" t="s">
        <v>5185</v>
      </c>
      <c r="C5357" s="3" t="s">
        <v>653</v>
      </c>
      <c r="D5357" s="3"/>
      <c r="E5357" s="2" t="str">
        <f>HYPERLINK("https://old.ukr-mobil.com/index.php?route=product&amp;product_id=10004629", "Перейти")</f>
        <v>Перейти</v>
      </c>
      <c r="F5357" s="2">
        <v>10004629</v>
      </c>
      <c r="G5357" s="4" t="s">
        <v>5523</v>
      </c>
      <c r="H5357" s="1">
        <v>2</v>
      </c>
      <c r="I5357" s="1">
        <v>1</v>
      </c>
      <c r="J5357" s="1">
        <v>1</v>
      </c>
      <c r="K5357" s="2">
        <v>10.0</v>
      </c>
    </row>
    <row r="5358" spans="1:12">
      <c r="A5358" s="3" t="s">
        <v>2194</v>
      </c>
      <c r="B5358" s="3" t="s">
        <v>5185</v>
      </c>
      <c r="C5358" s="3" t="s">
        <v>653</v>
      </c>
      <c r="D5358" s="3"/>
      <c r="E5358" s="2" t="str">
        <f>HYPERLINK("https://old.ukr-mobil.com/index.php?route=product&amp;product_id=10004628", "Перейти")</f>
        <v>Перейти</v>
      </c>
      <c r="F5358" s="2">
        <v>10004628</v>
      </c>
      <c r="G5358" s="4" t="s">
        <v>5524</v>
      </c>
      <c r="H5358" s="1">
        <v>3</v>
      </c>
      <c r="I5358" s="1">
        <v>1</v>
      </c>
      <c r="J5358" s="1">
        <v>0</v>
      </c>
      <c r="K5358" s="2">
        <v>7.0</v>
      </c>
    </row>
    <row r="5359" spans="1:12">
      <c r="A5359" s="3" t="s">
        <v>2194</v>
      </c>
      <c r="B5359" s="3" t="s">
        <v>5185</v>
      </c>
      <c r="C5359" s="3" t="s">
        <v>653</v>
      </c>
      <c r="D5359" s="3"/>
      <c r="E5359" s="2" t="str">
        <f>HYPERLINK("https://old.ukr-mobil.com/shlejf_samsung_a305_galaxy_a30_s_razemom_zaryadki_garnitury_original_12182", "Перейти")</f>
        <v>Перейти</v>
      </c>
      <c r="F5359" s="2">
        <v>12182</v>
      </c>
      <c r="G5359" s="4" t="s">
        <v>5525</v>
      </c>
      <c r="H5359" s="1">
        <v>0</v>
      </c>
      <c r="I5359" s="1">
        <v>0</v>
      </c>
      <c r="J5359" s="1">
        <v>0</v>
      </c>
      <c r="K5359" s="2">
        <v>3.35</v>
      </c>
    </row>
    <row r="5360" spans="1:12">
      <c r="A5360" s="3" t="s">
        <v>2194</v>
      </c>
      <c r="B5360" s="3" t="s">
        <v>5185</v>
      </c>
      <c r="C5360" s="3" t="s">
        <v>653</v>
      </c>
      <c r="D5360" s="3"/>
      <c r="E5360" s="2" t="str">
        <f>HYPERLINK("https://old.ukr-mobil.com/shlejf_samsung_a307_galaxy_a30s_mezhplatnyj_original_prc_10000775", "Перейти")</f>
        <v>Перейти</v>
      </c>
      <c r="F5360" s="2">
        <v>10000775</v>
      </c>
      <c r="G5360" s="4" t="s">
        <v>5526</v>
      </c>
      <c r="H5360" s="1">
        <v>0</v>
      </c>
      <c r="I5360" s="1">
        <v>0</v>
      </c>
      <c r="J5360" s="1">
        <v>0</v>
      </c>
      <c r="K5360" s="2">
        <v>2.5</v>
      </c>
    </row>
    <row r="5361" spans="1:12">
      <c r="A5361" s="3" t="s">
        <v>2194</v>
      </c>
      <c r="B5361" s="3" t="s">
        <v>5185</v>
      </c>
      <c r="C5361" s="3" t="s">
        <v>653</v>
      </c>
      <c r="D5361" s="3"/>
      <c r="E5361" s="2" t="str">
        <f>HYPERLINK("https://old.ukr-mobil.com/shlejf_samsung_a307_galaxy_a30s_s_razemom_zaryadki_garnitury_original_prc_10002147", "Перейти")</f>
        <v>Перейти</v>
      </c>
      <c r="F5361" s="2">
        <v>10002147</v>
      </c>
      <c r="G5361" s="4" t="s">
        <v>5527</v>
      </c>
      <c r="H5361" s="1">
        <v>0</v>
      </c>
      <c r="I5361" s="1">
        <v>0</v>
      </c>
      <c r="J5361" s="1">
        <v>0</v>
      </c>
      <c r="K5361" s="2">
        <v>3.25</v>
      </c>
    </row>
    <row r="5362" spans="1:12">
      <c r="A5362" s="3" t="s">
        <v>2194</v>
      </c>
      <c r="B5362" s="3" t="s">
        <v>5185</v>
      </c>
      <c r="C5362" s="3" t="s">
        <v>653</v>
      </c>
      <c r="D5362" s="3"/>
      <c r="E5362" s="2" t="str">
        <f>HYPERLINK("https://old.ukr-mobil.com/shlejf_samsung_a315_galaxy_a31_a415_galaxy_a41_s_knopkoj_vklyucheniya_regulirovki_gromkosti_10002380", "Перейти")</f>
        <v>Перейти</v>
      </c>
      <c r="F5362" s="2">
        <v>10002380</v>
      </c>
      <c r="G5362" s="4" t="s">
        <v>5528</v>
      </c>
      <c r="H5362" s="1">
        <v>8</v>
      </c>
      <c r="I5362" s="1">
        <v>0</v>
      </c>
      <c r="J5362" s="1">
        <v>3</v>
      </c>
      <c r="K5362" s="2">
        <v>1.15</v>
      </c>
    </row>
    <row r="5363" spans="1:12">
      <c r="A5363" s="3" t="s">
        <v>2194</v>
      </c>
      <c r="B5363" s="3" t="s">
        <v>5185</v>
      </c>
      <c r="C5363" s="3" t="s">
        <v>653</v>
      </c>
      <c r="D5363" s="3"/>
      <c r="E5363" s="2" t="str">
        <f>HYPERLINK("https://old.ukr-mobil.com/shlejf_samsung_a315_galaxy_a31_mezhplatnyj_original_prc_10001875", "Перейти")</f>
        <v>Перейти</v>
      </c>
      <c r="F5363" s="2">
        <v>10001875</v>
      </c>
      <c r="G5363" s="4" t="s">
        <v>5529</v>
      </c>
      <c r="H5363" s="1">
        <v>0</v>
      </c>
      <c r="I5363" s="1">
        <v>0</v>
      </c>
      <c r="J5363" s="1">
        <v>0</v>
      </c>
      <c r="K5363" s="2">
        <v>3.15</v>
      </c>
    </row>
    <row r="5364" spans="1:12">
      <c r="A5364" s="3" t="s">
        <v>2194</v>
      </c>
      <c r="B5364" s="3" t="s">
        <v>5185</v>
      </c>
      <c r="C5364" s="3" t="s">
        <v>653</v>
      </c>
      <c r="D5364" s="3"/>
      <c r="E5364" s="2" t="str">
        <f>HYPERLINK("https://old.ukr-mobil.com/shlejf_samsung_a315_galaxy_a31_s_razemom_zaryadki_garnitury_original_prc_10001180", "Перейти")</f>
        <v>Перейти</v>
      </c>
      <c r="F5364" s="2">
        <v>10001180</v>
      </c>
      <c r="G5364" s="4" t="s">
        <v>5530</v>
      </c>
      <c r="H5364" s="1">
        <v>0</v>
      </c>
      <c r="I5364" s="1">
        <v>0</v>
      </c>
      <c r="J5364" s="1">
        <v>0</v>
      </c>
      <c r="K5364" s="2">
        <v>3.5</v>
      </c>
    </row>
    <row r="5365" spans="1:12">
      <c r="A5365" s="3" t="s">
        <v>2194</v>
      </c>
      <c r="B5365" s="3" t="s">
        <v>5185</v>
      </c>
      <c r="C5365" s="3" t="s">
        <v>653</v>
      </c>
      <c r="D5365" s="3"/>
      <c r="E5365" s="2" t="str">
        <f>HYPERLINK("https://old.ukr-mobil.com/shlejf_samsung_a315_galaxy_a31_so_skanerom_otpechatka_palca_original_10003389", "Перейти")</f>
        <v>Перейти</v>
      </c>
      <c r="F5365" s="2">
        <v>10003389</v>
      </c>
      <c r="G5365" s="4" t="s">
        <v>5531</v>
      </c>
      <c r="H5365" s="1">
        <v>0</v>
      </c>
      <c r="I5365" s="1">
        <v>4</v>
      </c>
      <c r="J5365" s="1">
        <v>1</v>
      </c>
      <c r="K5365" s="2">
        <v>3.1</v>
      </c>
    </row>
    <row r="5366" spans="1:12">
      <c r="A5366" s="3" t="s">
        <v>2194</v>
      </c>
      <c r="B5366" s="3" t="s">
        <v>5185</v>
      </c>
      <c r="C5366" s="3" t="s">
        <v>653</v>
      </c>
      <c r="D5366" s="3"/>
      <c r="E5366" s="2" t="str">
        <f>HYPERLINK("https://old.ukr-mobil.com/shlejf_samsung_a325_galaxy_a32_4g_a525_galaxy_a52_a725_galaxy_a72_so_skanerom_otpechatka_palca_original_10003388", "Перейти")</f>
        <v>Перейти</v>
      </c>
      <c r="F5366" s="2">
        <v>10003388</v>
      </c>
      <c r="G5366" s="4" t="s">
        <v>5532</v>
      </c>
      <c r="H5366" s="1">
        <v>0</v>
      </c>
      <c r="I5366" s="1">
        <v>2</v>
      </c>
      <c r="J5366" s="1">
        <v>4</v>
      </c>
      <c r="K5366" s="2">
        <v>4.25</v>
      </c>
    </row>
    <row r="5367" spans="1:12">
      <c r="A5367" s="3" t="s">
        <v>2194</v>
      </c>
      <c r="B5367" s="3" t="s">
        <v>5185</v>
      </c>
      <c r="C5367" s="3" t="s">
        <v>653</v>
      </c>
      <c r="D5367" s="3"/>
      <c r="E5367" s="2" t="str">
        <f>HYPERLINK("https://old.ukr-mobil.com/shlejf_samsung_a325_galaxy_a32_s_knopkoj_vklyucheniya_regulirovki_gromkosti_high_copy_10002404", "Перейти")</f>
        <v>Перейти</v>
      </c>
      <c r="F5367" s="2">
        <v>10002404</v>
      </c>
      <c r="G5367" s="4" t="s">
        <v>5533</v>
      </c>
      <c r="H5367" s="1">
        <v>0</v>
      </c>
      <c r="I5367" s="1">
        <v>1</v>
      </c>
      <c r="J5367" s="1">
        <v>1</v>
      </c>
      <c r="K5367" s="2">
        <v>1.5</v>
      </c>
    </row>
    <row r="5368" spans="1:12">
      <c r="A5368" s="3" t="s">
        <v>2194</v>
      </c>
      <c r="B5368" s="3" t="s">
        <v>5185</v>
      </c>
      <c r="C5368" s="3" t="s">
        <v>653</v>
      </c>
      <c r="D5368" s="3"/>
      <c r="E5368" s="2" t="str">
        <f>HYPERLINK("https://old.ukr-mobil.com/shlejf_samsung_a325_galaxy_a32_s_razemom_zaryadki_garnitury_mikrofonom_original_10002382", "Перейти")</f>
        <v>Перейти</v>
      </c>
      <c r="F5368" s="2">
        <v>10002382</v>
      </c>
      <c r="G5368" s="4" t="s">
        <v>5534</v>
      </c>
      <c r="H5368" s="1">
        <v>1</v>
      </c>
      <c r="I5368" s="1">
        <v>0</v>
      </c>
      <c r="J5368" s="1">
        <v>0</v>
      </c>
      <c r="K5368" s="2">
        <v>15.0</v>
      </c>
    </row>
    <row r="5369" spans="1:12">
      <c r="A5369" s="3" t="s">
        <v>2194</v>
      </c>
      <c r="B5369" s="3" t="s">
        <v>5185</v>
      </c>
      <c r="C5369" s="3" t="s">
        <v>653</v>
      </c>
      <c r="D5369" s="3"/>
      <c r="E5369" s="2" t="str">
        <f>HYPERLINK("https://old.ukr-mobil.com/shlejf_samsung_a325_galaxy_a32_s_razemom_zaryadki_garnitury_mikrofonom_original_prc_10002381", "Перейти")</f>
        <v>Перейти</v>
      </c>
      <c r="F5369" s="2">
        <v>10002381</v>
      </c>
      <c r="G5369" s="4" t="s">
        <v>5535</v>
      </c>
      <c r="H5369" s="1">
        <v>0</v>
      </c>
      <c r="I5369" s="1">
        <v>0</v>
      </c>
      <c r="J5369" s="1">
        <v>0</v>
      </c>
      <c r="K5369" s="2">
        <v>3.5</v>
      </c>
    </row>
    <row r="5370" spans="1:12">
      <c r="A5370" s="3" t="s">
        <v>2194</v>
      </c>
      <c r="B5370" s="3" t="s">
        <v>5185</v>
      </c>
      <c r="C5370" s="3" t="s">
        <v>653</v>
      </c>
      <c r="D5370" s="3"/>
      <c r="E5370" s="2" t="str">
        <f>HYPERLINK("https://old.ukr-mobil.com/index.php?route=product&amp;product_id=10005123", "Перейти")</f>
        <v>Перейти</v>
      </c>
      <c r="F5370" s="2">
        <v>10005123</v>
      </c>
      <c r="G5370" s="4" t="s">
        <v>5536</v>
      </c>
      <c r="H5370" s="1">
        <v>11</v>
      </c>
      <c r="I5370" s="1">
        <v>5</v>
      </c>
      <c r="J5370" s="1">
        <v>3</v>
      </c>
      <c r="K5370" s="2">
        <v>4.5</v>
      </c>
    </row>
    <row r="5371" spans="1:12">
      <c r="A5371" s="3" t="s">
        <v>2194</v>
      </c>
      <c r="B5371" s="3" t="s">
        <v>5185</v>
      </c>
      <c r="C5371" s="3" t="s">
        <v>653</v>
      </c>
      <c r="D5371" s="3"/>
      <c r="E5371" s="2" t="str">
        <f>HYPERLINK("https://old.ukr-mobil.com/index.php?route=product&amp;product_id=10005038", "Перейти")</f>
        <v>Перейти</v>
      </c>
      <c r="F5371" s="2">
        <v>10005038</v>
      </c>
      <c r="G5371" s="4" t="s">
        <v>5537</v>
      </c>
      <c r="H5371" s="1">
        <v>2</v>
      </c>
      <c r="I5371" s="1">
        <v>3</v>
      </c>
      <c r="J5371" s="1">
        <v>1</v>
      </c>
      <c r="K5371" s="2">
        <v>5.0</v>
      </c>
    </row>
    <row r="5372" spans="1:12">
      <c r="A5372" s="3" t="s">
        <v>2194</v>
      </c>
      <c r="B5372" s="3" t="s">
        <v>5185</v>
      </c>
      <c r="C5372" s="3" t="s">
        <v>653</v>
      </c>
      <c r="D5372" s="3"/>
      <c r="E5372" s="2" t="str">
        <f>HYPERLINK("https://old.ukr-mobil.com/index.php?route=product&amp;product_id=10005064", "Перейти")</f>
        <v>Перейти</v>
      </c>
      <c r="F5372" s="2">
        <v>10005064</v>
      </c>
      <c r="G5372" s="4" t="s">
        <v>5538</v>
      </c>
      <c r="H5372" s="1">
        <v>2</v>
      </c>
      <c r="I5372" s="1">
        <v>3</v>
      </c>
      <c r="J5372" s="1">
        <v>2</v>
      </c>
      <c r="K5372" s="2">
        <v>1.25</v>
      </c>
    </row>
    <row r="5373" spans="1:12">
      <c r="A5373" s="3" t="s">
        <v>2194</v>
      </c>
      <c r="B5373" s="3" t="s">
        <v>5185</v>
      </c>
      <c r="C5373" s="3" t="s">
        <v>653</v>
      </c>
      <c r="D5373" s="3"/>
      <c r="E5373" s="2" t="str">
        <f>HYPERLINK("https://old.ukr-mobil.com/index.php?route=product&amp;product_id=10004933", "Перейти")</f>
        <v>Перейти</v>
      </c>
      <c r="F5373" s="2">
        <v>10004933</v>
      </c>
      <c r="G5373" s="4" t="s">
        <v>5539</v>
      </c>
      <c r="H5373" s="1">
        <v>1</v>
      </c>
      <c r="I5373" s="1">
        <v>0</v>
      </c>
      <c r="J5373" s="1">
        <v>0</v>
      </c>
      <c r="K5373" s="2">
        <v>10.0</v>
      </c>
    </row>
    <row r="5374" spans="1:12">
      <c r="A5374" s="3" t="s">
        <v>2194</v>
      </c>
      <c r="B5374" s="3" t="s">
        <v>5185</v>
      </c>
      <c r="C5374" s="3" t="s">
        <v>653</v>
      </c>
      <c r="D5374" s="3"/>
      <c r="E5374" s="2" t="str">
        <f>HYPERLINK("https://old.ukr-mobil.com/index.php?route=product&amp;product_id=10004913", "Перейти")</f>
        <v>Перейти</v>
      </c>
      <c r="F5374" s="2">
        <v>10004913</v>
      </c>
      <c r="G5374" s="4" t="s">
        <v>5540</v>
      </c>
      <c r="H5374" s="1">
        <v>0</v>
      </c>
      <c r="I5374" s="1">
        <v>0</v>
      </c>
      <c r="J5374" s="1">
        <v>0</v>
      </c>
      <c r="K5374" s="2">
        <v>3.15</v>
      </c>
    </row>
    <row r="5375" spans="1:12">
      <c r="A5375" s="3" t="s">
        <v>2194</v>
      </c>
      <c r="B5375" s="3" t="s">
        <v>5185</v>
      </c>
      <c r="C5375" s="3" t="s">
        <v>653</v>
      </c>
      <c r="D5375" s="3"/>
      <c r="E5375" s="2" t="str">
        <f>HYPERLINK("https://old.ukr-mobil.com/index.php?route=product&amp;product_id=10005066", "Перейти")</f>
        <v>Перейти</v>
      </c>
      <c r="F5375" s="2">
        <v>10005066</v>
      </c>
      <c r="G5375" s="4" t="s">
        <v>5541</v>
      </c>
      <c r="H5375" s="1">
        <v>5</v>
      </c>
      <c r="I5375" s="1">
        <v>3</v>
      </c>
      <c r="J5375" s="1">
        <v>2</v>
      </c>
      <c r="K5375" s="2">
        <v>1.5</v>
      </c>
    </row>
    <row r="5376" spans="1:12">
      <c r="A5376" s="3" t="s">
        <v>2194</v>
      </c>
      <c r="B5376" s="3" t="s">
        <v>5185</v>
      </c>
      <c r="C5376" s="3" t="s">
        <v>653</v>
      </c>
      <c r="D5376" s="3"/>
      <c r="E5376" s="2" t="str">
        <f>HYPERLINK("https://old.ukr-mobil.com/index.php?route=product&amp;product_id=10004930", "Перейти")</f>
        <v>Перейти</v>
      </c>
      <c r="F5376" s="2">
        <v>10004930</v>
      </c>
      <c r="G5376" s="4" t="s">
        <v>5542</v>
      </c>
      <c r="H5376" s="1">
        <v>0</v>
      </c>
      <c r="I5376" s="1">
        <v>2</v>
      </c>
      <c r="J5376" s="1">
        <v>2</v>
      </c>
      <c r="K5376" s="2">
        <v>15.0</v>
      </c>
    </row>
    <row r="5377" spans="1:12">
      <c r="A5377" s="3" t="s">
        <v>2194</v>
      </c>
      <c r="B5377" s="3" t="s">
        <v>5185</v>
      </c>
      <c r="C5377" s="3" t="s">
        <v>653</v>
      </c>
      <c r="D5377" s="3"/>
      <c r="E5377" s="2" t="str">
        <f>HYPERLINK("https://old.ukr-mobil.com/index.php?route=product&amp;product_id=10004914", "Перейти")</f>
        <v>Перейти</v>
      </c>
      <c r="F5377" s="2">
        <v>10004914</v>
      </c>
      <c r="G5377" s="4" t="s">
        <v>5543</v>
      </c>
      <c r="H5377" s="1">
        <v>0</v>
      </c>
      <c r="I5377" s="1">
        <v>0</v>
      </c>
      <c r="J5377" s="1">
        <v>0</v>
      </c>
      <c r="K5377" s="2">
        <v>6.0</v>
      </c>
    </row>
    <row r="5378" spans="1:12">
      <c r="A5378" s="3" t="s">
        <v>2194</v>
      </c>
      <c r="B5378" s="3" t="s">
        <v>5185</v>
      </c>
      <c r="C5378" s="3" t="s">
        <v>653</v>
      </c>
      <c r="D5378" s="3"/>
      <c r="E5378" s="2" t="str">
        <f>HYPERLINK("https://old.ukr-mobil.com/shlejf_samsung_a405_galaxy_a40_s_razemom_zaryadki_garnitury_original_prc_10000448", "Перейти")</f>
        <v>Перейти</v>
      </c>
      <c r="F5378" s="2">
        <v>10000448</v>
      </c>
      <c r="G5378" s="4" t="s">
        <v>5544</v>
      </c>
      <c r="H5378" s="1">
        <v>0</v>
      </c>
      <c r="I5378" s="1">
        <v>0</v>
      </c>
      <c r="J5378" s="1">
        <v>0</v>
      </c>
      <c r="K5378" s="2">
        <v>3.2</v>
      </c>
    </row>
    <row r="5379" spans="1:12">
      <c r="A5379" s="3" t="s">
        <v>2194</v>
      </c>
      <c r="B5379" s="3" t="s">
        <v>5185</v>
      </c>
      <c r="C5379" s="3" t="s">
        <v>653</v>
      </c>
      <c r="D5379" s="3"/>
      <c r="E5379" s="2" t="str">
        <f>HYPERLINK("https://old.ukr-mobil.com/shlejf_samsung_a505_galaxy_a50_mezhplatnyj_original_prc_10000776", "Перейти")</f>
        <v>Перейти</v>
      </c>
      <c r="F5379" s="2">
        <v>10000776</v>
      </c>
      <c r="G5379" s="4" t="s">
        <v>5545</v>
      </c>
      <c r="H5379" s="1">
        <v>0</v>
      </c>
      <c r="I5379" s="1">
        <v>0</v>
      </c>
      <c r="J5379" s="1">
        <v>0</v>
      </c>
      <c r="K5379" s="2">
        <v>2.1</v>
      </c>
    </row>
    <row r="5380" spans="1:12">
      <c r="A5380" s="3" t="s">
        <v>2194</v>
      </c>
      <c r="B5380" s="3" t="s">
        <v>5185</v>
      </c>
      <c r="C5380" s="3" t="s">
        <v>653</v>
      </c>
      <c r="D5380" s="3"/>
      <c r="E5380" s="2" t="str">
        <f>HYPERLINK("https://old.ukr-mobil.com/shlejf_samsung_a505_galaxy_a50_s_razemom_zaryadki_garnitury_original_10001963", "Перейти")</f>
        <v>Перейти</v>
      </c>
      <c r="F5380" s="2">
        <v>10001963</v>
      </c>
      <c r="G5380" s="4" t="s">
        <v>5546</v>
      </c>
      <c r="H5380" s="1">
        <v>0</v>
      </c>
      <c r="I5380" s="1">
        <v>0</v>
      </c>
      <c r="J5380" s="1">
        <v>0</v>
      </c>
      <c r="K5380" s="2">
        <v>7.5</v>
      </c>
    </row>
    <row r="5381" spans="1:12">
      <c r="A5381" s="3" t="s">
        <v>2194</v>
      </c>
      <c r="B5381" s="3" t="s">
        <v>5185</v>
      </c>
      <c r="C5381" s="3" t="s">
        <v>653</v>
      </c>
      <c r="D5381" s="3"/>
      <c r="E5381" s="2" t="str">
        <f>HYPERLINK("https://old.ukr-mobil.com/shlejf_samsung_a505_galaxy_a50_s_razemom_zaryadki_garnitury_original_prc_12183", "Перейти")</f>
        <v>Перейти</v>
      </c>
      <c r="F5381" s="2">
        <v>12183</v>
      </c>
      <c r="G5381" s="4" t="s">
        <v>5547</v>
      </c>
      <c r="H5381" s="1">
        <v>0</v>
      </c>
      <c r="I5381" s="1">
        <v>0</v>
      </c>
      <c r="J5381" s="1">
        <v>0</v>
      </c>
      <c r="K5381" s="2">
        <v>3.0</v>
      </c>
    </row>
    <row r="5382" spans="1:12">
      <c r="A5382" s="3" t="s">
        <v>2194</v>
      </c>
      <c r="B5382" s="3" t="s">
        <v>5185</v>
      </c>
      <c r="C5382" s="3" t="s">
        <v>653</v>
      </c>
      <c r="D5382" s="3"/>
      <c r="E5382" s="2" t="str">
        <f>HYPERLINK("https://old.ukr-mobil.com/shlejf_samsung_a515_galaxy_a51_a715_galaxy_a71_s_knopkoj_vklyucheniya_regulirovki_gromkosti_10002406", "Перейти")</f>
        <v>Перейти</v>
      </c>
      <c r="F5382" s="2">
        <v>10002406</v>
      </c>
      <c r="G5382" s="4" t="s">
        <v>5548</v>
      </c>
      <c r="H5382" s="1">
        <v>5</v>
      </c>
      <c r="I5382" s="1">
        <v>4</v>
      </c>
      <c r="J5382" s="1">
        <v>0</v>
      </c>
      <c r="K5382" s="2">
        <v>1.05</v>
      </c>
    </row>
    <row r="5383" spans="1:12">
      <c r="A5383" s="3" t="s">
        <v>2194</v>
      </c>
      <c r="B5383" s="3" t="s">
        <v>5185</v>
      </c>
      <c r="C5383" s="3" t="s">
        <v>653</v>
      </c>
      <c r="D5383" s="3"/>
      <c r="E5383" s="2" t="str">
        <f>HYPERLINK("https://old.ukr-mobil.com/shlejf_samsung_a515_galaxy_a51_a715_galaxy_a71_so_skanerom_otpechatka_palca_original_10003387", "Перейти")</f>
        <v>Перейти</v>
      </c>
      <c r="F5383" s="2">
        <v>10003387</v>
      </c>
      <c r="G5383" s="4" t="s">
        <v>5549</v>
      </c>
      <c r="H5383" s="1">
        <v>0</v>
      </c>
      <c r="I5383" s="1">
        <v>0</v>
      </c>
      <c r="J5383" s="1">
        <v>1</v>
      </c>
      <c r="K5383" s="2">
        <v>2.1</v>
      </c>
    </row>
    <row r="5384" spans="1:12">
      <c r="A5384" s="3" t="s">
        <v>2194</v>
      </c>
      <c r="B5384" s="3" t="s">
        <v>5185</v>
      </c>
      <c r="C5384" s="3" t="s">
        <v>653</v>
      </c>
      <c r="D5384" s="3"/>
      <c r="E5384" s="2" t="str">
        <f>HYPERLINK("https://old.ukr-mobil.com/shlejf_samsung_a515_galaxy_a51_mezhplatnyj_original_prc_10001876", "Перейти")</f>
        <v>Перейти</v>
      </c>
      <c r="F5384" s="2">
        <v>10001876</v>
      </c>
      <c r="G5384" s="4" t="s">
        <v>5550</v>
      </c>
      <c r="H5384" s="1">
        <v>0</v>
      </c>
      <c r="I5384" s="1">
        <v>0</v>
      </c>
      <c r="J5384" s="1">
        <v>0</v>
      </c>
      <c r="K5384" s="2">
        <v>3.25</v>
      </c>
    </row>
    <row r="5385" spans="1:12">
      <c r="A5385" s="3" t="s">
        <v>2194</v>
      </c>
      <c r="B5385" s="3" t="s">
        <v>5185</v>
      </c>
      <c r="C5385" s="3" t="s">
        <v>653</v>
      </c>
      <c r="D5385" s="3"/>
      <c r="E5385" s="2" t="str">
        <f>HYPERLINK("https://old.ukr-mobil.com/shlejf_samsung_a515_galaxy_a51_s_razemom_zaryadki_garnitury_original_10002276", "Перейти")</f>
        <v>Перейти</v>
      </c>
      <c r="F5385" s="2">
        <v>10002276</v>
      </c>
      <c r="G5385" s="4" t="s">
        <v>5551</v>
      </c>
      <c r="H5385" s="1">
        <v>0</v>
      </c>
      <c r="I5385" s="1">
        <v>1</v>
      </c>
      <c r="J5385" s="1">
        <v>0</v>
      </c>
      <c r="K5385" s="2">
        <v>8.5</v>
      </c>
    </row>
    <row r="5386" spans="1:12">
      <c r="A5386" s="3" t="s">
        <v>2194</v>
      </c>
      <c r="B5386" s="3" t="s">
        <v>5185</v>
      </c>
      <c r="C5386" s="3" t="s">
        <v>653</v>
      </c>
      <c r="D5386" s="3"/>
      <c r="E5386" s="2" t="str">
        <f>HYPERLINK("https://old.ukr-mobil.com/shlejf_samsung_a515_galaxy_a51_s_razemom_zaryadki_garnitury_original_prc_10001181", "Перейти")</f>
        <v>Перейти</v>
      </c>
      <c r="F5386" s="2">
        <v>10001181</v>
      </c>
      <c r="G5386" s="4" t="s">
        <v>5552</v>
      </c>
      <c r="H5386" s="1">
        <v>0</v>
      </c>
      <c r="I5386" s="1">
        <v>0</v>
      </c>
      <c r="J5386" s="1">
        <v>0</v>
      </c>
      <c r="K5386" s="2">
        <v>3.35</v>
      </c>
    </row>
    <row r="5387" spans="1:12">
      <c r="A5387" s="3" t="s">
        <v>2194</v>
      </c>
      <c r="B5387" s="3" t="s">
        <v>5185</v>
      </c>
      <c r="C5387" s="3" t="s">
        <v>653</v>
      </c>
      <c r="D5387" s="3"/>
      <c r="E5387" s="2" t="str">
        <f>HYPERLINK("https://old.ukr-mobil.com/shlejf_samsung_a606_galaxy_a60_m405_galaxy_m40_s_razemom_zaryadki_mikrofonom_original_prc_10000781", "Перейти")</f>
        <v>Перейти</v>
      </c>
      <c r="F5387" s="2">
        <v>10000781</v>
      </c>
      <c r="G5387" s="4" t="s">
        <v>5553</v>
      </c>
      <c r="H5387" s="1">
        <v>10</v>
      </c>
      <c r="I5387" s="1">
        <v>4</v>
      </c>
      <c r="J5387" s="1">
        <v>2</v>
      </c>
      <c r="K5387" s="2">
        <v>6.0</v>
      </c>
    </row>
    <row r="5388" spans="1:12">
      <c r="A5388" s="3" t="s">
        <v>2194</v>
      </c>
      <c r="B5388" s="3" t="s">
        <v>5185</v>
      </c>
      <c r="C5388" s="3" t="s">
        <v>653</v>
      </c>
      <c r="D5388" s="3"/>
      <c r="E5388" s="2" t="str">
        <f>HYPERLINK("https://old.ukr-mobil.com/shlejf_samsung_a700_a700h_a700f_galaxy_a7_s_razemom_zaryadki_garnitury_original_7991", "Перейти")</f>
        <v>Перейти</v>
      </c>
      <c r="F5388" s="2">
        <v>7991</v>
      </c>
      <c r="G5388" s="4" t="s">
        <v>5554</v>
      </c>
      <c r="H5388" s="1">
        <v>0</v>
      </c>
      <c r="I5388" s="1">
        <v>1</v>
      </c>
      <c r="J5388" s="1">
        <v>0</v>
      </c>
      <c r="K5388" s="2">
        <v>5.54</v>
      </c>
    </row>
    <row r="5389" spans="1:12">
      <c r="A5389" s="3" t="s">
        <v>2194</v>
      </c>
      <c r="B5389" s="3" t="s">
        <v>5185</v>
      </c>
      <c r="C5389" s="3" t="s">
        <v>653</v>
      </c>
      <c r="D5389" s="3"/>
      <c r="E5389" s="2" t="str">
        <f>HYPERLINK("https://old.ukr-mobil.com/shlejf_samsung_a705_galaxy_a70_mezhplatnyj_original_prc_10001170", "Перейти")</f>
        <v>Перейти</v>
      </c>
      <c r="F5389" s="2">
        <v>10001170</v>
      </c>
      <c r="G5389" s="4" t="s">
        <v>5555</v>
      </c>
      <c r="H5389" s="1">
        <v>0</v>
      </c>
      <c r="I5389" s="1">
        <v>0</v>
      </c>
      <c r="J5389" s="1">
        <v>0</v>
      </c>
      <c r="K5389" s="2">
        <v>4.0</v>
      </c>
    </row>
    <row r="5390" spans="1:12">
      <c r="A5390" s="3" t="s">
        <v>2194</v>
      </c>
      <c r="B5390" s="3" t="s">
        <v>5185</v>
      </c>
      <c r="C5390" s="3" t="s">
        <v>653</v>
      </c>
      <c r="D5390" s="3"/>
      <c r="E5390" s="2" t="str">
        <f>HYPERLINK("https://old.ukr-mobil.com/shlejf_samsung_a705_galaxy_a70_s_razemom_zaryadki_garnitury_original_10002277", "Перейти")</f>
        <v>Перейти</v>
      </c>
      <c r="F5390" s="2">
        <v>10002277</v>
      </c>
      <c r="G5390" s="4" t="s">
        <v>5556</v>
      </c>
      <c r="H5390" s="1">
        <v>2</v>
      </c>
      <c r="I5390" s="1">
        <v>4</v>
      </c>
      <c r="J5390" s="1">
        <v>5</v>
      </c>
      <c r="K5390" s="2">
        <v>14.0</v>
      </c>
    </row>
    <row r="5391" spans="1:12">
      <c r="A5391" s="3" t="s">
        <v>2194</v>
      </c>
      <c r="B5391" s="3" t="s">
        <v>5185</v>
      </c>
      <c r="C5391" s="3" t="s">
        <v>653</v>
      </c>
      <c r="D5391" s="3"/>
      <c r="E5391" s="2" t="str">
        <f>HYPERLINK("https://old.ukr-mobil.com/shlejf_samsung_a705_galaxy_a70_s_razemom_zaryadki_garnitury_original_10000735", "Перейти")</f>
        <v>Перейти</v>
      </c>
      <c r="F5391" s="2">
        <v>10000735</v>
      </c>
      <c r="G5391" s="4" t="s">
        <v>5557</v>
      </c>
      <c r="H5391" s="1">
        <v>0</v>
      </c>
      <c r="I5391" s="1">
        <v>0</v>
      </c>
      <c r="J5391" s="1">
        <v>0</v>
      </c>
      <c r="K5391" s="2">
        <v>5.75</v>
      </c>
    </row>
    <row r="5392" spans="1:12">
      <c r="A5392" s="3" t="s">
        <v>2194</v>
      </c>
      <c r="B5392" s="3" t="s">
        <v>5185</v>
      </c>
      <c r="C5392" s="3" t="s">
        <v>653</v>
      </c>
      <c r="D5392" s="3"/>
      <c r="E5392" s="2" t="str">
        <f>HYPERLINK("https://old.ukr-mobil.com/shlejf_samsung_a710_galaxy_a7_2016_s_knopkoj_menyu_home_original_gold_8158", "Перейти")</f>
        <v>Перейти</v>
      </c>
      <c r="F5392" s="2">
        <v>8158</v>
      </c>
      <c r="G5392" s="4" t="s">
        <v>5558</v>
      </c>
      <c r="H5392" s="1">
        <v>0</v>
      </c>
      <c r="I5392" s="1">
        <v>0</v>
      </c>
      <c r="J5392" s="1">
        <v>0</v>
      </c>
      <c r="K5392" s="2">
        <v>10.08</v>
      </c>
    </row>
    <row r="5393" spans="1:12">
      <c r="A5393" s="3" t="s">
        <v>2194</v>
      </c>
      <c r="B5393" s="3" t="s">
        <v>5185</v>
      </c>
      <c r="C5393" s="3" t="s">
        <v>653</v>
      </c>
      <c r="D5393" s="3"/>
      <c r="E5393" s="2" t="str">
        <f>HYPERLINK("https://old.ukr-mobil.com/shlejf_samsung_a710_galaxy_a7_duos_s_razemom_zaryadki_garnitury_s_mikrofonom_original_8008", "Перейти")</f>
        <v>Перейти</v>
      </c>
      <c r="F5393" s="2">
        <v>8008</v>
      </c>
      <c r="G5393" s="4" t="s">
        <v>5559</v>
      </c>
      <c r="H5393" s="1">
        <v>0</v>
      </c>
      <c r="I5393" s="1">
        <v>0</v>
      </c>
      <c r="J5393" s="1">
        <v>0</v>
      </c>
      <c r="K5393" s="2">
        <v>9.22</v>
      </c>
    </row>
    <row r="5394" spans="1:12">
      <c r="A5394" s="3" t="s">
        <v>2194</v>
      </c>
      <c r="B5394" s="3" t="s">
        <v>5185</v>
      </c>
      <c r="C5394" s="3" t="s">
        <v>653</v>
      </c>
      <c r="D5394" s="3"/>
      <c r="E5394" s="2" t="str">
        <f>HYPERLINK("https://old.ukr-mobil.com/shlejf_samsung_a715_galaxy_a71_mezhplatnyj_high_copy_10002405", "Перейти")</f>
        <v>Перейти</v>
      </c>
      <c r="F5394" s="2">
        <v>10002405</v>
      </c>
      <c r="G5394" s="4" t="s">
        <v>5560</v>
      </c>
      <c r="H5394" s="1">
        <v>0</v>
      </c>
      <c r="I5394" s="1">
        <v>1</v>
      </c>
      <c r="J5394" s="1">
        <v>3</v>
      </c>
      <c r="K5394" s="2">
        <v>2.75</v>
      </c>
    </row>
    <row r="5395" spans="1:12">
      <c r="A5395" s="3" t="s">
        <v>2194</v>
      </c>
      <c r="B5395" s="3" t="s">
        <v>5185</v>
      </c>
      <c r="C5395" s="3" t="s">
        <v>653</v>
      </c>
      <c r="D5395" s="3"/>
      <c r="E5395" s="2" t="str">
        <f>HYPERLINK("https://old.ukr-mobil.com/shlejf_samsung_a715_galaxy_a71_s_razemom_zaryadki_garnitury_original_10001100", "Перейти")</f>
        <v>Перейти</v>
      </c>
      <c r="F5395" s="2">
        <v>10001100</v>
      </c>
      <c r="G5395" s="4" t="s">
        <v>5561</v>
      </c>
      <c r="H5395" s="1">
        <v>0</v>
      </c>
      <c r="I5395" s="1">
        <v>2</v>
      </c>
      <c r="J5395" s="1">
        <v>1</v>
      </c>
      <c r="K5395" s="2">
        <v>12.0</v>
      </c>
    </row>
    <row r="5396" spans="1:12">
      <c r="A5396" s="3" t="s">
        <v>2194</v>
      </c>
      <c r="B5396" s="3" t="s">
        <v>5185</v>
      </c>
      <c r="C5396" s="3" t="s">
        <v>653</v>
      </c>
      <c r="D5396" s="3"/>
      <c r="E5396" s="2" t="str">
        <f>HYPERLINK("https://old.ukr-mobil.com/shlejf_samsung_a715_galaxy_a71_s_razemom_zaryadki_garnitury_original_prc_10001182", "Перейти")</f>
        <v>Перейти</v>
      </c>
      <c r="F5396" s="2">
        <v>10001182</v>
      </c>
      <c r="G5396" s="4" t="s">
        <v>5562</v>
      </c>
      <c r="H5396" s="1">
        <v>0</v>
      </c>
      <c r="I5396" s="1">
        <v>0</v>
      </c>
      <c r="J5396" s="1">
        <v>0</v>
      </c>
      <c r="K5396" s="2">
        <v>5.25</v>
      </c>
    </row>
    <row r="5397" spans="1:12">
      <c r="A5397" s="3" t="s">
        <v>2194</v>
      </c>
      <c r="B5397" s="3" t="s">
        <v>5185</v>
      </c>
      <c r="C5397" s="3" t="s">
        <v>653</v>
      </c>
      <c r="D5397" s="3"/>
      <c r="E5397" s="2" t="str">
        <f>HYPERLINK("https://old.ukr-mobil.com/shlejf_samsung_a750_galaxy_a7_2018_s_razemom_zaryadki_garnitury_original_10002278", "Перейти")</f>
        <v>Перейти</v>
      </c>
      <c r="F5397" s="2">
        <v>10002278</v>
      </c>
      <c r="G5397" s="4" t="s">
        <v>5563</v>
      </c>
      <c r="H5397" s="1">
        <v>0</v>
      </c>
      <c r="I5397" s="1">
        <v>0</v>
      </c>
      <c r="J5397" s="1">
        <v>0</v>
      </c>
      <c r="K5397" s="2">
        <v>7.0</v>
      </c>
    </row>
    <row r="5398" spans="1:12">
      <c r="A5398" s="3" t="s">
        <v>2194</v>
      </c>
      <c r="B5398" s="3" t="s">
        <v>5185</v>
      </c>
      <c r="C5398" s="3" t="s">
        <v>653</v>
      </c>
      <c r="D5398" s="3"/>
      <c r="E5398" s="2" t="str">
        <f>HYPERLINK("https://old.ukr-mobil.com/shlejf_samsung_a750_galaxy_a7_2018_s_razemom_zaryadki_garnitury_original_10000449", "Перейти")</f>
        <v>Перейти</v>
      </c>
      <c r="F5398" s="2">
        <v>10000449</v>
      </c>
      <c r="G5398" s="4" t="s">
        <v>5564</v>
      </c>
      <c r="H5398" s="1">
        <v>0</v>
      </c>
      <c r="I5398" s="1">
        <v>0</v>
      </c>
      <c r="J5398" s="1">
        <v>0</v>
      </c>
      <c r="K5398" s="2">
        <v>4.0</v>
      </c>
    </row>
    <row r="5399" spans="1:12">
      <c r="A5399" s="3" t="s">
        <v>2194</v>
      </c>
      <c r="B5399" s="3" t="s">
        <v>5185</v>
      </c>
      <c r="C5399" s="3" t="s">
        <v>653</v>
      </c>
      <c r="D5399" s="3"/>
      <c r="E5399" s="2" t="str">
        <f>HYPERLINK("https://old.ukr-mobil.com/shlejf_samsung_g610_galaxy_j7_prime_knopki_menyu_konnektora_naushnikov_s_komponentami_12200", "Перейти")</f>
        <v>Перейти</v>
      </c>
      <c r="F5399" s="2">
        <v>12200</v>
      </c>
      <c r="G5399" s="4" t="s">
        <v>5565</v>
      </c>
      <c r="H5399" s="1">
        <v>0</v>
      </c>
      <c r="I5399" s="1">
        <v>0</v>
      </c>
      <c r="J5399" s="1">
        <v>0</v>
      </c>
      <c r="K5399" s="2">
        <v>3.02</v>
      </c>
    </row>
    <row r="5400" spans="1:12">
      <c r="A5400" s="3" t="s">
        <v>2194</v>
      </c>
      <c r="B5400" s="3" t="s">
        <v>5185</v>
      </c>
      <c r="C5400" s="3" t="s">
        <v>653</v>
      </c>
      <c r="D5400" s="3"/>
      <c r="E5400" s="2" t="str">
        <f>HYPERLINK("https://old.ukr-mobil.com/shlejf_samsung_g928f_galaxy_s6_edge_plus_s_razemom_zaryadki_garnitury_original_6005", "Перейти")</f>
        <v>Перейти</v>
      </c>
      <c r="F5400" s="2">
        <v>6005</v>
      </c>
      <c r="G5400" s="4" t="s">
        <v>5566</v>
      </c>
      <c r="H5400" s="1">
        <v>0</v>
      </c>
      <c r="I5400" s="1">
        <v>0</v>
      </c>
      <c r="J5400" s="1">
        <v>0</v>
      </c>
      <c r="K5400" s="2">
        <v>14.11</v>
      </c>
    </row>
    <row r="5401" spans="1:12">
      <c r="A5401" s="3" t="s">
        <v>2194</v>
      </c>
      <c r="B5401" s="3" t="s">
        <v>5185</v>
      </c>
      <c r="C5401" s="3" t="s">
        <v>653</v>
      </c>
      <c r="D5401" s="3"/>
      <c r="E5401" s="2" t="str">
        <f>HYPERLINK("https://old.ukr-mobil.com/shlejf_samsung_g930f_galaxy_s7_s_datchikom_priblizheniya_vspyshkoj_original_8144", "Перейти")</f>
        <v>Перейти</v>
      </c>
      <c r="F5401" s="2">
        <v>8144</v>
      </c>
      <c r="G5401" s="4" t="s">
        <v>5567</v>
      </c>
      <c r="H5401" s="1">
        <v>3</v>
      </c>
      <c r="I5401" s="1">
        <v>1</v>
      </c>
      <c r="J5401" s="1">
        <v>0</v>
      </c>
      <c r="K5401" s="2">
        <v>5.54</v>
      </c>
    </row>
    <row r="5402" spans="1:12">
      <c r="A5402" s="3" t="s">
        <v>2194</v>
      </c>
      <c r="B5402" s="3" t="s">
        <v>5185</v>
      </c>
      <c r="C5402" s="3" t="s">
        <v>653</v>
      </c>
      <c r="D5402" s="3"/>
      <c r="E5402" s="2" t="str">
        <f>HYPERLINK("https://old.ukr-mobil.com/shlejf_samsung_g930f_galaxy_s7_s_knopkoj_menyu_home_black_8149", "Перейти")</f>
        <v>Перейти</v>
      </c>
      <c r="F5402" s="2">
        <v>8149</v>
      </c>
      <c r="G5402" s="4" t="s">
        <v>5568</v>
      </c>
      <c r="H5402" s="1">
        <v>0</v>
      </c>
      <c r="I5402" s="1">
        <v>0</v>
      </c>
      <c r="J5402" s="1">
        <v>0</v>
      </c>
      <c r="K5402" s="2">
        <v>12.1</v>
      </c>
    </row>
    <row r="5403" spans="1:12">
      <c r="A5403" s="3" t="s">
        <v>2194</v>
      </c>
      <c r="B5403" s="3" t="s">
        <v>5185</v>
      </c>
      <c r="C5403" s="3" t="s">
        <v>653</v>
      </c>
      <c r="D5403" s="3"/>
      <c r="E5403" s="2" t="str">
        <f>HYPERLINK("https://old.ukr-mobil.com/shlejf_samsung_g930f_galaxy_s7_s_knopkoj_menyu_home_gold_8151", "Перейти")</f>
        <v>Перейти</v>
      </c>
      <c r="F5403" s="2">
        <v>8151</v>
      </c>
      <c r="G5403" s="4" t="s">
        <v>5569</v>
      </c>
      <c r="H5403" s="1">
        <v>0</v>
      </c>
      <c r="I5403" s="1">
        <v>0</v>
      </c>
      <c r="J5403" s="1">
        <v>0</v>
      </c>
      <c r="K5403" s="2">
        <v>12.6</v>
      </c>
    </row>
    <row r="5404" spans="1:12">
      <c r="A5404" s="3" t="s">
        <v>2194</v>
      </c>
      <c r="B5404" s="3" t="s">
        <v>5185</v>
      </c>
      <c r="C5404" s="3" t="s">
        <v>653</v>
      </c>
      <c r="D5404" s="3"/>
      <c r="E5404" s="2" t="str">
        <f>HYPERLINK("https://old.ukr-mobil.com/shlejf_samsung_g935f_galaxy_s7_edge_s_razemom_zaryadki_mikrofonom_original_8142", "Перейти")</f>
        <v>Перейти</v>
      </c>
      <c r="F5404" s="2">
        <v>8142</v>
      </c>
      <c r="G5404" s="4" t="s">
        <v>5570</v>
      </c>
      <c r="H5404" s="1">
        <v>1</v>
      </c>
      <c r="I5404" s="1">
        <v>0</v>
      </c>
      <c r="J5404" s="1">
        <v>0</v>
      </c>
      <c r="K5404" s="2">
        <v>4.03</v>
      </c>
    </row>
    <row r="5405" spans="1:12">
      <c r="A5405" s="3" t="s">
        <v>2194</v>
      </c>
      <c r="B5405" s="3" t="s">
        <v>5185</v>
      </c>
      <c r="C5405" s="3" t="s">
        <v>653</v>
      </c>
      <c r="D5405" s="3"/>
      <c r="E5405" s="2" t="str">
        <f>HYPERLINK("https://old.ukr-mobil.com/shlejf_samsung_g950_galaxy_s8_s_razemom_zaryadki_mikrofonom_8907", "Перейти")</f>
        <v>Перейти</v>
      </c>
      <c r="F5405" s="2">
        <v>8907</v>
      </c>
      <c r="G5405" s="4" t="s">
        <v>5571</v>
      </c>
      <c r="H5405" s="1">
        <v>0</v>
      </c>
      <c r="I5405" s="1">
        <v>0</v>
      </c>
      <c r="J5405" s="1">
        <v>0</v>
      </c>
      <c r="K5405" s="2">
        <v>4.15</v>
      </c>
    </row>
    <row r="5406" spans="1:12">
      <c r="A5406" s="3" t="s">
        <v>2194</v>
      </c>
      <c r="B5406" s="3" t="s">
        <v>5185</v>
      </c>
      <c r="C5406" s="3" t="s">
        <v>653</v>
      </c>
      <c r="D5406" s="3"/>
      <c r="E5406" s="2" t="str">
        <f>HYPERLINK("https://old.ukr-mobil.com/shlejf_samsung_g955_galaxy_s8_plus_s_razemom_zaryadki_mikrofonom_8908", "Перейти")</f>
        <v>Перейти</v>
      </c>
      <c r="F5406" s="2">
        <v>8908</v>
      </c>
      <c r="G5406" s="4" t="s">
        <v>5572</v>
      </c>
      <c r="H5406" s="1">
        <v>18</v>
      </c>
      <c r="I5406" s="1">
        <v>5</v>
      </c>
      <c r="J5406" s="1">
        <v>5</v>
      </c>
      <c r="K5406" s="2">
        <v>7.06</v>
      </c>
    </row>
    <row r="5407" spans="1:12">
      <c r="A5407" s="3" t="s">
        <v>2194</v>
      </c>
      <c r="B5407" s="3" t="s">
        <v>5185</v>
      </c>
      <c r="C5407" s="3" t="s">
        <v>653</v>
      </c>
      <c r="D5407" s="3"/>
      <c r="E5407" s="2" t="str">
        <f>HYPERLINK("https://old.ukr-mobil.com/shlejf_samsung_g960_galaxy_s9_g965_galaxy_s9_plus_so_skanerom_otpechatka_palca_original_black_10003383", "Перейти")</f>
        <v>Перейти</v>
      </c>
      <c r="F5407" s="2">
        <v>10003383</v>
      </c>
      <c r="G5407" s="4" t="s">
        <v>5573</v>
      </c>
      <c r="H5407" s="1">
        <v>0</v>
      </c>
      <c r="I5407" s="1">
        <v>0</v>
      </c>
      <c r="J5407" s="1">
        <v>0</v>
      </c>
      <c r="K5407" s="2">
        <v>4.15</v>
      </c>
    </row>
    <row r="5408" spans="1:12">
      <c r="A5408" s="3" t="s">
        <v>2194</v>
      </c>
      <c r="B5408" s="3" t="s">
        <v>5185</v>
      </c>
      <c r="C5408" s="3" t="s">
        <v>653</v>
      </c>
      <c r="D5408" s="3"/>
      <c r="E5408" s="2" t="str">
        <f>HYPERLINK("https://old.ukr-mobil.com/shlejf_samsung_g960_galaxy_s9_g965_galaxy_s9_plus_so_skanerom_otpechatka_palca_original_blue_10003384", "Перейти")</f>
        <v>Перейти</v>
      </c>
      <c r="F5408" s="2">
        <v>10003384</v>
      </c>
      <c r="G5408" s="4" t="s">
        <v>5574</v>
      </c>
      <c r="H5408" s="1">
        <v>5</v>
      </c>
      <c r="I5408" s="1">
        <v>2</v>
      </c>
      <c r="J5408" s="1">
        <v>1</v>
      </c>
      <c r="K5408" s="2">
        <v>4.15</v>
      </c>
    </row>
    <row r="5409" spans="1:12">
      <c r="A5409" s="3" t="s">
        <v>2194</v>
      </c>
      <c r="B5409" s="3" t="s">
        <v>5185</v>
      </c>
      <c r="C5409" s="3" t="s">
        <v>653</v>
      </c>
      <c r="D5409" s="3"/>
      <c r="E5409" s="2" t="str">
        <f>HYPERLINK("https://old.ukr-mobil.com/shlejf_samsung_g960_galaxy_s9_s_razemom_zaryadki_mikrofonom_original_11682", "Перейти")</f>
        <v>Перейти</v>
      </c>
      <c r="F5409" s="2">
        <v>11682</v>
      </c>
      <c r="G5409" s="4" t="s">
        <v>5575</v>
      </c>
      <c r="H5409" s="1">
        <v>3</v>
      </c>
      <c r="I5409" s="1">
        <v>6</v>
      </c>
      <c r="J5409" s="1">
        <v>0</v>
      </c>
      <c r="K5409" s="2">
        <v>6.2</v>
      </c>
    </row>
    <row r="5410" spans="1:12">
      <c r="A5410" s="3" t="s">
        <v>2194</v>
      </c>
      <c r="B5410" s="3" t="s">
        <v>5185</v>
      </c>
      <c r="C5410" s="3" t="s">
        <v>653</v>
      </c>
      <c r="D5410" s="3"/>
      <c r="E5410" s="2" t="str">
        <f>HYPERLINK("https://old.ukr-mobil.com/shlejf_samsung_g965_galaxy_s9_plus_s_razemom_zaryadki_mikrofonom_original_11683", "Перейти")</f>
        <v>Перейти</v>
      </c>
      <c r="F5410" s="2">
        <v>11683</v>
      </c>
      <c r="G5410" s="4" t="s">
        <v>5576</v>
      </c>
      <c r="H5410" s="1">
        <v>0</v>
      </c>
      <c r="I5410" s="1">
        <v>0</v>
      </c>
      <c r="J5410" s="1">
        <v>0</v>
      </c>
      <c r="K5410" s="2">
        <v>9.07</v>
      </c>
    </row>
    <row r="5411" spans="1:12">
      <c r="A5411" s="3" t="s">
        <v>2194</v>
      </c>
      <c r="B5411" s="3" t="s">
        <v>5185</v>
      </c>
      <c r="C5411" s="3" t="s">
        <v>653</v>
      </c>
      <c r="D5411" s="3"/>
      <c r="E5411" s="2" t="str">
        <f>HYPERLINK("https://old.ukr-mobil.com/shlejf_samsung_g980_galaxy_s20_s_razemom_zaryadki_mikrofonom_original_prc_10001184", "Перейти")</f>
        <v>Перейти</v>
      </c>
      <c r="F5411" s="2">
        <v>10001184</v>
      </c>
      <c r="G5411" s="4" t="s">
        <v>5577</v>
      </c>
      <c r="H5411" s="1">
        <v>12</v>
      </c>
      <c r="I5411" s="1">
        <v>4</v>
      </c>
      <c r="J5411" s="1">
        <v>5</v>
      </c>
      <c r="K5411" s="2">
        <v>9.35</v>
      </c>
    </row>
    <row r="5412" spans="1:12">
      <c r="A5412" s="3" t="s">
        <v>2194</v>
      </c>
      <c r="B5412" s="3" t="s">
        <v>5185</v>
      </c>
      <c r="C5412" s="3" t="s">
        <v>653</v>
      </c>
      <c r="D5412" s="3"/>
      <c r="E5412" s="2" t="str">
        <f>HYPERLINK("https://old.ukr-mobil.com/shlejf_samsung_g985_galaxy_s20_plus_s_razemom_zaryadki_mikrofonom_original_prc_10001185", "Перейти")</f>
        <v>Перейти</v>
      </c>
      <c r="F5412" s="2">
        <v>10001185</v>
      </c>
      <c r="G5412" s="4" t="s">
        <v>5578</v>
      </c>
      <c r="H5412" s="1">
        <v>0</v>
      </c>
      <c r="I5412" s="1">
        <v>2</v>
      </c>
      <c r="J5412" s="1">
        <v>0</v>
      </c>
      <c r="K5412" s="2">
        <v>14.0</v>
      </c>
    </row>
    <row r="5413" spans="1:12">
      <c r="A5413" s="3" t="s">
        <v>2194</v>
      </c>
      <c r="B5413" s="3" t="s">
        <v>5185</v>
      </c>
      <c r="C5413" s="3" t="s">
        <v>653</v>
      </c>
      <c r="D5413" s="3"/>
      <c r="E5413" s="2" t="str">
        <f>HYPERLINK("https://old.ukr-mobil.com/shlejf_samsung_g988_galaxy_s20_ultra_s_razemom_zaryadki_mikrofonom_original_prc_10001186", "Перейти")</f>
        <v>Перейти</v>
      </c>
      <c r="F5413" s="2">
        <v>10001186</v>
      </c>
      <c r="G5413" s="4" t="s">
        <v>5579</v>
      </c>
      <c r="H5413" s="1">
        <v>4</v>
      </c>
      <c r="I5413" s="1">
        <v>7</v>
      </c>
      <c r="J5413" s="1">
        <v>3</v>
      </c>
      <c r="K5413" s="2">
        <v>12.0</v>
      </c>
    </row>
    <row r="5414" spans="1:12">
      <c r="A5414" s="3" t="s">
        <v>2194</v>
      </c>
      <c r="B5414" s="3" t="s">
        <v>5185</v>
      </c>
      <c r="C5414" s="3" t="s">
        <v>653</v>
      </c>
      <c r="D5414" s="3"/>
      <c r="E5414" s="2" t="str">
        <f>HYPERLINK("https://old.ukr-mobil.com/shlejf_samsung_i9003_z_roz_mom_na_batareyu_v_bro_m_krofon_3690", "Перейти")</f>
        <v>Перейти</v>
      </c>
      <c r="F5414" s="2">
        <v>3690</v>
      </c>
      <c r="G5414" s="4" t="s">
        <v>5580</v>
      </c>
      <c r="H5414" s="1">
        <v>7</v>
      </c>
      <c r="I5414" s="1">
        <v>0</v>
      </c>
      <c r="J5414" s="1">
        <v>0</v>
      </c>
      <c r="K5414" s="2">
        <v>8.57</v>
      </c>
    </row>
    <row r="5415" spans="1:12">
      <c r="A5415" s="3" t="s">
        <v>2194</v>
      </c>
      <c r="B5415" s="3" t="s">
        <v>5185</v>
      </c>
      <c r="C5415" s="3" t="s">
        <v>653</v>
      </c>
      <c r="D5415" s="3"/>
      <c r="E5415" s="2" t="str">
        <f>HYPERLINK("https://old.ukr-mobil.com/shlejf_samsung_i9220_n7000_z_m_krofonom_ta_roz_mom_na_zaryadku_3755", "Перейти")</f>
        <v>Перейти</v>
      </c>
      <c r="F5415" s="2">
        <v>3755</v>
      </c>
      <c r="G5415" s="4" t="s">
        <v>5581</v>
      </c>
      <c r="H5415" s="1">
        <v>0</v>
      </c>
      <c r="I5415" s="1">
        <v>0</v>
      </c>
      <c r="J5415" s="1">
        <v>0</v>
      </c>
      <c r="K5415" s="2">
        <v>14.11</v>
      </c>
    </row>
    <row r="5416" spans="1:12">
      <c r="A5416" s="3" t="s">
        <v>2194</v>
      </c>
      <c r="B5416" s="3" t="s">
        <v>5185</v>
      </c>
      <c r="C5416" s="3" t="s">
        <v>653</v>
      </c>
      <c r="D5416" s="3"/>
      <c r="E5416" s="2" t="str">
        <f>HYPERLINK("https://old.ukr-mobil.com/shlejf_samsung_i9305_na_sim_5268", "Перейти")</f>
        <v>Перейти</v>
      </c>
      <c r="F5416" s="2">
        <v>5268</v>
      </c>
      <c r="G5416" s="4" t="s">
        <v>5582</v>
      </c>
      <c r="H5416" s="1">
        <v>3</v>
      </c>
      <c r="I5416" s="1">
        <v>0</v>
      </c>
      <c r="J5416" s="1">
        <v>0</v>
      </c>
      <c r="K5416" s="2">
        <v>5.54</v>
      </c>
    </row>
    <row r="5417" spans="1:12">
      <c r="A5417" s="3" t="s">
        <v>2194</v>
      </c>
      <c r="B5417" s="3" t="s">
        <v>5185</v>
      </c>
      <c r="C5417" s="3" t="s">
        <v>653</v>
      </c>
      <c r="D5417" s="3"/>
      <c r="E5417" s="2" t="str">
        <f>HYPERLINK("https://old.ukr-mobil.com/shlejf_samsung_j250_galaxy_j2_2018_s_knopkoj_menyu_home_12198", "Перейти")</f>
        <v>Перейти</v>
      </c>
      <c r="F5417" s="2">
        <v>12198</v>
      </c>
      <c r="G5417" s="4" t="s">
        <v>5583</v>
      </c>
      <c r="H5417" s="1">
        <v>0</v>
      </c>
      <c r="I5417" s="1">
        <v>0</v>
      </c>
      <c r="J5417" s="1">
        <v>0</v>
      </c>
      <c r="K5417" s="2">
        <v>2.02</v>
      </c>
    </row>
    <row r="5418" spans="1:12">
      <c r="A5418" s="3" t="s">
        <v>2194</v>
      </c>
      <c r="B5418" s="3" t="s">
        <v>5185</v>
      </c>
      <c r="C5418" s="3" t="s">
        <v>653</v>
      </c>
      <c r="D5418" s="3"/>
      <c r="E5418" s="2" t="str">
        <f>HYPERLINK("https://old.ukr-mobil.com/shlejf_samsung_j320_galaxy_j3_2016_knopki_menyu_konnektora_naushnikov_s_komponentami_9931", "Перейти")</f>
        <v>Перейти</v>
      </c>
      <c r="F5418" s="2">
        <v>9931</v>
      </c>
      <c r="G5418" s="4" t="s">
        <v>5584</v>
      </c>
      <c r="H5418" s="1">
        <v>0</v>
      </c>
      <c r="I5418" s="1">
        <v>0</v>
      </c>
      <c r="J5418" s="1">
        <v>0</v>
      </c>
      <c r="K5418" s="2">
        <v>2.52</v>
      </c>
    </row>
    <row r="5419" spans="1:12">
      <c r="A5419" s="3" t="s">
        <v>2194</v>
      </c>
      <c r="B5419" s="3" t="s">
        <v>5185</v>
      </c>
      <c r="C5419" s="3" t="s">
        <v>653</v>
      </c>
      <c r="D5419" s="3"/>
      <c r="E5419" s="2" t="str">
        <f>HYPERLINK("https://old.ukr-mobil.com/shlejf_samsung_j330_galaxy_j3_2017_konnektora_naushnikov_s_mikrofonom_12196", "Перейти")</f>
        <v>Перейти</v>
      </c>
      <c r="F5419" s="2">
        <v>12196</v>
      </c>
      <c r="G5419" s="4" t="s">
        <v>5585</v>
      </c>
      <c r="H5419" s="1">
        <v>0</v>
      </c>
      <c r="I5419" s="1">
        <v>0</v>
      </c>
      <c r="J5419" s="1">
        <v>0</v>
      </c>
      <c r="K5419" s="2">
        <v>1.85</v>
      </c>
    </row>
    <row r="5420" spans="1:12">
      <c r="A5420" s="3" t="s">
        <v>2194</v>
      </c>
      <c r="B5420" s="3" t="s">
        <v>5185</v>
      </c>
      <c r="C5420" s="3" t="s">
        <v>653</v>
      </c>
      <c r="D5420" s="3"/>
      <c r="E5420" s="2" t="str">
        <f>HYPERLINK("https://old.ukr-mobil.com/shlejf_samsung_j400_galaxy_j4_2018_s_knopkoj_menyu_home_12199", "Перейти")</f>
        <v>Перейти</v>
      </c>
      <c r="F5420" s="2">
        <v>12199</v>
      </c>
      <c r="G5420" s="4" t="s">
        <v>5586</v>
      </c>
      <c r="H5420" s="1">
        <v>2</v>
      </c>
      <c r="I5420" s="1">
        <v>0</v>
      </c>
      <c r="J5420" s="1">
        <v>0</v>
      </c>
      <c r="K5420" s="2">
        <v>2.02</v>
      </c>
    </row>
    <row r="5421" spans="1:12">
      <c r="A5421" s="3" t="s">
        <v>2194</v>
      </c>
      <c r="B5421" s="3" t="s">
        <v>5185</v>
      </c>
      <c r="C5421" s="3" t="s">
        <v>653</v>
      </c>
      <c r="D5421" s="3"/>
      <c r="E5421" s="2" t="str">
        <f>HYPERLINK("https://old.ukr-mobil.com/shlejf_samsung_m105_galaxy_m10_s_razemom_zaryadki_garnitury_original_12186", "Перейти")</f>
        <v>Перейти</v>
      </c>
      <c r="F5421" s="2">
        <v>12186</v>
      </c>
      <c r="G5421" s="4" t="s">
        <v>5587</v>
      </c>
      <c r="H5421" s="1">
        <v>0</v>
      </c>
      <c r="I5421" s="1">
        <v>0</v>
      </c>
      <c r="J5421" s="1">
        <v>0</v>
      </c>
      <c r="K5421" s="2">
        <v>5.54</v>
      </c>
    </row>
    <row r="5422" spans="1:12">
      <c r="A5422" s="3" t="s">
        <v>2194</v>
      </c>
      <c r="B5422" s="3" t="s">
        <v>5185</v>
      </c>
      <c r="C5422" s="3" t="s">
        <v>653</v>
      </c>
      <c r="D5422" s="3"/>
      <c r="E5422" s="2" t="str">
        <f>HYPERLINK("https://old.ukr-mobil.com/index.php?route=product&amp;product_id=10004932", "Перейти")</f>
        <v>Перейти</v>
      </c>
      <c r="F5422" s="2">
        <v>10004932</v>
      </c>
      <c r="G5422" s="4" t="s">
        <v>5588</v>
      </c>
      <c r="H5422" s="1">
        <v>5</v>
      </c>
      <c r="I5422" s="1">
        <v>1</v>
      </c>
      <c r="J5422" s="1">
        <v>2</v>
      </c>
      <c r="K5422" s="2">
        <v>6.5</v>
      </c>
    </row>
    <row r="5423" spans="1:12">
      <c r="A5423" s="3" t="s">
        <v>2194</v>
      </c>
      <c r="B5423" s="3" t="s">
        <v>5185</v>
      </c>
      <c r="C5423" s="3" t="s">
        <v>653</v>
      </c>
      <c r="D5423" s="3"/>
      <c r="E5423" s="2" t="str">
        <f>HYPERLINK("https://old.ukr-mobil.com/index.php?route=product&amp;product_id=10004911", "Перейти")</f>
        <v>Перейти</v>
      </c>
      <c r="F5423" s="2">
        <v>10004911</v>
      </c>
      <c r="G5423" s="4" t="s">
        <v>5589</v>
      </c>
      <c r="H5423" s="1">
        <v>0</v>
      </c>
      <c r="I5423" s="1">
        <v>0</v>
      </c>
      <c r="J5423" s="1">
        <v>0</v>
      </c>
      <c r="K5423" s="2">
        <v>3.65</v>
      </c>
    </row>
    <row r="5424" spans="1:12">
      <c r="A5424" s="3" t="s">
        <v>2194</v>
      </c>
      <c r="B5424" s="3" t="s">
        <v>5185</v>
      </c>
      <c r="C5424" s="3" t="s">
        <v>653</v>
      </c>
      <c r="D5424" s="3"/>
      <c r="E5424" s="2" t="str">
        <f>HYPERLINK("https://old.ukr-mobil.com/shlejf_samsung_m205_galaxy_m20_s_razemom_zaryadki_garnitury_original_12187", "Перейти")</f>
        <v>Перейти</v>
      </c>
      <c r="F5424" s="2">
        <v>12187</v>
      </c>
      <c r="G5424" s="4" t="s">
        <v>5590</v>
      </c>
      <c r="H5424" s="1">
        <v>0</v>
      </c>
      <c r="I5424" s="1">
        <v>0</v>
      </c>
      <c r="J5424" s="1">
        <v>0</v>
      </c>
      <c r="K5424" s="2">
        <v>3.0</v>
      </c>
    </row>
    <row r="5425" spans="1:12">
      <c r="A5425" s="3" t="s">
        <v>2194</v>
      </c>
      <c r="B5425" s="3" t="s">
        <v>5185</v>
      </c>
      <c r="C5425" s="3" t="s">
        <v>653</v>
      </c>
      <c r="D5425" s="3"/>
      <c r="E5425" s="2" t="str">
        <f>HYPERLINK("https://old.ukr-mobil.com/shlejf_samsung_m307_galaxy_m30s_m315_galaxy_m31_s_razemom_zaryadki_garnitury_original_10001115", "Перейти")</f>
        <v>Перейти</v>
      </c>
      <c r="F5425" s="2">
        <v>10001115</v>
      </c>
      <c r="G5425" s="4" t="s">
        <v>5591</v>
      </c>
      <c r="H5425" s="1">
        <v>0</v>
      </c>
      <c r="I5425" s="1">
        <v>0</v>
      </c>
      <c r="J5425" s="1">
        <v>1</v>
      </c>
      <c r="K5425" s="2">
        <v>6.35</v>
      </c>
    </row>
    <row r="5426" spans="1:12">
      <c r="A5426" s="3" t="s">
        <v>2194</v>
      </c>
      <c r="B5426" s="3" t="s">
        <v>5185</v>
      </c>
      <c r="C5426" s="3" t="s">
        <v>653</v>
      </c>
      <c r="D5426" s="3"/>
      <c r="E5426" s="2" t="str">
        <f>HYPERLINK("https://old.ukr-mobil.com/shlejf_samsung_m317_galaxy_m31s_s_razemom_zaryadki_garnitury_mikrofonom_original_10002407", "Перейти")</f>
        <v>Перейти</v>
      </c>
      <c r="F5426" s="2">
        <v>10002407</v>
      </c>
      <c r="G5426" s="4" t="s">
        <v>5592</v>
      </c>
      <c r="H5426" s="1">
        <v>0</v>
      </c>
      <c r="I5426" s="1">
        <v>2</v>
      </c>
      <c r="J5426" s="1">
        <v>0</v>
      </c>
      <c r="K5426" s="2">
        <v>8.0</v>
      </c>
    </row>
    <row r="5427" spans="1:12">
      <c r="A5427" s="3" t="s">
        <v>2194</v>
      </c>
      <c r="B5427" s="3" t="s">
        <v>5185</v>
      </c>
      <c r="C5427" s="3" t="s">
        <v>653</v>
      </c>
      <c r="D5427" s="3"/>
      <c r="E5427" s="2" t="str">
        <f>HYPERLINK("https://old.ukr-mobil.com/shlejf_samsung_m325_galaxy_m32_so_skanerom_otpechatka_palca_knopka_vklyucheniya_original_black_10003375", "Перейти")</f>
        <v>Перейти</v>
      </c>
      <c r="F5427" s="2">
        <v>10003375</v>
      </c>
      <c r="G5427" s="4" t="s">
        <v>5593</v>
      </c>
      <c r="H5427" s="1">
        <v>0</v>
      </c>
      <c r="I5427" s="1">
        <v>0</v>
      </c>
      <c r="J5427" s="1">
        <v>0</v>
      </c>
      <c r="K5427" s="2">
        <v>6.75</v>
      </c>
    </row>
    <row r="5428" spans="1:12">
      <c r="A5428" s="3" t="s">
        <v>2194</v>
      </c>
      <c r="B5428" s="3" t="s">
        <v>5185</v>
      </c>
      <c r="C5428" s="3" t="s">
        <v>653</v>
      </c>
      <c r="D5428" s="3"/>
      <c r="E5428" s="2" t="str">
        <f>HYPERLINK("https://old.ukr-mobil.com/shlejf_samsung_m526_galaxy_m52_so_skanerom_otpechatka_palca_knopka_vklyucheniya_original_black_10003385", "Перейти")</f>
        <v>Перейти</v>
      </c>
      <c r="F5428" s="2">
        <v>10003385</v>
      </c>
      <c r="G5428" s="4" t="s">
        <v>5594</v>
      </c>
      <c r="H5428" s="1">
        <v>0</v>
      </c>
      <c r="I5428" s="1">
        <v>0</v>
      </c>
      <c r="J5428" s="1">
        <v>0</v>
      </c>
      <c r="K5428" s="2">
        <v>5.9</v>
      </c>
    </row>
    <row r="5429" spans="1:12">
      <c r="A5429" s="3" t="s">
        <v>2194</v>
      </c>
      <c r="B5429" s="3" t="s">
        <v>5185</v>
      </c>
      <c r="C5429" s="3" t="s">
        <v>653</v>
      </c>
      <c r="D5429" s="3"/>
      <c r="E5429" s="2" t="str">
        <f>HYPERLINK("https://old.ukr-mobil.com/shlejf_samsung_m526_galaxy_m52_so_skanerom_otpechatka_palca_knopka_vklyucheniya_original_silver_10003386", "Перейти")</f>
        <v>Перейти</v>
      </c>
      <c r="F5429" s="2">
        <v>10003386</v>
      </c>
      <c r="G5429" s="4" t="s">
        <v>5595</v>
      </c>
      <c r="H5429" s="1">
        <v>0</v>
      </c>
      <c r="I5429" s="1">
        <v>0</v>
      </c>
      <c r="J5429" s="1">
        <v>0</v>
      </c>
      <c r="K5429" s="2">
        <v>5.9</v>
      </c>
    </row>
    <row r="5430" spans="1:12">
      <c r="A5430" s="3" t="s">
        <v>2194</v>
      </c>
      <c r="B5430" s="3" t="s">
        <v>5185</v>
      </c>
      <c r="C5430" s="3" t="s">
        <v>653</v>
      </c>
      <c r="D5430" s="3"/>
      <c r="E5430" s="2" t="str">
        <f>HYPERLINK("https://old.ukr-mobil.com/shlejf_samsung_m536_galaxy_m53_so_skanerom_otpechatka_palca_knopka_vklyucheniya_original_brown_10003373", "Перейти")</f>
        <v>Перейти</v>
      </c>
      <c r="F5430" s="2">
        <v>10003373</v>
      </c>
      <c r="G5430" s="4" t="s">
        <v>5596</v>
      </c>
      <c r="H5430" s="1">
        <v>1</v>
      </c>
      <c r="I5430" s="1">
        <v>1</v>
      </c>
      <c r="J5430" s="1">
        <v>1</v>
      </c>
      <c r="K5430" s="2">
        <v>7.0</v>
      </c>
    </row>
    <row r="5431" spans="1:12">
      <c r="A5431" s="3" t="s">
        <v>2194</v>
      </c>
      <c r="B5431" s="3" t="s">
        <v>5185</v>
      </c>
      <c r="C5431" s="3" t="s">
        <v>653</v>
      </c>
      <c r="D5431" s="3"/>
      <c r="E5431" s="2" t="str">
        <f>HYPERLINK("https://old.ukr-mobil.com/shlejf_samsung_n920_galaxy_note_5_s_razemom_zaryadki_garnitury_mikrofonom_original_8906", "Перейти")</f>
        <v>Перейти</v>
      </c>
      <c r="F5431" s="2">
        <v>8906</v>
      </c>
      <c r="G5431" s="4" t="s">
        <v>5597</v>
      </c>
      <c r="H5431" s="1">
        <v>0</v>
      </c>
      <c r="I5431" s="1">
        <v>0</v>
      </c>
      <c r="J5431" s="1">
        <v>0</v>
      </c>
      <c r="K5431" s="2">
        <v>6.55</v>
      </c>
    </row>
    <row r="5432" spans="1:12">
      <c r="A5432" s="3" t="s">
        <v>2194</v>
      </c>
      <c r="B5432" s="3" t="s">
        <v>5185</v>
      </c>
      <c r="C5432" s="3" t="s">
        <v>653</v>
      </c>
      <c r="D5432" s="3"/>
      <c r="E5432" s="2" t="str">
        <f>HYPERLINK("https://old.ukr-mobil.com/shlejf_samsung_n950_galaxy_note_8_s_razemom_zaryadki_mikrofonom_original_prc_11681", "Перейти")</f>
        <v>Перейти</v>
      </c>
      <c r="F5432" s="2">
        <v>11681</v>
      </c>
      <c r="G5432" s="4" t="s">
        <v>5598</v>
      </c>
      <c r="H5432" s="1">
        <v>7</v>
      </c>
      <c r="I5432" s="1">
        <v>0</v>
      </c>
      <c r="J5432" s="1">
        <v>2</v>
      </c>
      <c r="K5432" s="2">
        <v>7.0</v>
      </c>
    </row>
    <row r="5433" spans="1:12">
      <c r="A5433" s="3" t="s">
        <v>2194</v>
      </c>
      <c r="B5433" s="3" t="s">
        <v>5185</v>
      </c>
      <c r="C5433" s="3" t="s">
        <v>653</v>
      </c>
      <c r="D5433" s="3"/>
      <c r="E5433" s="2" t="str">
        <f>HYPERLINK("https://old.ukr-mobil.com/shlejf_samsung_n960_galaxy_note_9_s_razemom_zaryadki_s_mikrofonom_original_12192", "Перейти")</f>
        <v>Перейти</v>
      </c>
      <c r="F5433" s="2">
        <v>12192</v>
      </c>
      <c r="G5433" s="4" t="s">
        <v>5599</v>
      </c>
      <c r="H5433" s="1">
        <v>5</v>
      </c>
      <c r="I5433" s="1">
        <v>0</v>
      </c>
      <c r="J5433" s="1">
        <v>3</v>
      </c>
      <c r="K5433" s="2">
        <v>5.0</v>
      </c>
    </row>
    <row r="5434" spans="1:12">
      <c r="A5434" s="3" t="s">
        <v>2194</v>
      </c>
      <c r="B5434" s="3" t="s">
        <v>5185</v>
      </c>
      <c r="C5434" s="3" t="s">
        <v>653</v>
      </c>
      <c r="D5434" s="3"/>
      <c r="E5434" s="2" t="str">
        <f>HYPERLINK("https://old.ukr-mobil.com/shlejf_samsung_n970_galaxy_note_10_s_razemom_zaryadki_mikrofonom_original_prc_10000782", "Перейти")</f>
        <v>Перейти</v>
      </c>
      <c r="F5434" s="2">
        <v>10000782</v>
      </c>
      <c r="G5434" s="4" t="s">
        <v>5600</v>
      </c>
      <c r="H5434" s="1">
        <v>4</v>
      </c>
      <c r="I5434" s="1">
        <v>0</v>
      </c>
      <c r="J5434" s="1">
        <v>1</v>
      </c>
      <c r="K5434" s="2">
        <v>9.0</v>
      </c>
    </row>
    <row r="5435" spans="1:12">
      <c r="A5435" s="3" t="s">
        <v>2194</v>
      </c>
      <c r="B5435" s="3" t="s">
        <v>5185</v>
      </c>
      <c r="C5435" s="3" t="s">
        <v>653</v>
      </c>
      <c r="D5435" s="3"/>
      <c r="E5435" s="2" t="str">
        <f>HYPERLINK("https://old.ukr-mobil.com/shlejf_samsung_n975_galaxy_note_10_plus_s_razemom_zaryadki_mikrofonom_original_prc_10001183", "Перейти")</f>
        <v>Перейти</v>
      </c>
      <c r="F5435" s="2">
        <v>10001183</v>
      </c>
      <c r="G5435" s="4" t="s">
        <v>5601</v>
      </c>
      <c r="H5435" s="1">
        <v>3</v>
      </c>
      <c r="I5435" s="1">
        <v>1</v>
      </c>
      <c r="J5435" s="1">
        <v>0</v>
      </c>
      <c r="K5435" s="2">
        <v>10.0</v>
      </c>
    </row>
    <row r="5436" spans="1:12">
      <c r="A5436" s="3" t="s">
        <v>2194</v>
      </c>
      <c r="B5436" s="3" t="s">
        <v>5185</v>
      </c>
      <c r="C5436" s="3" t="s">
        <v>653</v>
      </c>
      <c r="D5436" s="3"/>
      <c r="E5436" s="2" t="str">
        <f>HYPERLINK("https://old.ukr-mobil.com/shlejf_samsung_n985_galaxy_note_20_ultra_s_razemom_zaryadki_original_prc_10002148", "Перейти")</f>
        <v>Перейти</v>
      </c>
      <c r="F5436" s="2">
        <v>10002148</v>
      </c>
      <c r="G5436" s="4" t="s">
        <v>5602</v>
      </c>
      <c r="H5436" s="1">
        <v>0</v>
      </c>
      <c r="I5436" s="1">
        <v>0</v>
      </c>
      <c r="J5436" s="1">
        <v>0</v>
      </c>
      <c r="K5436" s="2">
        <v>7.25</v>
      </c>
    </row>
    <row r="5437" spans="1:12">
      <c r="A5437" s="3" t="s">
        <v>2194</v>
      </c>
      <c r="B5437" s="3" t="s">
        <v>5185</v>
      </c>
      <c r="C5437" s="3" t="s">
        <v>653</v>
      </c>
      <c r="D5437" s="3"/>
      <c r="E5437" s="2" t="str">
        <f>HYPERLINK("https://old.ukr-mobil.com/shlejf_samsung_s5260_z_roz_mom_na_naushnik_3050", "Перейти")</f>
        <v>Перейти</v>
      </c>
      <c r="F5437" s="2">
        <v>3050</v>
      </c>
      <c r="G5437" s="4" t="s">
        <v>5603</v>
      </c>
      <c r="H5437" s="1">
        <v>14</v>
      </c>
      <c r="I5437" s="1">
        <v>0</v>
      </c>
      <c r="J5437" s="1">
        <v>0</v>
      </c>
      <c r="K5437" s="2">
        <v>3.63</v>
      </c>
    </row>
    <row r="5438" spans="1:12">
      <c r="A5438" s="3" t="s">
        <v>2194</v>
      </c>
      <c r="B5438" s="3" t="s">
        <v>5185</v>
      </c>
      <c r="C5438" s="3" t="s">
        <v>653</v>
      </c>
      <c r="D5438" s="3"/>
      <c r="E5438" s="2" t="str">
        <f>HYPERLINK("https://old.ukr-mobil.com/index.php?route=product&amp;product_id=10005037", "Перейти")</f>
        <v>Перейти</v>
      </c>
      <c r="F5438" s="2">
        <v>10005037</v>
      </c>
      <c r="G5438" s="4" t="s">
        <v>5604</v>
      </c>
      <c r="H5438" s="1">
        <v>0</v>
      </c>
      <c r="I5438" s="1">
        <v>0</v>
      </c>
      <c r="J5438" s="1">
        <v>0</v>
      </c>
      <c r="K5438" s="2">
        <v>1.5</v>
      </c>
    </row>
    <row r="5439" spans="1:12">
      <c r="A5439" s="3" t="s">
        <v>2194</v>
      </c>
      <c r="B5439" s="3" t="s">
        <v>5185</v>
      </c>
      <c r="C5439" s="3" t="s">
        <v>676</v>
      </c>
      <c r="D5439" s="3"/>
      <c r="E5439" s="2" t="str">
        <f>HYPERLINK("https://old.ukr-mobil.com/shlejf_sony_c6602_xperia_z_c6603_xperia_z_knopka_vklyucheniya_regulirovki_gromkosti_s_mikrofonom_4840", "Перейти")</f>
        <v>Перейти</v>
      </c>
      <c r="F5439" s="2">
        <v>4840</v>
      </c>
      <c r="G5439" s="4" t="s">
        <v>5605</v>
      </c>
      <c r="H5439" s="1">
        <v>0</v>
      </c>
      <c r="I5439" s="1">
        <v>2</v>
      </c>
      <c r="J5439" s="1">
        <v>0</v>
      </c>
      <c r="K5439" s="2">
        <v>3.28</v>
      </c>
    </row>
    <row r="5440" spans="1:12">
      <c r="A5440" s="3" t="s">
        <v>2194</v>
      </c>
      <c r="B5440" s="3" t="s">
        <v>5185</v>
      </c>
      <c r="C5440" s="3" t="s">
        <v>676</v>
      </c>
      <c r="D5440" s="3"/>
      <c r="E5440" s="2" t="str">
        <f>HYPERLINK("https://old.ukr-mobil.com/shlejf_sony_xperia_10_ii_xq-au51_xq-au52_so_skanerom_otpechatka_original_black_10003411", "Перейти")</f>
        <v>Перейти</v>
      </c>
      <c r="F5440" s="2">
        <v>10003411</v>
      </c>
      <c r="G5440" s="4" t="s">
        <v>5606</v>
      </c>
      <c r="H5440" s="1">
        <v>2</v>
      </c>
      <c r="I5440" s="1">
        <v>2</v>
      </c>
      <c r="J5440" s="1">
        <v>1</v>
      </c>
      <c r="K5440" s="2">
        <v>8.25</v>
      </c>
    </row>
    <row r="5441" spans="1:12">
      <c r="A5441" s="3" t="s">
        <v>2194</v>
      </c>
      <c r="B5441" s="3" t="s">
        <v>5185</v>
      </c>
      <c r="C5441" s="3" t="s">
        <v>1314</v>
      </c>
      <c r="D5441" s="3"/>
      <c r="E5441" s="2" t="str">
        <f>HYPERLINK("https://old.ukr-mobil.com/index.php?route=product&amp;product_id=10005078", "Перейти")</f>
        <v>Перейти</v>
      </c>
      <c r="F5441" s="2">
        <v>10005078</v>
      </c>
      <c r="G5441" s="4" t="s">
        <v>5607</v>
      </c>
      <c r="H5441" s="1">
        <v>0</v>
      </c>
      <c r="I5441" s="1">
        <v>0</v>
      </c>
      <c r="J5441" s="1">
        <v>0</v>
      </c>
      <c r="K5441" s="2">
        <v>0.85</v>
      </c>
    </row>
    <row r="5442" spans="1:12">
      <c r="A5442" s="3" t="s">
        <v>2194</v>
      </c>
      <c r="B5442" s="3" t="s">
        <v>5185</v>
      </c>
      <c r="C5442" s="3" t="s">
        <v>1314</v>
      </c>
      <c r="D5442" s="3"/>
      <c r="E5442" s="2" t="str">
        <f>HYPERLINK("https://old.ukr-mobil.com/index.php?route=product&amp;product_id=10004977", "Перейти")</f>
        <v>Перейти</v>
      </c>
      <c r="F5442" s="2">
        <v>10004977</v>
      </c>
      <c r="G5442" s="4" t="s">
        <v>5608</v>
      </c>
      <c r="H5442" s="1">
        <v>0</v>
      </c>
      <c r="I5442" s="1">
        <v>0</v>
      </c>
      <c r="J5442" s="1">
        <v>0</v>
      </c>
      <c r="K5442" s="2">
        <v>6.0</v>
      </c>
    </row>
    <row r="5443" spans="1:12">
      <c r="A5443" s="3" t="s">
        <v>2194</v>
      </c>
      <c r="B5443" s="3" t="s">
        <v>5185</v>
      </c>
      <c r="C5443" s="3" t="s">
        <v>1314</v>
      </c>
      <c r="D5443" s="3"/>
      <c r="E5443" s="2" t="str">
        <f>HYPERLINK("https://old.ukr-mobil.com/index.php?route=product&amp;product_id=10004978", "Перейти")</f>
        <v>Перейти</v>
      </c>
      <c r="F5443" s="2">
        <v>10004978</v>
      </c>
      <c r="G5443" s="4" t="s">
        <v>5609</v>
      </c>
      <c r="H5443" s="1">
        <v>0</v>
      </c>
      <c r="I5443" s="1">
        <v>0</v>
      </c>
      <c r="J5443" s="1">
        <v>0</v>
      </c>
      <c r="K5443" s="2">
        <v>0.0</v>
      </c>
    </row>
    <row r="5444" spans="1:12">
      <c r="A5444" s="3" t="s">
        <v>2194</v>
      </c>
      <c r="B5444" s="3" t="s">
        <v>5185</v>
      </c>
      <c r="C5444" s="3" t="s">
        <v>1314</v>
      </c>
      <c r="D5444" s="3"/>
      <c r="E5444" s="2" t="str">
        <f>HYPERLINK("https://old.ukr-mobil.com/index.php?route=product&amp;product_id=10005042", "Перейти")</f>
        <v>Перейти</v>
      </c>
      <c r="F5444" s="2">
        <v>10005042</v>
      </c>
      <c r="G5444" s="4" t="s">
        <v>5610</v>
      </c>
      <c r="H5444" s="1">
        <v>3</v>
      </c>
      <c r="I5444" s="1">
        <v>2</v>
      </c>
      <c r="J5444" s="1">
        <v>2</v>
      </c>
      <c r="K5444" s="2">
        <v>3.0</v>
      </c>
    </row>
    <row r="5445" spans="1:12">
      <c r="A5445" s="3" t="s">
        <v>2194</v>
      </c>
      <c r="B5445" s="3" t="s">
        <v>5185</v>
      </c>
      <c r="C5445" s="3" t="s">
        <v>1314</v>
      </c>
      <c r="D5445" s="3"/>
      <c r="E5445" s="2" t="str">
        <f>HYPERLINK("https://old.ukr-mobil.com/index.php?route=product&amp;product_id=10004945", "Перейти")</f>
        <v>Перейти</v>
      </c>
      <c r="F5445" s="2">
        <v>10004945</v>
      </c>
      <c r="G5445" s="4" t="s">
        <v>5611</v>
      </c>
      <c r="H5445" s="1">
        <v>3</v>
      </c>
      <c r="I5445" s="1">
        <v>3</v>
      </c>
      <c r="J5445" s="1">
        <v>2</v>
      </c>
      <c r="K5445" s="2">
        <v>6.5</v>
      </c>
    </row>
    <row r="5446" spans="1:12">
      <c r="A5446" s="3" t="s">
        <v>2194</v>
      </c>
      <c r="B5446" s="3" t="s">
        <v>5185</v>
      </c>
      <c r="C5446" s="3" t="s">
        <v>1314</v>
      </c>
      <c r="D5446" s="3"/>
      <c r="E5446" s="2" t="str">
        <f>HYPERLINK("https://old.ukr-mobil.com/index.php?route=product&amp;product_id=10004927", "Перейти")</f>
        <v>Перейти</v>
      </c>
      <c r="F5446" s="2">
        <v>10004927</v>
      </c>
      <c r="G5446" s="4" t="s">
        <v>5612</v>
      </c>
      <c r="H5446" s="1">
        <v>0</v>
      </c>
      <c r="I5446" s="1">
        <v>0</v>
      </c>
      <c r="J5446" s="1">
        <v>0</v>
      </c>
      <c r="K5446" s="2">
        <v>3.0</v>
      </c>
    </row>
    <row r="5447" spans="1:12">
      <c r="A5447" s="3" t="s">
        <v>2194</v>
      </c>
      <c r="B5447" s="3" t="s">
        <v>5185</v>
      </c>
      <c r="C5447" s="3" t="s">
        <v>1314</v>
      </c>
      <c r="D5447" s="3"/>
      <c r="E5447" s="2" t="str">
        <f>HYPERLINK("https://old.ukr-mobil.com/index.php?route=product&amp;product_id=10004976", "Перейти")</f>
        <v>Перейти</v>
      </c>
      <c r="F5447" s="2">
        <v>10004976</v>
      </c>
      <c r="G5447" s="4" t="s">
        <v>5613</v>
      </c>
      <c r="H5447" s="1">
        <v>0</v>
      </c>
      <c r="I5447" s="1">
        <v>1</v>
      </c>
      <c r="J5447" s="1">
        <v>0</v>
      </c>
      <c r="K5447" s="2">
        <v>6.5</v>
      </c>
    </row>
    <row r="5448" spans="1:12">
      <c r="A5448" s="3" t="s">
        <v>2194</v>
      </c>
      <c r="B5448" s="3" t="s">
        <v>5185</v>
      </c>
      <c r="C5448" s="3" t="s">
        <v>1314</v>
      </c>
      <c r="D5448" s="3"/>
      <c r="E5448" s="2" t="str">
        <f>HYPERLINK("https://old.ukr-mobil.com/index.php?route=product&amp;product_id=10005050", "Перейти")</f>
        <v>Перейти</v>
      </c>
      <c r="F5448" s="2">
        <v>10005050</v>
      </c>
      <c r="G5448" s="4" t="s">
        <v>5614</v>
      </c>
      <c r="H5448" s="1">
        <v>1</v>
      </c>
      <c r="I5448" s="1">
        <v>0</v>
      </c>
      <c r="J5448" s="1">
        <v>0</v>
      </c>
      <c r="K5448" s="2">
        <v>7.0</v>
      </c>
    </row>
    <row r="5449" spans="1:12">
      <c r="A5449" s="3" t="s">
        <v>2194</v>
      </c>
      <c r="B5449" s="3" t="s">
        <v>5185</v>
      </c>
      <c r="C5449" s="3" t="s">
        <v>1314</v>
      </c>
      <c r="D5449" s="3"/>
      <c r="E5449" s="2" t="str">
        <f>HYPERLINK("https://old.ukr-mobil.com/index.php?route=product&amp;product_id=10006051", "Перейти")</f>
        <v>Перейти</v>
      </c>
      <c r="F5449" s="2">
        <v>10006051</v>
      </c>
      <c r="G5449" s="4" t="s">
        <v>5615</v>
      </c>
      <c r="H5449" s="1">
        <v>2</v>
      </c>
      <c r="I5449" s="1">
        <v>0</v>
      </c>
      <c r="J5449" s="1">
        <v>0</v>
      </c>
      <c r="K5449" s="2">
        <v>7.0</v>
      </c>
    </row>
    <row r="5450" spans="1:12">
      <c r="A5450" s="3" t="s">
        <v>2194</v>
      </c>
      <c r="B5450" s="3" t="s">
        <v>5185</v>
      </c>
      <c r="C5450" s="3" t="s">
        <v>1314</v>
      </c>
      <c r="D5450" s="3"/>
      <c r="E5450" s="2" t="str">
        <f>HYPERLINK("https://old.ukr-mobil.com/index.php?route=product&amp;product_id=10004979", "Перейти")</f>
        <v>Перейти</v>
      </c>
      <c r="F5450" s="2">
        <v>10004979</v>
      </c>
      <c r="G5450" s="4" t="s">
        <v>5616</v>
      </c>
      <c r="H5450" s="1">
        <v>0</v>
      </c>
      <c r="I5450" s="1">
        <v>0</v>
      </c>
      <c r="J5450" s="1">
        <v>0</v>
      </c>
      <c r="K5450" s="2">
        <v>6.0</v>
      </c>
    </row>
    <row r="5451" spans="1:12">
      <c r="A5451" s="3" t="s">
        <v>2194</v>
      </c>
      <c r="B5451" s="3" t="s">
        <v>5185</v>
      </c>
      <c r="C5451" s="3" t="s">
        <v>1314</v>
      </c>
      <c r="D5451" s="3"/>
      <c r="E5451" s="2" t="str">
        <f>HYPERLINK("https://old.ukr-mobil.com/index.php?route=product&amp;product_id=10004980", "Перейти")</f>
        <v>Перейти</v>
      </c>
      <c r="F5451" s="2">
        <v>10004980</v>
      </c>
      <c r="G5451" s="4" t="s">
        <v>5617</v>
      </c>
      <c r="H5451" s="1">
        <v>0</v>
      </c>
      <c r="I5451" s="1">
        <v>0</v>
      </c>
      <c r="J5451" s="1">
        <v>0</v>
      </c>
      <c r="K5451" s="2">
        <v>6.0</v>
      </c>
    </row>
    <row r="5452" spans="1:12">
      <c r="A5452" s="3" t="s">
        <v>2194</v>
      </c>
      <c r="B5452" s="3" t="s">
        <v>5185</v>
      </c>
      <c r="C5452" s="3" t="s">
        <v>1314</v>
      </c>
      <c r="D5452" s="3"/>
      <c r="E5452" s="2" t="str">
        <f>HYPERLINK("https://old.ukr-mobil.com/index.php?route=product&amp;product_id=10004943", "Перейти")</f>
        <v>Перейти</v>
      </c>
      <c r="F5452" s="2">
        <v>10004943</v>
      </c>
      <c r="G5452" s="4" t="s">
        <v>5618</v>
      </c>
      <c r="H5452" s="1">
        <v>5</v>
      </c>
      <c r="I5452" s="1">
        <v>2</v>
      </c>
      <c r="J5452" s="1">
        <v>2</v>
      </c>
      <c r="K5452" s="2">
        <v>6.5</v>
      </c>
    </row>
    <row r="5453" spans="1:12">
      <c r="A5453" s="3" t="s">
        <v>2194</v>
      </c>
      <c r="B5453" s="3" t="s">
        <v>5185</v>
      </c>
      <c r="C5453" s="3" t="s">
        <v>1314</v>
      </c>
      <c r="D5453" s="3"/>
      <c r="E5453" s="2" t="str">
        <f>HYPERLINK("https://old.ukr-mobil.com/index.php?route=product&amp;product_id=10004928", "Перейти")</f>
        <v>Перейти</v>
      </c>
      <c r="F5453" s="2">
        <v>10004928</v>
      </c>
      <c r="G5453" s="4" t="s">
        <v>5619</v>
      </c>
      <c r="H5453" s="1">
        <v>0</v>
      </c>
      <c r="I5453" s="1">
        <v>0</v>
      </c>
      <c r="J5453" s="1">
        <v>0</v>
      </c>
      <c r="K5453" s="2">
        <v>3.15</v>
      </c>
    </row>
    <row r="5454" spans="1:12">
      <c r="A5454" s="3" t="s">
        <v>2194</v>
      </c>
      <c r="B5454" s="3" t="s">
        <v>5185</v>
      </c>
      <c r="C5454" s="3" t="s">
        <v>1314</v>
      </c>
      <c r="D5454" s="3"/>
      <c r="E5454" s="2" t="str">
        <f>HYPERLINK("https://old.ukr-mobil.com/index.php?route=product&amp;product_id=10005076", "Перейти")</f>
        <v>Перейти</v>
      </c>
      <c r="F5454" s="2">
        <v>10005076</v>
      </c>
      <c r="G5454" s="4" t="s">
        <v>5620</v>
      </c>
      <c r="H5454" s="1">
        <v>0</v>
      </c>
      <c r="I5454" s="1">
        <v>0</v>
      </c>
      <c r="J5454" s="1">
        <v>0</v>
      </c>
      <c r="K5454" s="2">
        <v>0.85</v>
      </c>
    </row>
    <row r="5455" spans="1:12">
      <c r="A5455" s="3" t="s">
        <v>2194</v>
      </c>
      <c r="B5455" s="3" t="s">
        <v>5185</v>
      </c>
      <c r="C5455" s="3" t="s">
        <v>1314</v>
      </c>
      <c r="D5455" s="3"/>
      <c r="E5455" s="2" t="str">
        <f>HYPERLINK("https://old.ukr-mobil.com/index.php?route=product&amp;product_id=10004946", "Перейти")</f>
        <v>Перейти</v>
      </c>
      <c r="F5455" s="2">
        <v>10004946</v>
      </c>
      <c r="G5455" s="4" t="s">
        <v>5621</v>
      </c>
      <c r="H5455" s="1">
        <v>0</v>
      </c>
      <c r="I5455" s="1">
        <v>0</v>
      </c>
      <c r="J5455" s="1">
        <v>0</v>
      </c>
      <c r="K5455" s="2">
        <v>5.5</v>
      </c>
    </row>
    <row r="5456" spans="1:12">
      <c r="A5456" s="3" t="s">
        <v>2194</v>
      </c>
      <c r="B5456" s="3" t="s">
        <v>5185</v>
      </c>
      <c r="C5456" s="3" t="s">
        <v>1314</v>
      </c>
      <c r="D5456" s="3"/>
      <c r="E5456" s="2" t="str">
        <f>HYPERLINK("https://old.ukr-mobil.com/index.php?route=product&amp;product_id=10004924", "Перейти")</f>
        <v>Перейти</v>
      </c>
      <c r="F5456" s="2">
        <v>10004924</v>
      </c>
      <c r="G5456" s="4" t="s">
        <v>5622</v>
      </c>
      <c r="H5456" s="1">
        <v>0</v>
      </c>
      <c r="I5456" s="1">
        <v>0</v>
      </c>
      <c r="J5456" s="1">
        <v>0</v>
      </c>
      <c r="K5456" s="2">
        <v>2.5</v>
      </c>
    </row>
    <row r="5457" spans="1:12">
      <c r="A5457" s="3" t="s">
        <v>2194</v>
      </c>
      <c r="B5457" s="3" t="s">
        <v>5185</v>
      </c>
      <c r="C5457" s="3" t="s">
        <v>1314</v>
      </c>
      <c r="D5457" s="3"/>
      <c r="E5457" s="2" t="str">
        <f>HYPERLINK("https://old.ukr-mobil.com/index.php?route=product&amp;product_id=10004975", "Перейти")</f>
        <v>Перейти</v>
      </c>
      <c r="F5457" s="2">
        <v>10004975</v>
      </c>
      <c r="G5457" s="4" t="s">
        <v>5623</v>
      </c>
      <c r="H5457" s="1">
        <v>1</v>
      </c>
      <c r="I5457" s="1">
        <v>0</v>
      </c>
      <c r="J5457" s="1">
        <v>0</v>
      </c>
      <c r="K5457" s="2">
        <v>6.0</v>
      </c>
    </row>
    <row r="5458" spans="1:12">
      <c r="A5458" s="3" t="s">
        <v>2194</v>
      </c>
      <c r="B5458" s="3" t="s">
        <v>5185</v>
      </c>
      <c r="C5458" s="3" t="s">
        <v>1314</v>
      </c>
      <c r="D5458" s="3"/>
      <c r="E5458" s="2" t="str">
        <f>HYPERLINK("https://old.ukr-mobil.com/index.php?route=product&amp;product_id=10004974", "Перейти")</f>
        <v>Перейти</v>
      </c>
      <c r="F5458" s="2">
        <v>10004974</v>
      </c>
      <c r="G5458" s="4" t="s">
        <v>5624</v>
      </c>
      <c r="H5458" s="1">
        <v>0</v>
      </c>
      <c r="I5458" s="1">
        <v>0</v>
      </c>
      <c r="J5458" s="1">
        <v>0</v>
      </c>
      <c r="K5458" s="2">
        <v>6.0</v>
      </c>
    </row>
    <row r="5459" spans="1:12">
      <c r="A5459" s="3" t="s">
        <v>2194</v>
      </c>
      <c r="B5459" s="3" t="s">
        <v>5185</v>
      </c>
      <c r="C5459" s="3" t="s">
        <v>1314</v>
      </c>
      <c r="D5459" s="3"/>
      <c r="E5459" s="2" t="str">
        <f>HYPERLINK("https://old.ukr-mobil.com/index.php?route=product&amp;product_id=10005077", "Перейти")</f>
        <v>Перейти</v>
      </c>
      <c r="F5459" s="2">
        <v>10005077</v>
      </c>
      <c r="G5459" s="4" t="s">
        <v>5625</v>
      </c>
      <c r="H5459" s="1">
        <v>0</v>
      </c>
      <c r="I5459" s="1">
        <v>0</v>
      </c>
      <c r="J5459" s="1">
        <v>0</v>
      </c>
      <c r="K5459" s="2">
        <v>0.85</v>
      </c>
    </row>
    <row r="5460" spans="1:12">
      <c r="A5460" s="3" t="s">
        <v>2194</v>
      </c>
      <c r="B5460" s="3" t="s">
        <v>5185</v>
      </c>
      <c r="C5460" s="3" t="s">
        <v>1314</v>
      </c>
      <c r="D5460" s="3"/>
      <c r="E5460" s="2" t="str">
        <f>HYPERLINK("https://old.ukr-mobil.com/index.php?route=product&amp;product_id=10004926", "Перейти")</f>
        <v>Перейти</v>
      </c>
      <c r="F5460" s="2">
        <v>10004926</v>
      </c>
      <c r="G5460" s="4" t="s">
        <v>5626</v>
      </c>
      <c r="H5460" s="1">
        <v>0</v>
      </c>
      <c r="I5460" s="1">
        <v>1</v>
      </c>
      <c r="J5460" s="1">
        <v>1</v>
      </c>
      <c r="K5460" s="2">
        <v>2.5</v>
      </c>
    </row>
    <row r="5461" spans="1:12">
      <c r="A5461" s="3" t="s">
        <v>2194</v>
      </c>
      <c r="B5461" s="3" t="s">
        <v>5185</v>
      </c>
      <c r="C5461" s="3" t="s">
        <v>1314</v>
      </c>
      <c r="D5461" s="3"/>
      <c r="E5461" s="2" t="str">
        <f>HYPERLINK("https://old.ukr-mobil.com/index.php?route=product&amp;product_id=10005044", "Перейти")</f>
        <v>Перейти</v>
      </c>
      <c r="F5461" s="2">
        <v>10005044</v>
      </c>
      <c r="G5461" s="4" t="s">
        <v>5627</v>
      </c>
      <c r="H5461" s="1">
        <v>0</v>
      </c>
      <c r="I5461" s="1">
        <v>2</v>
      </c>
      <c r="J5461" s="1">
        <v>0</v>
      </c>
      <c r="K5461" s="2">
        <v>3.0</v>
      </c>
    </row>
    <row r="5462" spans="1:12">
      <c r="A5462" s="3" t="s">
        <v>2194</v>
      </c>
      <c r="B5462" s="3" t="s">
        <v>5185</v>
      </c>
      <c r="C5462" s="3" t="s">
        <v>1314</v>
      </c>
      <c r="D5462" s="3"/>
      <c r="E5462" s="2" t="str">
        <f>HYPERLINK("https://old.ukr-mobil.com/index.php?route=product&amp;product_id=10004985", "Перейти")</f>
        <v>Перейти</v>
      </c>
      <c r="F5462" s="2">
        <v>10004985</v>
      </c>
      <c r="G5462" s="4" t="s">
        <v>5628</v>
      </c>
      <c r="H5462" s="1">
        <v>10</v>
      </c>
      <c r="I5462" s="1">
        <v>5</v>
      </c>
      <c r="J5462" s="1">
        <v>3</v>
      </c>
      <c r="K5462" s="2">
        <v>3.85</v>
      </c>
    </row>
    <row r="5463" spans="1:12">
      <c r="A5463" s="3" t="s">
        <v>2194</v>
      </c>
      <c r="B5463" s="3" t="s">
        <v>5185</v>
      </c>
      <c r="C5463" s="3" t="s">
        <v>1314</v>
      </c>
      <c r="D5463" s="3"/>
      <c r="E5463" s="2" t="str">
        <f>HYPERLINK("https://old.ukr-mobil.com/shlejf_tecno_spark_6_go_ke5_s_razemom_zaryadki_garnitury_mikrofonom_original_prc_10003890", "Перейти")</f>
        <v>Перейти</v>
      </c>
      <c r="F5463" s="2">
        <v>10003890</v>
      </c>
      <c r="G5463" s="4" t="s">
        <v>5629</v>
      </c>
      <c r="H5463" s="1">
        <v>0</v>
      </c>
      <c r="I5463" s="1">
        <v>0</v>
      </c>
      <c r="J5463" s="1">
        <v>0</v>
      </c>
      <c r="K5463" s="2">
        <v>3.65</v>
      </c>
    </row>
    <row r="5464" spans="1:12">
      <c r="A5464" s="3" t="s">
        <v>2194</v>
      </c>
      <c r="B5464" s="3" t="s">
        <v>5185</v>
      </c>
      <c r="C5464" s="3" t="s">
        <v>1314</v>
      </c>
      <c r="D5464" s="3"/>
      <c r="E5464" s="2" t="str">
        <f>HYPERLINK("https://old.ukr-mobil.com/index.php?route=product&amp;product_id=10004921", "Перейти")</f>
        <v>Перейти</v>
      </c>
      <c r="F5464" s="2">
        <v>10004921</v>
      </c>
      <c r="G5464" s="4" t="s">
        <v>5630</v>
      </c>
      <c r="H5464" s="1">
        <v>0</v>
      </c>
      <c r="I5464" s="1">
        <v>0</v>
      </c>
      <c r="J5464" s="1">
        <v>0</v>
      </c>
      <c r="K5464" s="2">
        <v>3.75</v>
      </c>
    </row>
    <row r="5465" spans="1:12">
      <c r="A5465" s="3" t="s">
        <v>2194</v>
      </c>
      <c r="B5465" s="3" t="s">
        <v>5185</v>
      </c>
      <c r="C5465" s="3" t="s">
        <v>1314</v>
      </c>
      <c r="D5465" s="3"/>
      <c r="E5465" s="2" t="str">
        <f>HYPERLINK("https://old.ukr-mobil.com/index.php?route=product&amp;product_id=10005074", "Перейти")</f>
        <v>Перейти</v>
      </c>
      <c r="F5465" s="2">
        <v>10005074</v>
      </c>
      <c r="G5465" s="4" t="s">
        <v>5631</v>
      </c>
      <c r="H5465" s="1">
        <v>0</v>
      </c>
      <c r="I5465" s="1">
        <v>0</v>
      </c>
      <c r="J5465" s="1">
        <v>0</v>
      </c>
      <c r="K5465" s="2">
        <v>0.9</v>
      </c>
    </row>
    <row r="5466" spans="1:12">
      <c r="A5466" s="3" t="s">
        <v>2194</v>
      </c>
      <c r="B5466" s="3" t="s">
        <v>5185</v>
      </c>
      <c r="C5466" s="3" t="s">
        <v>1314</v>
      </c>
      <c r="D5466" s="3"/>
      <c r="E5466" s="2" t="str">
        <f>HYPERLINK("https://old.ukr-mobil.com/index.php?route=product&amp;product_id=10004944", "Перейти")</f>
        <v>Перейти</v>
      </c>
      <c r="F5466" s="2">
        <v>10004944</v>
      </c>
      <c r="G5466" s="4" t="s">
        <v>5632</v>
      </c>
      <c r="H5466" s="1">
        <v>0</v>
      </c>
      <c r="I5466" s="1">
        <v>0</v>
      </c>
      <c r="J5466" s="1">
        <v>0</v>
      </c>
      <c r="K5466" s="2">
        <v>6.0</v>
      </c>
    </row>
    <row r="5467" spans="1:12">
      <c r="A5467" s="3" t="s">
        <v>2194</v>
      </c>
      <c r="B5467" s="3" t="s">
        <v>5185</v>
      </c>
      <c r="C5467" s="3" t="s">
        <v>1314</v>
      </c>
      <c r="D5467" s="3"/>
      <c r="E5467" s="2" t="str">
        <f>HYPERLINK("https://old.ukr-mobil.com/index.php?route=product&amp;product_id=10005075", "Перейти")</f>
        <v>Перейти</v>
      </c>
      <c r="F5467" s="2">
        <v>10005075</v>
      </c>
      <c r="G5467" s="4" t="s">
        <v>5633</v>
      </c>
      <c r="H5467" s="1">
        <v>4</v>
      </c>
      <c r="I5467" s="1">
        <v>1</v>
      </c>
      <c r="J5467" s="1">
        <v>2</v>
      </c>
      <c r="K5467" s="2">
        <v>1.1</v>
      </c>
    </row>
    <row r="5468" spans="1:12">
      <c r="A5468" s="3" t="s">
        <v>2194</v>
      </c>
      <c r="B5468" s="3" t="s">
        <v>5185</v>
      </c>
      <c r="C5468" s="3" t="s">
        <v>1314</v>
      </c>
      <c r="D5468" s="3"/>
      <c r="E5468" s="2" t="str">
        <f>HYPERLINK("https://old.ukr-mobil.com/index.php?route=product&amp;product_id=10005043", "Перейти")</f>
        <v>Перейти</v>
      </c>
      <c r="F5468" s="2">
        <v>10005043</v>
      </c>
      <c r="G5468" s="4" t="s">
        <v>5634</v>
      </c>
      <c r="H5468" s="1">
        <v>3</v>
      </c>
      <c r="I5468" s="1">
        <v>4</v>
      </c>
      <c r="J5468" s="1">
        <v>1</v>
      </c>
      <c r="K5468" s="2">
        <v>2.35</v>
      </c>
    </row>
    <row r="5469" spans="1:12">
      <c r="A5469" s="3" t="s">
        <v>2194</v>
      </c>
      <c r="B5469" s="3" t="s">
        <v>5185</v>
      </c>
      <c r="C5469" s="3" t="s">
        <v>1314</v>
      </c>
      <c r="D5469" s="3"/>
      <c r="E5469" s="2" t="str">
        <f>HYPERLINK("https://old.ukr-mobil.com/index.php?route=product&amp;product_id=10004923", "Перейти")</f>
        <v>Перейти</v>
      </c>
      <c r="F5469" s="2">
        <v>10004923</v>
      </c>
      <c r="G5469" s="4" t="s">
        <v>5635</v>
      </c>
      <c r="H5469" s="1">
        <v>1</v>
      </c>
      <c r="I5469" s="1">
        <v>0</v>
      </c>
      <c r="J5469" s="1">
        <v>0</v>
      </c>
      <c r="K5469" s="2">
        <v>2.85</v>
      </c>
    </row>
    <row r="5470" spans="1:12">
      <c r="A5470" s="3" t="s">
        <v>2194</v>
      </c>
      <c r="B5470" s="3" t="s">
        <v>5185</v>
      </c>
      <c r="C5470" s="3" t="s">
        <v>1314</v>
      </c>
      <c r="D5470" s="3"/>
      <c r="E5470" s="2" t="str">
        <f>HYPERLINK("https://old.ukr-mobil.com/index.php?route=product&amp;product_id=10004942", "Перейти")</f>
        <v>Перейти</v>
      </c>
      <c r="F5470" s="2">
        <v>10004942</v>
      </c>
      <c r="G5470" s="4" t="s">
        <v>5636</v>
      </c>
      <c r="H5470" s="1">
        <v>0</v>
      </c>
      <c r="I5470" s="1">
        <v>1</v>
      </c>
      <c r="J5470" s="1">
        <v>1</v>
      </c>
      <c r="K5470" s="2">
        <v>6.5</v>
      </c>
    </row>
    <row r="5471" spans="1:12">
      <c r="A5471" s="3" t="s">
        <v>2194</v>
      </c>
      <c r="B5471" s="3" t="s">
        <v>5185</v>
      </c>
      <c r="C5471" s="3" t="s">
        <v>1314</v>
      </c>
      <c r="D5471" s="3"/>
      <c r="E5471" s="2" t="str">
        <f>HYPERLINK("https://old.ukr-mobil.com/index.php?route=product&amp;product_id=10005052", "Перейти")</f>
        <v>Перейти</v>
      </c>
      <c r="F5471" s="2">
        <v>10005052</v>
      </c>
      <c r="G5471" s="4" t="s">
        <v>5637</v>
      </c>
      <c r="H5471" s="1">
        <v>3</v>
      </c>
      <c r="I5471" s="1">
        <v>0</v>
      </c>
      <c r="J5471" s="1">
        <v>2</v>
      </c>
      <c r="K5471" s="2">
        <v>6.5</v>
      </c>
    </row>
    <row r="5472" spans="1:12">
      <c r="A5472" s="3" t="s">
        <v>2194</v>
      </c>
      <c r="B5472" s="3" t="s">
        <v>5185</v>
      </c>
      <c r="C5472" s="3" t="s">
        <v>1314</v>
      </c>
      <c r="D5472" s="3"/>
      <c r="E5472" s="2" t="str">
        <f>HYPERLINK("https://old.ukr-mobil.com/index.php?route=product&amp;product_id=10005053", "Перейти")</f>
        <v>Перейти</v>
      </c>
      <c r="F5472" s="2">
        <v>10005053</v>
      </c>
      <c r="G5472" s="4" t="s">
        <v>5638</v>
      </c>
      <c r="H5472" s="1">
        <v>0</v>
      </c>
      <c r="I5472" s="1">
        <v>0</v>
      </c>
      <c r="J5472" s="1">
        <v>0</v>
      </c>
      <c r="K5472" s="2">
        <v>6.5</v>
      </c>
    </row>
    <row r="5473" spans="1:12">
      <c r="A5473" s="3" t="s">
        <v>2194</v>
      </c>
      <c r="B5473" s="3" t="s">
        <v>5185</v>
      </c>
      <c r="C5473" s="3" t="s">
        <v>1314</v>
      </c>
      <c r="D5473" s="3"/>
      <c r="E5473" s="2" t="str">
        <f>HYPERLINK("https://old.ukr-mobil.com/index.php?route=product&amp;product_id=10005054", "Перейти")</f>
        <v>Перейти</v>
      </c>
      <c r="F5473" s="2">
        <v>10005054</v>
      </c>
      <c r="G5473" s="4" t="s">
        <v>5639</v>
      </c>
      <c r="H5473" s="1">
        <v>3</v>
      </c>
      <c r="I5473" s="1">
        <v>1</v>
      </c>
      <c r="J5473" s="1">
        <v>0</v>
      </c>
      <c r="K5473" s="2">
        <v>6.5</v>
      </c>
    </row>
    <row r="5474" spans="1:12">
      <c r="A5474" s="3" t="s">
        <v>2194</v>
      </c>
      <c r="B5474" s="3" t="s">
        <v>5185</v>
      </c>
      <c r="C5474" s="3" t="s">
        <v>1314</v>
      </c>
      <c r="D5474" s="3"/>
      <c r="E5474" s="2" t="str">
        <f>HYPERLINK("https://old.ukr-mobil.com/index.php?route=product&amp;product_id=10005048", "Перейти")</f>
        <v>Перейти</v>
      </c>
      <c r="F5474" s="2">
        <v>10005048</v>
      </c>
      <c r="G5474" s="4" t="s">
        <v>5640</v>
      </c>
      <c r="H5474" s="1">
        <v>0</v>
      </c>
      <c r="I5474" s="1">
        <v>0</v>
      </c>
      <c r="J5474" s="1">
        <v>0</v>
      </c>
      <c r="K5474" s="2">
        <v>6.0</v>
      </c>
    </row>
    <row r="5475" spans="1:12">
      <c r="A5475" s="3" t="s">
        <v>2194</v>
      </c>
      <c r="B5475" s="3" t="s">
        <v>5185</v>
      </c>
      <c r="C5475" s="3" t="s">
        <v>1314</v>
      </c>
      <c r="D5475" s="3"/>
      <c r="E5475" s="2" t="str">
        <f>HYPERLINK("https://old.ukr-mobil.com/index.php?route=product&amp;product_id=10005079", "Перейти")</f>
        <v>Перейти</v>
      </c>
      <c r="F5475" s="2">
        <v>10005079</v>
      </c>
      <c r="G5475" s="4" t="s">
        <v>5641</v>
      </c>
      <c r="H5475" s="1">
        <v>0</v>
      </c>
      <c r="I5475" s="1">
        <v>0</v>
      </c>
      <c r="J5475" s="1">
        <v>0</v>
      </c>
      <c r="K5475" s="2">
        <v>0.85</v>
      </c>
    </row>
    <row r="5476" spans="1:12">
      <c r="A5476" s="3" t="s">
        <v>2194</v>
      </c>
      <c r="B5476" s="3" t="s">
        <v>5185</v>
      </c>
      <c r="C5476" s="3" t="s">
        <v>1314</v>
      </c>
      <c r="D5476" s="3"/>
      <c r="E5476" s="2" t="str">
        <f>HYPERLINK("https://old.ukr-mobil.com/index.php?route=product&amp;product_id=10004919", "Перейти")</f>
        <v>Перейти</v>
      </c>
      <c r="F5476" s="2">
        <v>10004919</v>
      </c>
      <c r="G5476" s="4" t="s">
        <v>5642</v>
      </c>
      <c r="H5476" s="1">
        <v>0</v>
      </c>
      <c r="I5476" s="1">
        <v>0</v>
      </c>
      <c r="J5476" s="1">
        <v>0</v>
      </c>
      <c r="K5476" s="2">
        <v>2.5</v>
      </c>
    </row>
    <row r="5477" spans="1:12">
      <c r="A5477" s="3" t="s">
        <v>2194</v>
      </c>
      <c r="B5477" s="3" t="s">
        <v>5185</v>
      </c>
      <c r="C5477" s="3" t="s">
        <v>1314</v>
      </c>
      <c r="D5477" s="3"/>
      <c r="E5477" s="2" t="str">
        <f>HYPERLINK("https://old.ukr-mobil.com/index.php?route=product&amp;product_id=10004987", "Перейти")</f>
        <v>Перейти</v>
      </c>
      <c r="F5477" s="2">
        <v>10004987</v>
      </c>
      <c r="G5477" s="4" t="s">
        <v>5643</v>
      </c>
      <c r="H5477" s="1">
        <v>0</v>
      </c>
      <c r="I5477" s="1">
        <v>0</v>
      </c>
      <c r="J5477" s="1">
        <v>0</v>
      </c>
      <c r="K5477" s="2">
        <v>4.0</v>
      </c>
    </row>
    <row r="5478" spans="1:12">
      <c r="A5478" s="3" t="s">
        <v>2194</v>
      </c>
      <c r="B5478" s="3" t="s">
        <v>5185</v>
      </c>
      <c r="C5478" s="3" t="s">
        <v>814</v>
      </c>
      <c r="D5478" s="3"/>
      <c r="E5478" s="2" t="str">
        <f>HYPERLINK("https://old.ukr-mobil.com/shlejf_xiaomi_11t_11t_pro_so_skanerom_otpechatka_palca_knopka_vklyucheniya_original_black_10003402", "Перейти")</f>
        <v>Перейти</v>
      </c>
      <c r="F5478" s="2">
        <v>10003402</v>
      </c>
      <c r="G5478" s="4" t="s">
        <v>5644</v>
      </c>
      <c r="H5478" s="1">
        <v>4</v>
      </c>
      <c r="I5478" s="1">
        <v>2</v>
      </c>
      <c r="J5478" s="1">
        <v>3</v>
      </c>
      <c r="K5478" s="2">
        <v>6.4</v>
      </c>
    </row>
    <row r="5479" spans="1:12">
      <c r="A5479" s="3" t="s">
        <v>2194</v>
      </c>
      <c r="B5479" s="3" t="s">
        <v>5185</v>
      </c>
      <c r="C5479" s="3" t="s">
        <v>814</v>
      </c>
      <c r="D5479" s="3"/>
      <c r="E5479" s="2" t="str">
        <f>HYPERLINK("https://old.ukr-mobil.com/shlejf_xiaomi_11t_11t_pro_so_skanerom_otpechatka_palca_knopka_vklyucheniya_original_blue_10003370", "Перейти")</f>
        <v>Перейти</v>
      </c>
      <c r="F5479" s="2">
        <v>10003370</v>
      </c>
      <c r="G5479" s="4" t="s">
        <v>5645</v>
      </c>
      <c r="H5479" s="1">
        <v>1</v>
      </c>
      <c r="I5479" s="1">
        <v>0</v>
      </c>
      <c r="J5479" s="1">
        <v>0</v>
      </c>
      <c r="K5479" s="2">
        <v>6.4</v>
      </c>
    </row>
    <row r="5480" spans="1:12">
      <c r="A5480" s="3" t="s">
        <v>2194</v>
      </c>
      <c r="B5480" s="3" t="s">
        <v>5185</v>
      </c>
      <c r="C5480" s="3" t="s">
        <v>814</v>
      </c>
      <c r="D5480" s="3"/>
      <c r="E5480" s="2" t="str">
        <f>HYPERLINK("https://old.ukr-mobil.com/shlejf_xiaomi_11t_nizhnyaya_plata_s_razemom_zaryadki_razemom_sim-karty_mikrofonom_original_10003477", "Перейти")</f>
        <v>Перейти</v>
      </c>
      <c r="F5480" s="2">
        <v>10003477</v>
      </c>
      <c r="G5480" s="4" t="s">
        <v>5646</v>
      </c>
      <c r="H5480" s="1">
        <v>0</v>
      </c>
      <c r="I5480" s="1">
        <v>0</v>
      </c>
      <c r="J5480" s="1">
        <v>0</v>
      </c>
      <c r="K5480" s="2">
        <v>8.0</v>
      </c>
    </row>
    <row r="5481" spans="1:12">
      <c r="A5481" s="3" t="s">
        <v>2194</v>
      </c>
      <c r="B5481" s="3" t="s">
        <v>5185</v>
      </c>
      <c r="C5481" s="3" t="s">
        <v>814</v>
      </c>
      <c r="D5481" s="3"/>
      <c r="E5481" s="2" t="str">
        <f>HYPERLINK("https://old.ukr-mobil.com/shlejf_xiaomi_12_12x_nizhnyaya_plata_s_razemom_zaryadki_razemom_sim-karty_mikrofonom_original_10003474", "Перейти")</f>
        <v>Перейти</v>
      </c>
      <c r="F5481" s="2">
        <v>10003474</v>
      </c>
      <c r="G5481" s="4" t="s">
        <v>5647</v>
      </c>
      <c r="H5481" s="1">
        <v>4</v>
      </c>
      <c r="I5481" s="1">
        <v>2</v>
      </c>
      <c r="J5481" s="1">
        <v>3</v>
      </c>
      <c r="K5481" s="2">
        <v>11.0</v>
      </c>
    </row>
    <row r="5482" spans="1:12">
      <c r="A5482" s="3" t="s">
        <v>2194</v>
      </c>
      <c r="B5482" s="3" t="s">
        <v>5185</v>
      </c>
      <c r="C5482" s="3" t="s">
        <v>814</v>
      </c>
      <c r="D5482" s="3"/>
      <c r="E5482" s="2" t="str">
        <f>HYPERLINK("https://old.ukr-mobil.com/index.php?route=product&amp;product_id=10005062", "Перейти")</f>
        <v>Перейти</v>
      </c>
      <c r="F5482" s="2">
        <v>10005062</v>
      </c>
      <c r="G5482" s="4" t="s">
        <v>5648</v>
      </c>
      <c r="H5482" s="1">
        <v>0</v>
      </c>
      <c r="I5482" s="1">
        <v>0</v>
      </c>
      <c r="J5482" s="1">
        <v>0</v>
      </c>
      <c r="K5482" s="2">
        <v>1.5</v>
      </c>
    </row>
    <row r="5483" spans="1:12">
      <c r="A5483" s="3" t="s">
        <v>2194</v>
      </c>
      <c r="B5483" s="3" t="s">
        <v>5185</v>
      </c>
      <c r="C5483" s="3" t="s">
        <v>814</v>
      </c>
      <c r="D5483" s="3"/>
      <c r="E5483" s="2" t="str">
        <f>HYPERLINK("https://old.ukr-mobil.com/index.php?route=product&amp;product_id=10005039", "Перейти")</f>
        <v>Перейти</v>
      </c>
      <c r="F5483" s="2">
        <v>10005039</v>
      </c>
      <c r="G5483" s="4" t="s">
        <v>5649</v>
      </c>
      <c r="H5483" s="1">
        <v>5</v>
      </c>
      <c r="I5483" s="1">
        <v>3</v>
      </c>
      <c r="J5483" s="1">
        <v>2</v>
      </c>
      <c r="K5483" s="2">
        <v>3.0</v>
      </c>
    </row>
    <row r="5484" spans="1:12">
      <c r="A5484" s="3" t="s">
        <v>2194</v>
      </c>
      <c r="B5484" s="3" t="s">
        <v>5185</v>
      </c>
      <c r="C5484" s="3" t="s">
        <v>814</v>
      </c>
      <c r="D5484" s="3"/>
      <c r="E5484" s="2" t="str">
        <f>HYPERLINK("https://old.ukr-mobil.com/shlejf_xiaomi_mi_11_lite_nizhnyaya_plata_s_razemom_zaryadki_mikrofonom_high_quality_10003470", "Перейти")</f>
        <v>Перейти</v>
      </c>
      <c r="F5484" s="2">
        <v>10003470</v>
      </c>
      <c r="G5484" s="4" t="s">
        <v>5650</v>
      </c>
      <c r="H5484" s="1">
        <v>0</v>
      </c>
      <c r="I5484" s="1">
        <v>0</v>
      </c>
      <c r="J5484" s="1">
        <v>0</v>
      </c>
      <c r="K5484" s="2">
        <v>2.35</v>
      </c>
    </row>
    <row r="5485" spans="1:12">
      <c r="A5485" s="3" t="s">
        <v>2194</v>
      </c>
      <c r="B5485" s="3" t="s">
        <v>5185</v>
      </c>
      <c r="C5485" s="3" t="s">
        <v>814</v>
      </c>
      <c r="D5485" s="3"/>
      <c r="E5485" s="2" t="str">
        <f>HYPERLINK("https://old.ukr-mobil.com/shlejf_xiaomi_mi_11_lite_nizhnyaya_plata_s_razemom_zaryadki_mikrofonom_original_10003471", "Перейти")</f>
        <v>Перейти</v>
      </c>
      <c r="F5485" s="2">
        <v>10003471</v>
      </c>
      <c r="G5485" s="4" t="s">
        <v>5651</v>
      </c>
      <c r="H5485" s="1">
        <v>1</v>
      </c>
      <c r="I5485" s="1">
        <v>1</v>
      </c>
      <c r="J5485" s="1">
        <v>2</v>
      </c>
      <c r="K5485" s="2">
        <v>7.35</v>
      </c>
    </row>
    <row r="5486" spans="1:12">
      <c r="A5486" s="3" t="s">
        <v>2194</v>
      </c>
      <c r="B5486" s="3" t="s">
        <v>5185</v>
      </c>
      <c r="C5486" s="3" t="s">
        <v>814</v>
      </c>
      <c r="D5486" s="3"/>
      <c r="E5486" s="2" t="str">
        <f>HYPERLINK("https://old.ukr-mobil.com/shlejf_xiaomi_mi_11_lite_knopki_vklyucheniya_skaner_otpechatka_palca_touch_id_original_black_10003057", "Перейти")</f>
        <v>Перейти</v>
      </c>
      <c r="F5486" s="2">
        <v>10003057</v>
      </c>
      <c r="G5486" s="4" t="s">
        <v>5652</v>
      </c>
      <c r="H5486" s="1">
        <v>0</v>
      </c>
      <c r="I5486" s="1">
        <v>0</v>
      </c>
      <c r="J5486" s="1">
        <v>0</v>
      </c>
      <c r="K5486" s="2">
        <v>8.35</v>
      </c>
    </row>
    <row r="5487" spans="1:12">
      <c r="A5487" s="3" t="s">
        <v>2194</v>
      </c>
      <c r="B5487" s="3" t="s">
        <v>5185</v>
      </c>
      <c r="C5487" s="3" t="s">
        <v>814</v>
      </c>
      <c r="D5487" s="3"/>
      <c r="E5487" s="2" t="str">
        <f>HYPERLINK("https://old.ukr-mobil.com/shlejf_xiaomi_mi_11_lite_knopki_vklyucheniya_skaner_otpechatka_palca_touch_id_original_blue_10003058", "Перейти")</f>
        <v>Перейти</v>
      </c>
      <c r="F5487" s="2">
        <v>10003058</v>
      </c>
      <c r="G5487" s="4" t="s">
        <v>5653</v>
      </c>
      <c r="H5487" s="1">
        <v>0</v>
      </c>
      <c r="I5487" s="1">
        <v>0</v>
      </c>
      <c r="J5487" s="1">
        <v>0</v>
      </c>
      <c r="K5487" s="2">
        <v>9.5</v>
      </c>
    </row>
    <row r="5488" spans="1:12">
      <c r="A5488" s="3" t="s">
        <v>2194</v>
      </c>
      <c r="B5488" s="3" t="s">
        <v>5185</v>
      </c>
      <c r="C5488" s="3" t="s">
        <v>814</v>
      </c>
      <c r="D5488" s="3"/>
      <c r="E5488" s="2" t="str">
        <f>HYPERLINK("https://old.ukr-mobil.com/shlejf_xiaomi_mi_11_lite_knopki_vklyucheniya_skaner_otpechatka_palca_touch_id_original_pink_10003059", "Перейти")</f>
        <v>Перейти</v>
      </c>
      <c r="F5488" s="2">
        <v>10003059</v>
      </c>
      <c r="G5488" s="4" t="s">
        <v>5654</v>
      </c>
      <c r="H5488" s="1">
        <v>0</v>
      </c>
      <c r="I5488" s="1">
        <v>0</v>
      </c>
      <c r="J5488" s="1">
        <v>0</v>
      </c>
      <c r="K5488" s="2">
        <v>9.25</v>
      </c>
    </row>
    <row r="5489" spans="1:12">
      <c r="A5489" s="3" t="s">
        <v>2194</v>
      </c>
      <c r="B5489" s="3" t="s">
        <v>5185</v>
      </c>
      <c r="C5489" s="3" t="s">
        <v>814</v>
      </c>
      <c r="D5489" s="3"/>
      <c r="E5489" s="2" t="str">
        <f>HYPERLINK("https://old.ukr-mobil.com/shlejf_xiaomi_mi_11_pro_mi_11_ultra_s_razemom_zaryadki_high_quality_10003475", "Перейти")</f>
        <v>Перейти</v>
      </c>
      <c r="F5489" s="2">
        <v>10003475</v>
      </c>
      <c r="G5489" s="4" t="s">
        <v>5655</v>
      </c>
      <c r="H5489" s="1">
        <v>13</v>
      </c>
      <c r="I5489" s="1">
        <v>3</v>
      </c>
      <c r="J5489" s="1">
        <v>2</v>
      </c>
      <c r="K5489" s="2">
        <v>3.85</v>
      </c>
    </row>
    <row r="5490" spans="1:12">
      <c r="A5490" s="3" t="s">
        <v>2194</v>
      </c>
      <c r="B5490" s="3" t="s">
        <v>5185</v>
      </c>
      <c r="C5490" s="3" t="s">
        <v>814</v>
      </c>
      <c r="D5490" s="3"/>
      <c r="E5490" s="2" t="str">
        <f>HYPERLINK("https://old.ukr-mobil.com/shlejf_xiaomi_mi_11_nizhnyaya_plata_s_razemom_zaryadki_razemom_sim-karty_mikrofonom_high_quality_10003473", "Перейти")</f>
        <v>Перейти</v>
      </c>
      <c r="F5490" s="2">
        <v>10003473</v>
      </c>
      <c r="G5490" s="4" t="s">
        <v>5656</v>
      </c>
      <c r="H5490" s="1">
        <v>8</v>
      </c>
      <c r="I5490" s="1">
        <v>3</v>
      </c>
      <c r="J5490" s="1">
        <v>3</v>
      </c>
      <c r="K5490" s="2">
        <v>5.25</v>
      </c>
    </row>
    <row r="5491" spans="1:12">
      <c r="A5491" s="3" t="s">
        <v>2194</v>
      </c>
      <c r="B5491" s="3" t="s">
        <v>5185</v>
      </c>
      <c r="C5491" s="3" t="s">
        <v>814</v>
      </c>
      <c r="D5491" s="3"/>
      <c r="E5491" s="2" t="str">
        <f>HYPERLINK("https://old.ukr-mobil.com/shlejf_xiaomi_mi_11_nizhnyaya_plata_s_razemom_zaryadki_razemom_sim-karty_mikrofonom_original_10003472", "Перейти")</f>
        <v>Перейти</v>
      </c>
      <c r="F5491" s="2">
        <v>10003472</v>
      </c>
      <c r="G5491" s="4" t="s">
        <v>5657</v>
      </c>
      <c r="H5491" s="1">
        <v>0</v>
      </c>
      <c r="I5491" s="1">
        <v>1</v>
      </c>
      <c r="J5491" s="1">
        <v>1</v>
      </c>
      <c r="K5491" s="2">
        <v>7.0</v>
      </c>
    </row>
    <row r="5492" spans="1:12">
      <c r="A5492" s="3" t="s">
        <v>2194</v>
      </c>
      <c r="B5492" s="3" t="s">
        <v>5185</v>
      </c>
      <c r="C5492" s="3" t="s">
        <v>814</v>
      </c>
      <c r="D5492" s="3"/>
      <c r="E5492" s="2" t="str">
        <f>HYPERLINK("https://old.ukr-mobil.com/shlejf_xiaomi_mi_11i_nizhnyaya_plata_s_razemom_zaryadki_mikrofonom_original_10003478", "Перейти")</f>
        <v>Перейти</v>
      </c>
      <c r="F5492" s="2">
        <v>10003478</v>
      </c>
      <c r="G5492" s="4" t="s">
        <v>5658</v>
      </c>
      <c r="H5492" s="1">
        <v>1</v>
      </c>
      <c r="I5492" s="1">
        <v>2</v>
      </c>
      <c r="J5492" s="1">
        <v>2</v>
      </c>
      <c r="K5492" s="2">
        <v>8.0</v>
      </c>
    </row>
    <row r="5493" spans="1:12">
      <c r="A5493" s="3" t="s">
        <v>2194</v>
      </c>
      <c r="B5493" s="3" t="s">
        <v>5185</v>
      </c>
      <c r="C5493" s="3" t="s">
        <v>814</v>
      </c>
      <c r="D5493" s="3"/>
      <c r="E5493" s="2" t="str">
        <f>HYPERLINK("https://old.ukr-mobil.com/shlejf_xiaomi_mi_11i_nizhnyaya_plata_s_razemom_zaryadki_mikrofonom_original_prc_10003476", "Перейти")</f>
        <v>Перейти</v>
      </c>
      <c r="F5493" s="2">
        <v>10003476</v>
      </c>
      <c r="G5493" s="4" t="s">
        <v>5659</v>
      </c>
      <c r="H5493" s="1">
        <v>0</v>
      </c>
      <c r="I5493" s="1">
        <v>0</v>
      </c>
      <c r="J5493" s="1">
        <v>0</v>
      </c>
      <c r="K5493" s="2">
        <v>3.9</v>
      </c>
    </row>
    <row r="5494" spans="1:12">
      <c r="A5494" s="3" t="s">
        <v>2194</v>
      </c>
      <c r="B5494" s="3" t="s">
        <v>5185</v>
      </c>
      <c r="C5494" s="3" t="s">
        <v>814</v>
      </c>
      <c r="D5494" s="3"/>
      <c r="E5494" s="2" t="str">
        <f>HYPERLINK("https://old.ukr-mobil.com/shlejf_xiaomi_mi_8_lite_nizhnyaya_plata_s_razemom_zaryadki_mikrofonom_12190", "Перейти")</f>
        <v>Перейти</v>
      </c>
      <c r="F5494" s="2">
        <v>12190</v>
      </c>
      <c r="G5494" s="4" t="s">
        <v>5660</v>
      </c>
      <c r="H5494" s="1">
        <v>0</v>
      </c>
      <c r="I5494" s="1">
        <v>0</v>
      </c>
      <c r="J5494" s="1">
        <v>0</v>
      </c>
      <c r="K5494" s="2">
        <v>3.53</v>
      </c>
    </row>
    <row r="5495" spans="1:12">
      <c r="A5495" s="3" t="s">
        <v>2194</v>
      </c>
      <c r="B5495" s="3" t="s">
        <v>5185</v>
      </c>
      <c r="C5495" s="3" t="s">
        <v>814</v>
      </c>
      <c r="D5495" s="3"/>
      <c r="E5495" s="2" t="str">
        <f>HYPERLINK("https://old.ukr-mobil.com/shlejf_xiaomi_mi_8_se_nizhnyaya_plata_s_razemom_zaryadki_mikrofonom_10001113", "Перейти")</f>
        <v>Перейти</v>
      </c>
      <c r="F5495" s="2">
        <v>10001113</v>
      </c>
      <c r="G5495" s="4" t="s">
        <v>5661</v>
      </c>
      <c r="H5495" s="1">
        <v>9</v>
      </c>
      <c r="I5495" s="1">
        <v>2</v>
      </c>
      <c r="J5495" s="1">
        <v>2</v>
      </c>
      <c r="K5495" s="2">
        <v>3.25</v>
      </c>
    </row>
    <row r="5496" spans="1:12">
      <c r="A5496" s="3" t="s">
        <v>2194</v>
      </c>
      <c r="B5496" s="3" t="s">
        <v>5185</v>
      </c>
      <c r="C5496" s="3" t="s">
        <v>814</v>
      </c>
      <c r="D5496" s="3"/>
      <c r="E5496" s="2" t="str">
        <f>HYPERLINK("https://old.ukr-mobil.com/shlejf_xiaomi_mi_8_nizhnyaya_plata_s_razemom_zaryadki_mikrofonom_12197", "Перейти")</f>
        <v>Перейти</v>
      </c>
      <c r="F5496" s="2">
        <v>12197</v>
      </c>
      <c r="G5496" s="4" t="s">
        <v>5662</v>
      </c>
      <c r="H5496" s="1">
        <v>14</v>
      </c>
      <c r="I5496" s="1">
        <v>5</v>
      </c>
      <c r="J5496" s="1">
        <v>0</v>
      </c>
      <c r="K5496" s="2">
        <v>2.25</v>
      </c>
    </row>
    <row r="5497" spans="1:12">
      <c r="A5497" s="3" t="s">
        <v>2194</v>
      </c>
      <c r="B5497" s="3" t="s">
        <v>5185</v>
      </c>
      <c r="C5497" s="3" t="s">
        <v>814</v>
      </c>
      <c r="D5497" s="3"/>
      <c r="E5497" s="2" t="str">
        <f>HYPERLINK("https://old.ukr-mobil.com/shlejf_xiaomi_mi_9_lite_nizhnyaya_plata_s_razemom_zaryadki_mikrofonom_original_prc_10000783", "Перейти")</f>
        <v>Перейти</v>
      </c>
      <c r="F5497" s="2">
        <v>10000783</v>
      </c>
      <c r="G5497" s="4" t="s">
        <v>5663</v>
      </c>
      <c r="H5497" s="1">
        <v>0</v>
      </c>
      <c r="I5497" s="1">
        <v>0</v>
      </c>
      <c r="J5497" s="1">
        <v>0</v>
      </c>
      <c r="K5497" s="2">
        <v>4.0</v>
      </c>
    </row>
    <row r="5498" spans="1:12">
      <c r="A5498" s="3" t="s">
        <v>2194</v>
      </c>
      <c r="B5498" s="3" t="s">
        <v>5185</v>
      </c>
      <c r="C5498" s="3" t="s">
        <v>814</v>
      </c>
      <c r="D5498" s="3"/>
      <c r="E5498" s="2" t="str">
        <f>HYPERLINK("https://old.ukr-mobil.com/shlejf_xiaomi_mi_9_se_mezhplatnyj_original_prc_10000784", "Перейти")</f>
        <v>Перейти</v>
      </c>
      <c r="F5498" s="2">
        <v>10000784</v>
      </c>
      <c r="G5498" s="4" t="s">
        <v>5664</v>
      </c>
      <c r="H5498" s="1">
        <v>2</v>
      </c>
      <c r="I5498" s="1">
        <v>1</v>
      </c>
      <c r="J5498" s="1">
        <v>0</v>
      </c>
      <c r="K5498" s="2">
        <v>2.5</v>
      </c>
    </row>
    <row r="5499" spans="1:12">
      <c r="A5499" s="3" t="s">
        <v>2194</v>
      </c>
      <c r="B5499" s="3" t="s">
        <v>5185</v>
      </c>
      <c r="C5499" s="3" t="s">
        <v>814</v>
      </c>
      <c r="D5499" s="3"/>
      <c r="E5499" s="2" t="str">
        <f>HYPERLINK("https://old.ukr-mobil.com/shlejf_xiaomi_mi_9t_mi_9t_pro_redmi_k20_redmi_k20_pro_mezhplatnyj_original_10001878", "Перейти")</f>
        <v>Перейти</v>
      </c>
      <c r="F5499" s="2">
        <v>10001878</v>
      </c>
      <c r="G5499" s="4" t="s">
        <v>5665</v>
      </c>
      <c r="H5499" s="1">
        <v>0</v>
      </c>
      <c r="I5499" s="1">
        <v>0</v>
      </c>
      <c r="J5499" s="1">
        <v>0</v>
      </c>
      <c r="K5499" s="2">
        <v>3.5</v>
      </c>
    </row>
    <row r="5500" spans="1:12">
      <c r="A5500" s="3" t="s">
        <v>2194</v>
      </c>
      <c r="B5500" s="3" t="s">
        <v>5185</v>
      </c>
      <c r="C5500" s="3" t="s">
        <v>814</v>
      </c>
      <c r="D5500" s="3"/>
      <c r="E5500" s="2" t="str">
        <f>HYPERLINK("https://old.ukr-mobil.com/shlejf_xiaomi_mi_9t_mi_9t_pro_redmi_k20_redmi_k20_pro_nizhnyaya_plata_s_razemom_zaryadki_sim_konnektor_original_10001877", "Перейти")</f>
        <v>Перейти</v>
      </c>
      <c r="F5500" s="2">
        <v>10001877</v>
      </c>
      <c r="G5500" s="4" t="s">
        <v>5666</v>
      </c>
      <c r="H5500" s="1">
        <v>2</v>
      </c>
      <c r="I5500" s="1">
        <v>0</v>
      </c>
      <c r="J5500" s="1">
        <v>2</v>
      </c>
      <c r="K5500" s="2">
        <v>14.0</v>
      </c>
    </row>
    <row r="5501" spans="1:12">
      <c r="A5501" s="3" t="s">
        <v>2194</v>
      </c>
      <c r="B5501" s="3" t="s">
        <v>5185</v>
      </c>
      <c r="C5501" s="3" t="s">
        <v>814</v>
      </c>
      <c r="D5501" s="3"/>
      <c r="E5501" s="2" t="str">
        <f>HYPERLINK("https://old.ukr-mobil.com/shlejf_xiaomi_mi_a2_lite_redmi_6_pro_nizhnyaya_plata_s_razemom_zaryadki_mikrofonom_12194", "Перейти")</f>
        <v>Перейти</v>
      </c>
      <c r="F5501" s="2">
        <v>12194</v>
      </c>
      <c r="G5501" s="4" t="s">
        <v>5667</v>
      </c>
      <c r="H5501" s="1">
        <v>2</v>
      </c>
      <c r="I5501" s="1">
        <v>0</v>
      </c>
      <c r="J5501" s="1">
        <v>0</v>
      </c>
      <c r="K5501" s="2">
        <v>3.35</v>
      </c>
    </row>
    <row r="5502" spans="1:12">
      <c r="A5502" s="3" t="s">
        <v>2194</v>
      </c>
      <c r="B5502" s="3" t="s">
        <v>5185</v>
      </c>
      <c r="C5502" s="3" t="s">
        <v>814</v>
      </c>
      <c r="D5502" s="3"/>
      <c r="E5502" s="2" t="str">
        <f>HYPERLINK("https://old.ukr-mobil.com/shlejf_xiaomi_mi_a2_redmi_6x_nizhnyaya_plata_s_razemom_zaryadki_mikrofonom_11678", "Перейти")</f>
        <v>Перейти</v>
      </c>
      <c r="F5502" s="2">
        <v>11678</v>
      </c>
      <c r="G5502" s="4" t="s">
        <v>5668</v>
      </c>
      <c r="H5502" s="1">
        <v>0</v>
      </c>
      <c r="I5502" s="1">
        <v>0</v>
      </c>
      <c r="J5502" s="1">
        <v>0</v>
      </c>
      <c r="K5502" s="2">
        <v>2.75</v>
      </c>
    </row>
    <row r="5503" spans="1:12">
      <c r="A5503" s="3" t="s">
        <v>2194</v>
      </c>
      <c r="B5503" s="3" t="s">
        <v>5185</v>
      </c>
      <c r="C5503" s="3" t="s">
        <v>814</v>
      </c>
      <c r="D5503" s="3"/>
      <c r="E5503" s="2" t="str">
        <f>HYPERLINK("https://old.ukr-mobil.com/shlejf_xiaomi_mi_max_nizhnyaya_plata_s_razemom_zaryadki_mikrofonom_10473", "Перейти")</f>
        <v>Перейти</v>
      </c>
      <c r="F5503" s="2">
        <v>10473</v>
      </c>
      <c r="G5503" s="4" t="s">
        <v>5669</v>
      </c>
      <c r="H5503" s="1">
        <v>0</v>
      </c>
      <c r="I5503" s="1">
        <v>0</v>
      </c>
      <c r="J5503" s="1">
        <v>0</v>
      </c>
      <c r="K5503" s="2">
        <v>3.53</v>
      </c>
    </row>
    <row r="5504" spans="1:12">
      <c r="A5504" s="3" t="s">
        <v>2194</v>
      </c>
      <c r="B5504" s="3" t="s">
        <v>5185</v>
      </c>
      <c r="C5504" s="3" t="s">
        <v>814</v>
      </c>
      <c r="D5504" s="3"/>
      <c r="E5504" s="2" t="str">
        <f>HYPERLINK("https://old.ukr-mobil.com/shlejf_xiaomi_mi_mix_nizhnyaya_plata_s_razemom_zaryadki_mikrofonom_11679", "Перейти")</f>
        <v>Перейти</v>
      </c>
      <c r="F5504" s="2">
        <v>11679</v>
      </c>
      <c r="G5504" s="4" t="s">
        <v>5670</v>
      </c>
      <c r="H5504" s="1">
        <v>2</v>
      </c>
      <c r="I5504" s="1">
        <v>1</v>
      </c>
      <c r="J5504" s="1">
        <v>0</v>
      </c>
      <c r="K5504" s="2">
        <v>4.54</v>
      </c>
    </row>
    <row r="5505" spans="1:12">
      <c r="A5505" s="3" t="s">
        <v>2194</v>
      </c>
      <c r="B5505" s="3" t="s">
        <v>5185</v>
      </c>
      <c r="C5505" s="3" t="s">
        <v>814</v>
      </c>
      <c r="D5505" s="3"/>
      <c r="E5505" s="2" t="str">
        <f>HYPERLINK("https://old.ukr-mobil.com/shlejf_xiaomi_mi_note_10_mi_note_10_lite_mi_note_10_pro_mezhplatnyj_high_copy_10002630", "Перейти")</f>
        <v>Перейти</v>
      </c>
      <c r="F5505" s="2">
        <v>10002630</v>
      </c>
      <c r="G5505" s="4" t="s">
        <v>5671</v>
      </c>
      <c r="H5505" s="1">
        <v>20</v>
      </c>
      <c r="I5505" s="1">
        <v>4</v>
      </c>
      <c r="J5505" s="1">
        <v>4</v>
      </c>
      <c r="K5505" s="2">
        <v>3.0</v>
      </c>
    </row>
    <row r="5506" spans="1:12">
      <c r="A5506" s="3" t="s">
        <v>2194</v>
      </c>
      <c r="B5506" s="3" t="s">
        <v>5185</v>
      </c>
      <c r="C5506" s="3" t="s">
        <v>814</v>
      </c>
      <c r="D5506" s="3"/>
      <c r="E5506" s="2" t="str">
        <f>HYPERLINK("https://old.ukr-mobil.com/shlejf_xiaomi_mi_note_10_mi_note_10_pro_mezhplatnyj_original_10001880", "Перейти")</f>
        <v>Перейти</v>
      </c>
      <c r="F5506" s="2">
        <v>10001880</v>
      </c>
      <c r="G5506" s="4" t="s">
        <v>5672</v>
      </c>
      <c r="H5506" s="1">
        <v>0</v>
      </c>
      <c r="I5506" s="1">
        <v>0</v>
      </c>
      <c r="J5506" s="1">
        <v>0</v>
      </c>
      <c r="K5506" s="2">
        <v>2.6</v>
      </c>
    </row>
    <row r="5507" spans="1:12">
      <c r="A5507" s="3" t="s">
        <v>2194</v>
      </c>
      <c r="B5507" s="3" t="s">
        <v>5185</v>
      </c>
      <c r="C5507" s="3" t="s">
        <v>814</v>
      </c>
      <c r="D5507" s="3"/>
      <c r="E5507" s="2" t="str">
        <f>HYPERLINK("https://old.ukr-mobil.com/shlejf_xiaomi_mi4c_s_knopkoj_vklyucheniya_regulirovki_gromkosti_10478", "Перейти")</f>
        <v>Перейти</v>
      </c>
      <c r="F5507" s="2">
        <v>10478</v>
      </c>
      <c r="G5507" s="4" t="s">
        <v>5673</v>
      </c>
      <c r="H5507" s="1">
        <v>0</v>
      </c>
      <c r="I5507" s="1">
        <v>0</v>
      </c>
      <c r="J5507" s="1">
        <v>0</v>
      </c>
      <c r="K5507" s="2">
        <v>2.52</v>
      </c>
    </row>
    <row r="5508" spans="1:12">
      <c r="A5508" s="3" t="s">
        <v>2194</v>
      </c>
      <c r="B5508" s="3" t="s">
        <v>5185</v>
      </c>
      <c r="C5508" s="3" t="s">
        <v>814</v>
      </c>
      <c r="D5508" s="3"/>
      <c r="E5508" s="2" t="str">
        <f>HYPERLINK("https://old.ukr-mobil.com/shlejf_xiaomi_mi4i_mezhplatnyj_9114", "Перейти")</f>
        <v>Перейти</v>
      </c>
      <c r="F5508" s="2">
        <v>9114</v>
      </c>
      <c r="G5508" s="4" t="s">
        <v>5674</v>
      </c>
      <c r="H5508" s="1">
        <v>0</v>
      </c>
      <c r="I5508" s="1">
        <v>1</v>
      </c>
      <c r="J5508" s="1">
        <v>0</v>
      </c>
      <c r="K5508" s="2">
        <v>5.54</v>
      </c>
    </row>
    <row r="5509" spans="1:12">
      <c r="A5509" s="3" t="s">
        <v>2194</v>
      </c>
      <c r="B5509" s="3" t="s">
        <v>5185</v>
      </c>
      <c r="C5509" s="3" t="s">
        <v>814</v>
      </c>
      <c r="D5509" s="3"/>
      <c r="E5509" s="2" t="str">
        <f>HYPERLINK("https://old.ukr-mobil.com/shlejf_xiaomi_mi4i_s_knopkoj_vklyucheniya_regulirovki_gromkosti_9103", "Перейти")</f>
        <v>Перейти</v>
      </c>
      <c r="F5509" s="2">
        <v>9103</v>
      </c>
      <c r="G5509" s="4" t="s">
        <v>5675</v>
      </c>
      <c r="H5509" s="1">
        <v>4</v>
      </c>
      <c r="I5509" s="1">
        <v>1</v>
      </c>
      <c r="J5509" s="1">
        <v>0</v>
      </c>
      <c r="K5509" s="2">
        <v>1.61</v>
      </c>
    </row>
    <row r="5510" spans="1:12">
      <c r="A5510" s="3" t="s">
        <v>2194</v>
      </c>
      <c r="B5510" s="3" t="s">
        <v>5185</v>
      </c>
      <c r="C5510" s="3" t="s">
        <v>814</v>
      </c>
      <c r="D5510" s="3"/>
      <c r="E5510" s="2" t="str">
        <f>HYPERLINK("https://old.ukr-mobil.com/shlejf_xiaomi_mi_note_10_mi_note_10_pro_nizhnyaya_plata_s_razemom_zaryadki_mikrofonom_original_10001879", "Перейти")</f>
        <v>Перейти</v>
      </c>
      <c r="F5510" s="2">
        <v>10001879</v>
      </c>
      <c r="G5510" s="4" t="s">
        <v>5676</v>
      </c>
      <c r="H5510" s="1">
        <v>2</v>
      </c>
      <c r="I5510" s="1">
        <v>3</v>
      </c>
      <c r="J5510" s="1">
        <v>0</v>
      </c>
      <c r="K5510" s="2">
        <v>15.0</v>
      </c>
    </row>
    <row r="5511" spans="1:12">
      <c r="A5511" s="3" t="s">
        <v>2194</v>
      </c>
      <c r="B5511" s="3" t="s">
        <v>5185</v>
      </c>
      <c r="C5511" s="3" t="s">
        <v>814</v>
      </c>
      <c r="D5511" s="3"/>
      <c r="E5511" s="2" t="str">
        <f>HYPERLINK("https://old.ukr-mobil.com/shlejf_xiaomi_redmi_10_redmi_10_2022_redmi_10_prime_redmi_10_prime_2022_so_skanerom_otpechatka_palca_black_10003409", "Перейти")</f>
        <v>Перейти</v>
      </c>
      <c r="F5511" s="2">
        <v>10003409</v>
      </c>
      <c r="G5511" s="4" t="s">
        <v>5677</v>
      </c>
      <c r="H5511" s="1">
        <v>0</v>
      </c>
      <c r="I5511" s="1">
        <v>0</v>
      </c>
      <c r="J5511" s="1">
        <v>0</v>
      </c>
      <c r="K5511" s="2">
        <v>6.5</v>
      </c>
    </row>
    <row r="5512" spans="1:12">
      <c r="A5512" s="3" t="s">
        <v>2194</v>
      </c>
      <c r="B5512" s="3" t="s">
        <v>5185</v>
      </c>
      <c r="C5512" s="3" t="s">
        <v>814</v>
      </c>
      <c r="D5512" s="3"/>
      <c r="E5512" s="2" t="str">
        <f>HYPERLINK("https://old.ukr-mobil.com/index.php?route=product&amp;product_id=10006115", "Перейти")</f>
        <v>Перейти</v>
      </c>
      <c r="F5512" s="2">
        <v>10006115</v>
      </c>
      <c r="G5512" s="4" t="s">
        <v>5678</v>
      </c>
      <c r="H5512" s="1">
        <v>7</v>
      </c>
      <c r="I5512" s="1">
        <v>3</v>
      </c>
      <c r="J5512" s="1">
        <v>0</v>
      </c>
      <c r="K5512" s="2">
        <v>5.5</v>
      </c>
    </row>
    <row r="5513" spans="1:12">
      <c r="A5513" s="3" t="s">
        <v>2194</v>
      </c>
      <c r="B5513" s="3" t="s">
        <v>5185</v>
      </c>
      <c r="C5513" s="3" t="s">
        <v>814</v>
      </c>
      <c r="D5513" s="3"/>
      <c r="E5513" s="2" t="str">
        <f>HYPERLINK("https://old.ukr-mobil.com/shlejf_xiaomi_redmi_10_nizhnyaya_plata_s_razemom_zaryadki_mikrofonom_original_prc_10002568", "Перейти")</f>
        <v>Перейти</v>
      </c>
      <c r="F5513" s="2">
        <v>10002568</v>
      </c>
      <c r="G5513" s="4" t="s">
        <v>5679</v>
      </c>
      <c r="H5513" s="1">
        <v>0</v>
      </c>
      <c r="I5513" s="1">
        <v>0</v>
      </c>
      <c r="J5513" s="1">
        <v>0</v>
      </c>
      <c r="K5513" s="2">
        <v>5.5</v>
      </c>
    </row>
    <row r="5514" spans="1:12">
      <c r="A5514" s="3" t="s">
        <v>2194</v>
      </c>
      <c r="B5514" s="3" t="s">
        <v>5185</v>
      </c>
      <c r="C5514" s="3" t="s">
        <v>814</v>
      </c>
      <c r="D5514" s="3"/>
      <c r="E5514" s="2" t="str">
        <f>HYPERLINK("https://old.ukr-mobil.com/index.php?route=product&amp;product_id=10005060", "Перейти")</f>
        <v>Перейти</v>
      </c>
      <c r="F5514" s="2">
        <v>10005060</v>
      </c>
      <c r="G5514" s="4" t="s">
        <v>5680</v>
      </c>
      <c r="H5514" s="1">
        <v>0</v>
      </c>
      <c r="I5514" s="1">
        <v>0</v>
      </c>
      <c r="J5514" s="1">
        <v>0</v>
      </c>
      <c r="K5514" s="2">
        <v>0.85</v>
      </c>
    </row>
    <row r="5515" spans="1:12">
      <c r="A5515" s="3" t="s">
        <v>2194</v>
      </c>
      <c r="B5515" s="3" t="s">
        <v>5185</v>
      </c>
      <c r="C5515" s="3" t="s">
        <v>814</v>
      </c>
      <c r="D5515" s="3"/>
      <c r="E5515" s="2" t="str">
        <f>HYPERLINK("https://old.ukr-mobil.com/index.php?route=product&amp;product_id=10004940", "Перейти")</f>
        <v>Перейти</v>
      </c>
      <c r="F5515" s="2">
        <v>10004940</v>
      </c>
      <c r="G5515" s="4" t="s">
        <v>5681</v>
      </c>
      <c r="H5515" s="1">
        <v>0</v>
      </c>
      <c r="I5515" s="1">
        <v>1</v>
      </c>
      <c r="J5515" s="1">
        <v>2</v>
      </c>
      <c r="K5515" s="2">
        <v>7.0</v>
      </c>
    </row>
    <row r="5516" spans="1:12">
      <c r="A5516" s="3" t="s">
        <v>2194</v>
      </c>
      <c r="B5516" s="3" t="s">
        <v>5185</v>
      </c>
      <c r="C5516" s="3" t="s">
        <v>814</v>
      </c>
      <c r="D5516" s="3"/>
      <c r="E5516" s="2" t="str">
        <f>HYPERLINK("https://old.ukr-mobil.com/index.php?route=product&amp;product_id=10004915", "Перейти")</f>
        <v>Перейти</v>
      </c>
      <c r="F5516" s="2">
        <v>10004915</v>
      </c>
      <c r="G5516" s="4" t="s">
        <v>5682</v>
      </c>
      <c r="H5516" s="1">
        <v>7</v>
      </c>
      <c r="I5516" s="1">
        <v>5</v>
      </c>
      <c r="J5516" s="1">
        <v>0</v>
      </c>
      <c r="K5516" s="2">
        <v>6.0</v>
      </c>
    </row>
    <row r="5517" spans="1:12">
      <c r="A5517" s="3" t="s">
        <v>2194</v>
      </c>
      <c r="B5517" s="3" t="s">
        <v>5185</v>
      </c>
      <c r="C5517" s="3" t="s">
        <v>814</v>
      </c>
      <c r="D5517" s="3"/>
      <c r="E5517" s="2" t="str">
        <f>HYPERLINK("https://old.ukr-mobil.com/index.php?route=product&amp;product_id=10004955", "Перейти")</f>
        <v>Перейти</v>
      </c>
      <c r="F5517" s="2">
        <v>10004955</v>
      </c>
      <c r="G5517" s="4" t="s">
        <v>5683</v>
      </c>
      <c r="H5517" s="1">
        <v>3</v>
      </c>
      <c r="I5517" s="1">
        <v>2</v>
      </c>
      <c r="J5517" s="1">
        <v>0</v>
      </c>
      <c r="K5517" s="2">
        <v>9.0</v>
      </c>
    </row>
    <row r="5518" spans="1:12">
      <c r="A5518" s="3" t="s">
        <v>2194</v>
      </c>
      <c r="B5518" s="3" t="s">
        <v>5185</v>
      </c>
      <c r="C5518" s="3" t="s">
        <v>814</v>
      </c>
      <c r="D5518" s="3"/>
      <c r="E5518" s="2" t="str">
        <f>HYPERLINK("https://old.ukr-mobil.com/index.php?route=product&amp;product_id=10004956", "Перейти")</f>
        <v>Перейти</v>
      </c>
      <c r="F5518" s="2">
        <v>10004956</v>
      </c>
      <c r="G5518" s="4" t="s">
        <v>5684</v>
      </c>
      <c r="H5518" s="1">
        <v>3</v>
      </c>
      <c r="I5518" s="1">
        <v>1</v>
      </c>
      <c r="J5518" s="1">
        <v>0</v>
      </c>
      <c r="K5518" s="2">
        <v>9.0</v>
      </c>
    </row>
    <row r="5519" spans="1:12">
      <c r="A5519" s="3" t="s">
        <v>2194</v>
      </c>
      <c r="B5519" s="3" t="s">
        <v>5185</v>
      </c>
      <c r="C5519" s="3" t="s">
        <v>814</v>
      </c>
      <c r="D5519" s="3"/>
      <c r="E5519" s="2" t="str">
        <f>HYPERLINK("https://old.ukr-mobil.com/index.php?route=product&amp;product_id=10005061", "Перейти")</f>
        <v>Перейти</v>
      </c>
      <c r="F5519" s="2">
        <v>10005061</v>
      </c>
      <c r="G5519" s="4" t="s">
        <v>5685</v>
      </c>
      <c r="H5519" s="1">
        <v>0</v>
      </c>
      <c r="I5519" s="1">
        <v>0</v>
      </c>
      <c r="J5519" s="1">
        <v>0</v>
      </c>
      <c r="K5519" s="2">
        <v>0.95</v>
      </c>
    </row>
    <row r="5520" spans="1:12">
      <c r="A5520" s="3" t="s">
        <v>2194</v>
      </c>
      <c r="B5520" s="3" t="s">
        <v>5185</v>
      </c>
      <c r="C5520" s="3" t="s">
        <v>814</v>
      </c>
      <c r="D5520" s="3"/>
      <c r="E5520" s="2" t="str">
        <f>HYPERLINK("https://old.ukr-mobil.com/index.php?route=product&amp;product_id=10004647", "Перейти")</f>
        <v>Перейти</v>
      </c>
      <c r="F5520" s="2">
        <v>10004647</v>
      </c>
      <c r="G5520" s="4" t="s">
        <v>5686</v>
      </c>
      <c r="H5520" s="1">
        <v>0</v>
      </c>
      <c r="I5520" s="1">
        <v>0</v>
      </c>
      <c r="J5520" s="1">
        <v>0</v>
      </c>
      <c r="K5520" s="2">
        <v>7.0</v>
      </c>
    </row>
    <row r="5521" spans="1:12">
      <c r="A5521" s="3" t="s">
        <v>2194</v>
      </c>
      <c r="B5521" s="3" t="s">
        <v>5185</v>
      </c>
      <c r="C5521" s="3" t="s">
        <v>814</v>
      </c>
      <c r="D5521" s="3"/>
      <c r="E5521" s="2" t="str">
        <f>HYPERLINK("https://old.ukr-mobil.com/index.php?route=product&amp;product_id=10004646", "Перейти")</f>
        <v>Перейти</v>
      </c>
      <c r="F5521" s="2">
        <v>10004646</v>
      </c>
      <c r="G5521" s="4" t="s">
        <v>5687</v>
      </c>
      <c r="H5521" s="1">
        <v>0</v>
      </c>
      <c r="I5521" s="1">
        <v>0</v>
      </c>
      <c r="J5521" s="1">
        <v>0</v>
      </c>
      <c r="K5521" s="2">
        <v>4.5</v>
      </c>
    </row>
    <row r="5522" spans="1:12">
      <c r="A5522" s="3" t="s">
        <v>2194</v>
      </c>
      <c r="B5522" s="3" t="s">
        <v>5185</v>
      </c>
      <c r="C5522" s="3" t="s">
        <v>814</v>
      </c>
      <c r="D5522" s="3"/>
      <c r="E5522" s="2" t="str">
        <f>HYPERLINK("https://old.ukr-mobil.com/index.php?route=product&amp;product_id=10004949", "Перейти")</f>
        <v>Перейти</v>
      </c>
      <c r="F5522" s="2">
        <v>10004949</v>
      </c>
      <c r="G5522" s="4" t="s">
        <v>5688</v>
      </c>
      <c r="H5522" s="1">
        <v>0</v>
      </c>
      <c r="I5522" s="1">
        <v>0</v>
      </c>
      <c r="J5522" s="1">
        <v>0</v>
      </c>
      <c r="K5522" s="2">
        <v>6.75</v>
      </c>
    </row>
    <row r="5523" spans="1:12">
      <c r="A5523" s="3" t="s">
        <v>2194</v>
      </c>
      <c r="B5523" s="3" t="s">
        <v>5185</v>
      </c>
      <c r="C5523" s="3" t="s">
        <v>814</v>
      </c>
      <c r="D5523" s="3"/>
      <c r="E5523" s="2" t="str">
        <f>HYPERLINK("https://old.ukr-mobil.com/shlejf_xiaomi_redmi_3_mezhplatnyj_9115", "Перейти")</f>
        <v>Перейти</v>
      </c>
      <c r="F5523" s="2">
        <v>9115</v>
      </c>
      <c r="G5523" s="4" t="s">
        <v>5689</v>
      </c>
      <c r="H5523" s="1">
        <v>0</v>
      </c>
      <c r="I5523" s="1">
        <v>1</v>
      </c>
      <c r="J5523" s="1">
        <v>0</v>
      </c>
      <c r="K5523" s="2">
        <v>5.04</v>
      </c>
    </row>
    <row r="5524" spans="1:12">
      <c r="A5524" s="3" t="s">
        <v>2194</v>
      </c>
      <c r="B5524" s="3" t="s">
        <v>5185</v>
      </c>
      <c r="C5524" s="3" t="s">
        <v>814</v>
      </c>
      <c r="D5524" s="3"/>
      <c r="E5524" s="2" t="str">
        <f>HYPERLINK("https://old.ukr-mobil.com/shlejf_xiaomi_redmi_4x_nizhnyaya_plata_s_razemom_zaryadki_mikrofonom_10468", "Перейти")</f>
        <v>Перейти</v>
      </c>
      <c r="F5524" s="2">
        <v>10468</v>
      </c>
      <c r="G5524" s="4" t="s">
        <v>5690</v>
      </c>
      <c r="H5524" s="1">
        <v>0</v>
      </c>
      <c r="I5524" s="1">
        <v>0</v>
      </c>
      <c r="J5524" s="1">
        <v>0</v>
      </c>
      <c r="K5524" s="2">
        <v>1.15</v>
      </c>
    </row>
    <row r="5525" spans="1:12">
      <c r="A5525" s="3" t="s">
        <v>2194</v>
      </c>
      <c r="B5525" s="3" t="s">
        <v>5185</v>
      </c>
      <c r="C5525" s="3" t="s">
        <v>814</v>
      </c>
      <c r="D5525" s="3"/>
      <c r="E5525" s="2" t="str">
        <f>HYPERLINK("https://old.ukr-mobil.com/shlejf_xiaomi_redmi_7_nizhnyaya_plata_s_razemom_zaryadki_mikrofonom_12201", "Перейти")</f>
        <v>Перейти</v>
      </c>
      <c r="F5525" s="2">
        <v>12201</v>
      </c>
      <c r="G5525" s="4" t="s">
        <v>5691</v>
      </c>
      <c r="H5525" s="1">
        <v>0</v>
      </c>
      <c r="I5525" s="1">
        <v>0</v>
      </c>
      <c r="J5525" s="1">
        <v>0</v>
      </c>
      <c r="K5525" s="2">
        <v>2.25</v>
      </c>
    </row>
    <row r="5526" spans="1:12">
      <c r="A5526" s="3" t="s">
        <v>2194</v>
      </c>
      <c r="B5526" s="3" t="s">
        <v>5185</v>
      </c>
      <c r="C5526" s="3" t="s">
        <v>814</v>
      </c>
      <c r="D5526" s="3"/>
      <c r="E5526" s="2" t="str">
        <f>HYPERLINK("https://old.ukr-mobil.com/shlejf_xiaomi_redmi_7_nizhnyaya_plata_s_razemom_zaryadki_mikrofonom_original_10002281", "Перейти")</f>
        <v>Перейти</v>
      </c>
      <c r="F5526" s="2">
        <v>10002281</v>
      </c>
      <c r="G5526" s="4" t="s">
        <v>5692</v>
      </c>
      <c r="H5526" s="1">
        <v>0</v>
      </c>
      <c r="I5526" s="1">
        <v>0</v>
      </c>
      <c r="J5526" s="1">
        <v>0</v>
      </c>
      <c r="K5526" s="2">
        <v>5.0</v>
      </c>
    </row>
    <row r="5527" spans="1:12">
      <c r="A5527" s="3" t="s">
        <v>2194</v>
      </c>
      <c r="B5527" s="3" t="s">
        <v>5185</v>
      </c>
      <c r="C5527" s="3" t="s">
        <v>814</v>
      </c>
      <c r="D5527" s="3"/>
      <c r="E5527" s="2" t="str">
        <f>HYPERLINK("https://old.ukr-mobil.com/shlejf_xiaomi_redmi_8_redmi_8a_mezhplatnyj_original_prc_10000785", "Перейти")</f>
        <v>Перейти</v>
      </c>
      <c r="F5527" s="2">
        <v>10000785</v>
      </c>
      <c r="G5527" s="4" t="s">
        <v>5693</v>
      </c>
      <c r="H5527" s="1">
        <v>7</v>
      </c>
      <c r="I5527" s="1">
        <v>4</v>
      </c>
      <c r="J5527" s="1">
        <v>4</v>
      </c>
      <c r="K5527" s="2">
        <v>2.45</v>
      </c>
    </row>
    <row r="5528" spans="1:12">
      <c r="A5528" s="3" t="s">
        <v>2194</v>
      </c>
      <c r="B5528" s="3" t="s">
        <v>5185</v>
      </c>
      <c r="C5528" s="3" t="s">
        <v>814</v>
      </c>
      <c r="D5528" s="3"/>
      <c r="E5528" s="2" t="str">
        <f>HYPERLINK("https://old.ukr-mobil.com/shlejf_xiaomi_redmi_8_redmi_8a_s_razemom_zaryadki_mikrofonom_original_prc_10000663", "Перейти")</f>
        <v>Перейти</v>
      </c>
      <c r="F5528" s="2">
        <v>10000663</v>
      </c>
      <c r="G5528" s="4" t="s">
        <v>5694</v>
      </c>
      <c r="H5528" s="1">
        <v>5</v>
      </c>
      <c r="I5528" s="1">
        <v>3</v>
      </c>
      <c r="J5528" s="1">
        <v>1</v>
      </c>
      <c r="K5528" s="2">
        <v>2.25</v>
      </c>
    </row>
    <row r="5529" spans="1:12">
      <c r="A5529" s="3" t="s">
        <v>2194</v>
      </c>
      <c r="B5529" s="3" t="s">
        <v>5185</v>
      </c>
      <c r="C5529" s="3" t="s">
        <v>814</v>
      </c>
      <c r="D5529" s="3"/>
      <c r="E5529" s="2" t="str">
        <f>HYPERLINK("https://old.ukr-mobil.com/shlejf_xiaomi_redmi_8_redmi_8a_s_razemom_zaryadki_mikrofonom_original_10002282", "Перейти")</f>
        <v>Перейти</v>
      </c>
      <c r="F5529" s="2">
        <v>10002282</v>
      </c>
      <c r="G5529" s="4" t="s">
        <v>5695</v>
      </c>
      <c r="H5529" s="1">
        <v>1</v>
      </c>
      <c r="I5529" s="1">
        <v>0</v>
      </c>
      <c r="J5529" s="1">
        <v>1</v>
      </c>
      <c r="K5529" s="2">
        <v>5.5</v>
      </c>
    </row>
    <row r="5530" spans="1:12">
      <c r="A5530" s="3" t="s">
        <v>2194</v>
      </c>
      <c r="B5530" s="3" t="s">
        <v>5185</v>
      </c>
      <c r="C5530" s="3" t="s">
        <v>814</v>
      </c>
      <c r="D5530" s="3"/>
      <c r="E5530" s="2" t="str">
        <f>HYPERLINK("https://old.ukr-mobil.com/shlejf_xiaomi_redmi_9_mezhplatnyj_original_10001882", "Перейти")</f>
        <v>Перейти</v>
      </c>
      <c r="F5530" s="2">
        <v>10001882</v>
      </c>
      <c r="G5530" s="4" t="s">
        <v>5696</v>
      </c>
      <c r="H5530" s="1">
        <v>0</v>
      </c>
      <c r="I5530" s="1">
        <v>0</v>
      </c>
      <c r="J5530" s="1">
        <v>0</v>
      </c>
      <c r="K5530" s="2">
        <v>2.75</v>
      </c>
    </row>
    <row r="5531" spans="1:12">
      <c r="A5531" s="3" t="s">
        <v>2194</v>
      </c>
      <c r="B5531" s="3" t="s">
        <v>5185</v>
      </c>
      <c r="C5531" s="3" t="s">
        <v>814</v>
      </c>
      <c r="D5531" s="3"/>
      <c r="E5531" s="2" t="str">
        <f>HYPERLINK("https://old.ukr-mobil.com/shlejf_xiaomi_redmi_9_nizhnyaya_plata_s_razemom_zaryadki_mikrofonom_high_copy_10002283", "Перейти")</f>
        <v>Перейти</v>
      </c>
      <c r="F5531" s="2">
        <v>10002283</v>
      </c>
      <c r="G5531" s="4" t="s">
        <v>5697</v>
      </c>
      <c r="H5531" s="1">
        <v>12</v>
      </c>
      <c r="I5531" s="1">
        <v>8</v>
      </c>
      <c r="J5531" s="1">
        <v>1</v>
      </c>
      <c r="K5531" s="2">
        <v>2.0</v>
      </c>
    </row>
    <row r="5532" spans="1:12">
      <c r="A5532" s="3" t="s">
        <v>2194</v>
      </c>
      <c r="B5532" s="3" t="s">
        <v>5185</v>
      </c>
      <c r="C5532" s="3" t="s">
        <v>814</v>
      </c>
      <c r="D5532" s="3"/>
      <c r="E5532" s="2" t="str">
        <f>HYPERLINK("https://old.ukr-mobil.com/shlejf_xiaomi_redmi_9_nizhnyaya_plata_s_razemom_zaryadki_mikrofonom_original_10001881", "Перейти")</f>
        <v>Перейти</v>
      </c>
      <c r="F5532" s="2">
        <v>10001881</v>
      </c>
      <c r="G5532" s="4" t="s">
        <v>5698</v>
      </c>
      <c r="H5532" s="1">
        <v>4</v>
      </c>
      <c r="I5532" s="1">
        <v>2</v>
      </c>
      <c r="J5532" s="1">
        <v>5</v>
      </c>
      <c r="K5532" s="2">
        <v>8.0</v>
      </c>
    </row>
    <row r="5533" spans="1:12">
      <c r="A5533" s="3" t="s">
        <v>2194</v>
      </c>
      <c r="B5533" s="3" t="s">
        <v>5185</v>
      </c>
      <c r="C5533" s="3" t="s">
        <v>814</v>
      </c>
      <c r="D5533" s="3"/>
      <c r="E5533" s="2" t="str">
        <f>HYPERLINK("https://old.ukr-mobil.com/shlejf_xiaomi_redmi_9a_redmi_9c_nizhnyaya_plata_s_razemom_zaryadki_mikrofonom_high_copy_10002284", "Перейти")</f>
        <v>Перейти</v>
      </c>
      <c r="F5533" s="2">
        <v>10002284</v>
      </c>
      <c r="G5533" s="4" t="s">
        <v>5699</v>
      </c>
      <c r="H5533" s="1">
        <v>0</v>
      </c>
      <c r="I5533" s="1">
        <v>0</v>
      </c>
      <c r="J5533" s="1">
        <v>0</v>
      </c>
      <c r="K5533" s="2">
        <v>2.6</v>
      </c>
    </row>
    <row r="5534" spans="1:12">
      <c r="A5534" s="3" t="s">
        <v>2194</v>
      </c>
      <c r="B5534" s="3" t="s">
        <v>5185</v>
      </c>
      <c r="C5534" s="3" t="s">
        <v>814</v>
      </c>
      <c r="D5534" s="3"/>
      <c r="E5534" s="2" t="str">
        <f>HYPERLINK("https://old.ukr-mobil.com/shlejf_xiaomi_redmi_9a_redmi_9c_nizhnyaya_plata_s_razemom_zaryadki_mikrofonom_original_10001883", "Перейти")</f>
        <v>Перейти</v>
      </c>
      <c r="F5534" s="2">
        <v>10001883</v>
      </c>
      <c r="G5534" s="4" t="s">
        <v>5700</v>
      </c>
      <c r="H5534" s="1">
        <v>0</v>
      </c>
      <c r="I5534" s="1">
        <v>0</v>
      </c>
      <c r="J5534" s="1">
        <v>0</v>
      </c>
      <c r="K5534" s="2">
        <v>6.85</v>
      </c>
    </row>
    <row r="5535" spans="1:12">
      <c r="A5535" s="3" t="s">
        <v>2194</v>
      </c>
      <c r="B5535" s="3" t="s">
        <v>5185</v>
      </c>
      <c r="C5535" s="3" t="s">
        <v>814</v>
      </c>
      <c r="D5535" s="3"/>
      <c r="E5535" s="2" t="str">
        <f>HYPERLINK("https://old.ukr-mobil.com/shlejf_xiaomi_redmi_9c_so_skanerom_otpechatka_palca_black_10003403", "Перейти")</f>
        <v>Перейти</v>
      </c>
      <c r="F5535" s="2">
        <v>10003403</v>
      </c>
      <c r="G5535" s="4" t="s">
        <v>5701</v>
      </c>
      <c r="H5535" s="1">
        <v>7</v>
      </c>
      <c r="I5535" s="1">
        <v>4</v>
      </c>
      <c r="J5535" s="1">
        <v>3</v>
      </c>
      <c r="K5535" s="2">
        <v>4.2</v>
      </c>
    </row>
    <row r="5536" spans="1:12">
      <c r="A5536" s="3" t="s">
        <v>2194</v>
      </c>
      <c r="B5536" s="3" t="s">
        <v>5185</v>
      </c>
      <c r="C5536" s="3" t="s">
        <v>814</v>
      </c>
      <c r="D5536" s="3"/>
      <c r="E5536" s="2" t="str">
        <f>HYPERLINK("https://old.ukr-mobil.com/shlejf_xiaomi_redmi_9c_so_skanerom_otpechatka_palca_blue_10003404", "Перейти")</f>
        <v>Перейти</v>
      </c>
      <c r="F5536" s="2">
        <v>10003404</v>
      </c>
      <c r="G5536" s="4" t="s">
        <v>5702</v>
      </c>
      <c r="H5536" s="1">
        <v>8</v>
      </c>
      <c r="I5536" s="1">
        <v>5</v>
      </c>
      <c r="J5536" s="1">
        <v>0</v>
      </c>
      <c r="K5536" s="2">
        <v>4.2</v>
      </c>
    </row>
    <row r="5537" spans="1:12">
      <c r="A5537" s="3" t="s">
        <v>2194</v>
      </c>
      <c r="B5537" s="3" t="s">
        <v>5185</v>
      </c>
      <c r="C5537" s="3" t="s">
        <v>814</v>
      </c>
      <c r="D5537" s="3"/>
      <c r="E5537" s="2" t="str">
        <f>HYPERLINK("https://old.ukr-mobil.com/shlejf_xiaomi_redmi_9c_so_skanerom_otpechatka_palca_red_10003405", "Перейти")</f>
        <v>Перейти</v>
      </c>
      <c r="F5537" s="2">
        <v>10003405</v>
      </c>
      <c r="G5537" s="4" t="s">
        <v>5703</v>
      </c>
      <c r="H5537" s="1">
        <v>4</v>
      </c>
      <c r="I5537" s="1">
        <v>2</v>
      </c>
      <c r="J5537" s="1">
        <v>1</v>
      </c>
      <c r="K5537" s="2">
        <v>4.2</v>
      </c>
    </row>
    <row r="5538" spans="1:12">
      <c r="A5538" s="3" t="s">
        <v>2194</v>
      </c>
      <c r="B5538" s="3" t="s">
        <v>5185</v>
      </c>
      <c r="C5538" s="3" t="s">
        <v>814</v>
      </c>
      <c r="D5538" s="3"/>
      <c r="E5538" s="2" t="str">
        <f>HYPERLINK("https://old.ukr-mobil.com/shlejf_xiaomi_poco_m3_redmi_9t_nizhnyaya_plata_s_razemom_zaryadki_mikrofonom_high_copy_10002285", "Перейти")</f>
        <v>Перейти</v>
      </c>
      <c r="F5538" s="2">
        <v>10002285</v>
      </c>
      <c r="G5538" s="4" t="s">
        <v>5704</v>
      </c>
      <c r="H5538" s="1">
        <v>9</v>
      </c>
      <c r="I5538" s="1">
        <v>2</v>
      </c>
      <c r="J5538" s="1">
        <v>0</v>
      </c>
      <c r="K5538" s="2">
        <v>2.5</v>
      </c>
    </row>
    <row r="5539" spans="1:12">
      <c r="A5539" s="3" t="s">
        <v>2194</v>
      </c>
      <c r="B5539" s="3" t="s">
        <v>5185</v>
      </c>
      <c r="C5539" s="3" t="s">
        <v>814</v>
      </c>
      <c r="D5539" s="3"/>
      <c r="E5539" s="2" t="str">
        <f>HYPERLINK("https://old.ukr-mobil.com/shlejf_xiaomi_poco_m3_redmi_9t_nizhnyaya_plata_s_razemom_zaryadki_mikrofonom_original_10002286", "Перейти")</f>
        <v>Перейти</v>
      </c>
      <c r="F5539" s="2">
        <v>10002286</v>
      </c>
      <c r="G5539" s="4" t="s">
        <v>5705</v>
      </c>
      <c r="H5539" s="1">
        <v>0</v>
      </c>
      <c r="I5539" s="1">
        <v>0</v>
      </c>
      <c r="J5539" s="1">
        <v>0</v>
      </c>
      <c r="K5539" s="2">
        <v>6.0</v>
      </c>
    </row>
    <row r="5540" spans="1:12">
      <c r="A5540" s="3" t="s">
        <v>2194</v>
      </c>
      <c r="B5540" s="3" t="s">
        <v>5185</v>
      </c>
      <c r="C5540" s="3" t="s">
        <v>814</v>
      </c>
      <c r="D5540" s="3"/>
      <c r="E5540" s="2" t="str">
        <f>HYPERLINK("https://old.ukr-mobil.com/shlejf_xiaomi_redmi_9t_poco_m3_so_skanerom_otpechatka_original_prc_black_10003362", "Перейти")</f>
        <v>Перейти</v>
      </c>
      <c r="F5540" s="2">
        <v>10003362</v>
      </c>
      <c r="G5540" s="4" t="s">
        <v>5706</v>
      </c>
      <c r="H5540" s="1">
        <v>0</v>
      </c>
      <c r="I5540" s="1">
        <v>0</v>
      </c>
      <c r="J5540" s="1">
        <v>0</v>
      </c>
      <c r="K5540" s="2">
        <v>3.85</v>
      </c>
    </row>
    <row r="5541" spans="1:12">
      <c r="A5541" s="3" t="s">
        <v>2194</v>
      </c>
      <c r="B5541" s="3" t="s">
        <v>5185</v>
      </c>
      <c r="C5541" s="3" t="s">
        <v>814</v>
      </c>
      <c r="D5541" s="3"/>
      <c r="E5541" s="2" t="str">
        <f>HYPERLINK("https://old.ukr-mobil.com/shlejf_xiaomi_redmi_9t_poco_m3_so_skanerom_otpechatka_original_prc_blue_10003363", "Перейти")</f>
        <v>Перейти</v>
      </c>
      <c r="F5541" s="2">
        <v>10003363</v>
      </c>
      <c r="G5541" s="4" t="s">
        <v>5707</v>
      </c>
      <c r="H5541" s="1">
        <v>3</v>
      </c>
      <c r="I5541" s="1">
        <v>4</v>
      </c>
      <c r="J5541" s="1">
        <v>3</v>
      </c>
      <c r="K5541" s="2">
        <v>4.85</v>
      </c>
    </row>
    <row r="5542" spans="1:12">
      <c r="A5542" s="3" t="s">
        <v>2194</v>
      </c>
      <c r="B5542" s="3" t="s">
        <v>5185</v>
      </c>
      <c r="C5542" s="3" t="s">
        <v>814</v>
      </c>
      <c r="D5542" s="3"/>
      <c r="E5542" s="2" t="str">
        <f>HYPERLINK("https://old.ukr-mobil.com/shlejf_xiaomi_redmi_9t_poco_m3_so_skanerom_otpechatka_original_prc_green_10003364", "Перейти")</f>
        <v>Перейти</v>
      </c>
      <c r="F5542" s="2">
        <v>10003364</v>
      </c>
      <c r="G5542" s="4" t="s">
        <v>5708</v>
      </c>
      <c r="H5542" s="1">
        <v>6</v>
      </c>
      <c r="I5542" s="1">
        <v>9</v>
      </c>
      <c r="J5542" s="1">
        <v>3</v>
      </c>
      <c r="K5542" s="2">
        <v>4.85</v>
      </c>
    </row>
    <row r="5543" spans="1:12">
      <c r="A5543" s="3" t="s">
        <v>2194</v>
      </c>
      <c r="B5543" s="3" t="s">
        <v>5185</v>
      </c>
      <c r="C5543" s="3" t="s">
        <v>814</v>
      </c>
      <c r="D5543" s="3"/>
      <c r="E5543" s="2" t="str">
        <f>HYPERLINK("https://old.ukr-mobil.com/shlejf_xiaomi_redmi_note_10_5g_nizhnyaya_plata_s_razemom_zaryadki_mikrofonom_original_prc_10002627", "Перейти")</f>
        <v>Перейти</v>
      </c>
      <c r="F5543" s="2">
        <v>10002627</v>
      </c>
      <c r="G5543" s="4" t="s">
        <v>5709</v>
      </c>
      <c r="H5543" s="1">
        <v>0</v>
      </c>
      <c r="I5543" s="1">
        <v>0</v>
      </c>
      <c r="J5543" s="1">
        <v>4</v>
      </c>
      <c r="K5543" s="2">
        <v>4.5</v>
      </c>
    </row>
    <row r="5544" spans="1:12">
      <c r="A5544" s="3" t="s">
        <v>2194</v>
      </c>
      <c r="B5544" s="3" t="s">
        <v>5185</v>
      </c>
      <c r="C5544" s="3" t="s">
        <v>814</v>
      </c>
      <c r="D5544" s="3"/>
      <c r="E5544" s="2" t="str">
        <f>HYPERLINK("https://old.ukr-mobil.com/shlejf_xiaomi_redmi_note_10_5g_poco_m3_pro_so_skanerom_otpechatka_palca_gray_10003400", "Перейти")</f>
        <v>Перейти</v>
      </c>
      <c r="F5544" s="2">
        <v>10003400</v>
      </c>
      <c r="G5544" s="4" t="s">
        <v>5710</v>
      </c>
      <c r="H5544" s="1">
        <v>8</v>
      </c>
      <c r="I5544" s="1">
        <v>2</v>
      </c>
      <c r="J5544" s="1">
        <v>2</v>
      </c>
      <c r="K5544" s="2">
        <v>7.0</v>
      </c>
    </row>
    <row r="5545" spans="1:12">
      <c r="A5545" s="3" t="s">
        <v>2194</v>
      </c>
      <c r="B5545" s="3" t="s">
        <v>5185</v>
      </c>
      <c r="C5545" s="3" t="s">
        <v>814</v>
      </c>
      <c r="D5545" s="3"/>
      <c r="E5545" s="2" t="str">
        <f>HYPERLINK("https://old.ukr-mobil.com/shlejf_xiaomi_redmi_note_10_pro_mezhplatnyj_original_prc_10002289", "Перейти")</f>
        <v>Перейти</v>
      </c>
      <c r="F5545" s="2">
        <v>10002289</v>
      </c>
      <c r="G5545" s="4" t="s">
        <v>5711</v>
      </c>
      <c r="H5545" s="1">
        <v>5</v>
      </c>
      <c r="I5545" s="1">
        <v>3</v>
      </c>
      <c r="J5545" s="1">
        <v>4</v>
      </c>
      <c r="K5545" s="2">
        <v>3.5</v>
      </c>
    </row>
    <row r="5546" spans="1:12">
      <c r="A5546" s="3" t="s">
        <v>2194</v>
      </c>
      <c r="B5546" s="3" t="s">
        <v>5185</v>
      </c>
      <c r="C5546" s="3" t="s">
        <v>814</v>
      </c>
      <c r="D5546" s="3"/>
      <c r="E5546" s="2" t="str">
        <f>HYPERLINK("https://old.ukr-mobil.com/shlejf_xiaomi_redmi_note_10_pro_nizhnyaya_plata_s_razemom_zaryadki_mikrofonom_high_copy_10002287", "Перейти")</f>
        <v>Перейти</v>
      </c>
      <c r="F5546" s="2">
        <v>10002287</v>
      </c>
      <c r="G5546" s="4" t="s">
        <v>5712</v>
      </c>
      <c r="H5546" s="1">
        <v>20</v>
      </c>
      <c r="I5546" s="1">
        <v>10</v>
      </c>
      <c r="J5546" s="1">
        <v>7</v>
      </c>
      <c r="K5546" s="2">
        <v>4.0</v>
      </c>
    </row>
    <row r="5547" spans="1:12">
      <c r="A5547" s="3" t="s">
        <v>2194</v>
      </c>
      <c r="B5547" s="3" t="s">
        <v>5185</v>
      </c>
      <c r="C5547" s="3" t="s">
        <v>814</v>
      </c>
      <c r="D5547" s="3"/>
      <c r="E5547" s="2" t="str">
        <f>HYPERLINK("https://old.ukr-mobil.com/shlejf_xiaomi_redmi_note_10_pro_nizhnyaya_plata_s_razemom_zaryadki_mikrofonom_original_10002288", "Перейти")</f>
        <v>Перейти</v>
      </c>
      <c r="F5547" s="2">
        <v>10002288</v>
      </c>
      <c r="G5547" s="4" t="s">
        <v>5713</v>
      </c>
      <c r="H5547" s="1">
        <v>5</v>
      </c>
      <c r="I5547" s="1">
        <v>4</v>
      </c>
      <c r="J5547" s="1">
        <v>2</v>
      </c>
      <c r="K5547" s="2">
        <v>11.0</v>
      </c>
    </row>
    <row r="5548" spans="1:12">
      <c r="A5548" s="3" t="s">
        <v>2194</v>
      </c>
      <c r="B5548" s="3" t="s">
        <v>5185</v>
      </c>
      <c r="C5548" s="3" t="s">
        <v>814</v>
      </c>
      <c r="D5548" s="3"/>
      <c r="E5548" s="2" t="str">
        <f>HYPERLINK("https://old.ukr-mobil.com/shlejf_xiaomi_redmi_note_10_pro_so_skanerom_otpechatka_palca_original_black_10003407", "Перейти")</f>
        <v>Перейти</v>
      </c>
      <c r="F5548" s="2">
        <v>10003407</v>
      </c>
      <c r="G5548" s="4" t="s">
        <v>5714</v>
      </c>
      <c r="H5548" s="1">
        <v>0</v>
      </c>
      <c r="I5548" s="1">
        <v>0</v>
      </c>
      <c r="J5548" s="1">
        <v>0</v>
      </c>
      <c r="K5548" s="2">
        <v>8.6</v>
      </c>
    </row>
    <row r="5549" spans="1:12">
      <c r="A5549" s="3" t="s">
        <v>2194</v>
      </c>
      <c r="B5549" s="3" t="s">
        <v>5185</v>
      </c>
      <c r="C5549" s="3" t="s">
        <v>814</v>
      </c>
      <c r="D5549" s="3"/>
      <c r="E5549" s="2" t="str">
        <f>HYPERLINK("https://old.ukr-mobil.com/shlejf_xiaomi_redmi_note_10_pro_so_skanerom_otpechatka_palca_original_blue_10003408", "Перейти")</f>
        <v>Перейти</v>
      </c>
      <c r="F5549" s="2">
        <v>10003408</v>
      </c>
      <c r="G5549" s="4" t="s">
        <v>5715</v>
      </c>
      <c r="H5549" s="1">
        <v>0</v>
      </c>
      <c r="I5549" s="1">
        <v>0</v>
      </c>
      <c r="J5549" s="1">
        <v>0</v>
      </c>
      <c r="K5549" s="2">
        <v>8.6</v>
      </c>
    </row>
    <row r="5550" spans="1:12">
      <c r="A5550" s="3" t="s">
        <v>2194</v>
      </c>
      <c r="B5550" s="3" t="s">
        <v>5185</v>
      </c>
      <c r="C5550" s="3" t="s">
        <v>814</v>
      </c>
      <c r="D5550" s="3"/>
      <c r="E5550" s="2" t="str">
        <f>HYPERLINK("https://old.ukr-mobil.com/shlejf_xiaomi_redmi_note_10_redmi_note_10s_mezhplatnyj_high_copy_10002292", "Перейти")</f>
        <v>Перейти</v>
      </c>
      <c r="F5550" s="2">
        <v>10002292</v>
      </c>
      <c r="G5550" s="4" t="s">
        <v>5716</v>
      </c>
      <c r="H5550" s="1">
        <v>6</v>
      </c>
      <c r="I5550" s="1">
        <v>1</v>
      </c>
      <c r="J5550" s="1">
        <v>0</v>
      </c>
      <c r="K5550" s="2">
        <v>2.65</v>
      </c>
    </row>
    <row r="5551" spans="1:12">
      <c r="A5551" s="3" t="s">
        <v>2194</v>
      </c>
      <c r="B5551" s="3" t="s">
        <v>5185</v>
      </c>
      <c r="C5551" s="3" t="s">
        <v>814</v>
      </c>
      <c r="D5551" s="3"/>
      <c r="E5551" s="2" t="str">
        <f>HYPERLINK("https://old.ukr-mobil.com/shlejf_xiaomi_redmi_note_10_redmi_note_10s_nizhnyaya_plata_s_razemom_zaryadki_naushnikov_mikrofonom_high_copy_10002290", "Перейти")</f>
        <v>Перейти</v>
      </c>
      <c r="F5551" s="2">
        <v>10002290</v>
      </c>
      <c r="G5551" s="4" t="s">
        <v>5717</v>
      </c>
      <c r="H5551" s="1">
        <v>20</v>
      </c>
      <c r="I5551" s="1">
        <v>8</v>
      </c>
      <c r="J5551" s="1">
        <v>3</v>
      </c>
      <c r="K5551" s="2">
        <v>4.5</v>
      </c>
    </row>
    <row r="5552" spans="1:12">
      <c r="A5552" s="3" t="s">
        <v>2194</v>
      </c>
      <c r="B5552" s="3" t="s">
        <v>5185</v>
      </c>
      <c r="C5552" s="3" t="s">
        <v>814</v>
      </c>
      <c r="D5552" s="3"/>
      <c r="E5552" s="2" t="str">
        <f>HYPERLINK("https://old.ukr-mobil.com/shlejf_xiaomi_redmi_note_10_redmi_note_10s_nizhnyaya_plata_s_razemom_zaryadki_naushnikov_mikrofonom_original_10002291", "Перейти")</f>
        <v>Перейти</v>
      </c>
      <c r="F5552" s="2">
        <v>10002291</v>
      </c>
      <c r="G5552" s="4" t="s">
        <v>5718</v>
      </c>
      <c r="H5552" s="1">
        <v>0</v>
      </c>
      <c r="I5552" s="1">
        <v>0</v>
      </c>
      <c r="J5552" s="1">
        <v>0</v>
      </c>
      <c r="K5552" s="2">
        <v>9.75</v>
      </c>
    </row>
    <row r="5553" spans="1:12">
      <c r="A5553" s="3" t="s">
        <v>2194</v>
      </c>
      <c r="B5553" s="3" t="s">
        <v>5185</v>
      </c>
      <c r="C5553" s="3" t="s">
        <v>814</v>
      </c>
      <c r="D5553" s="3"/>
      <c r="E5553" s="2" t="str">
        <f>HYPERLINK("https://old.ukr-mobil.com/shlejf_xiaomi_redmi_note_10_redmi_note_10s_so_skanerom_otpechatka_palca_original_black_10003410", "Перейти")</f>
        <v>Перейти</v>
      </c>
      <c r="F5553" s="2">
        <v>10003410</v>
      </c>
      <c r="G5553" s="4" t="s">
        <v>5719</v>
      </c>
      <c r="H5553" s="1">
        <v>8</v>
      </c>
      <c r="I5553" s="1">
        <v>3</v>
      </c>
      <c r="J5553" s="1">
        <v>4</v>
      </c>
      <c r="K5553" s="2">
        <v>5.5</v>
      </c>
    </row>
    <row r="5554" spans="1:12">
      <c r="A5554" s="3" t="s">
        <v>2194</v>
      </c>
      <c r="B5554" s="3" t="s">
        <v>5185</v>
      </c>
      <c r="C5554" s="3" t="s">
        <v>814</v>
      </c>
      <c r="D5554" s="3"/>
      <c r="E5554" s="2" t="str">
        <f>HYPERLINK("https://old.ukr-mobil.com/shlejf_xiaomi_redmi_note_11_pro_redmi_note_11_pro_5g_poco_x4_pro_5g_so_skanerom_otpechatka_palca_silver_10003401", "Перейти")</f>
        <v>Перейти</v>
      </c>
      <c r="F5554" s="2">
        <v>10003401</v>
      </c>
      <c r="G5554" s="4" t="s">
        <v>5720</v>
      </c>
      <c r="H5554" s="1">
        <v>6</v>
      </c>
      <c r="I5554" s="1">
        <v>1</v>
      </c>
      <c r="J5554" s="1">
        <v>3</v>
      </c>
      <c r="K5554" s="2">
        <v>7.95</v>
      </c>
    </row>
    <row r="5555" spans="1:12">
      <c r="A5555" s="3" t="s">
        <v>2194</v>
      </c>
      <c r="B5555" s="3" t="s">
        <v>5185</v>
      </c>
      <c r="C5555" s="3" t="s">
        <v>814</v>
      </c>
      <c r="D5555" s="3"/>
      <c r="E5555" s="2" t="str">
        <f>HYPERLINK("https://old.ukr-mobil.com/shlejf_xiaomi_redmi_note_11_redmi_note_11s_nizhnyaya_plata_s_razemom_zaryadki_mikrofonom_original_10003479", "Перейти")</f>
        <v>Перейти</v>
      </c>
      <c r="F5555" s="2">
        <v>10003479</v>
      </c>
      <c r="G5555" s="4" t="s">
        <v>5721</v>
      </c>
      <c r="H5555" s="1">
        <v>0</v>
      </c>
      <c r="I5555" s="1">
        <v>0</v>
      </c>
      <c r="J5555" s="1">
        <v>0</v>
      </c>
      <c r="K5555" s="2">
        <v>8.0</v>
      </c>
    </row>
    <row r="5556" spans="1:12">
      <c r="A5556" s="3" t="s">
        <v>2194</v>
      </c>
      <c r="B5556" s="3" t="s">
        <v>5185</v>
      </c>
      <c r="C5556" s="3" t="s">
        <v>814</v>
      </c>
      <c r="D5556" s="3"/>
      <c r="E5556" s="2" t="str">
        <f>HYPERLINK("https://old.ukr-mobil.com/shlejf_xiaomi_redmi_note_11_redmi_note_11s_nizhnyaya_plata_s_razemom_zaryadki_mikrofonom_original_prc_10003480", "Перейти")</f>
        <v>Перейти</v>
      </c>
      <c r="F5556" s="2">
        <v>10003480</v>
      </c>
      <c r="G5556" s="4" t="s">
        <v>5722</v>
      </c>
      <c r="H5556" s="1">
        <v>0</v>
      </c>
      <c r="I5556" s="1">
        <v>0</v>
      </c>
      <c r="J5556" s="1">
        <v>0</v>
      </c>
      <c r="K5556" s="2">
        <v>4.0</v>
      </c>
    </row>
    <row r="5557" spans="1:12">
      <c r="A5557" s="3" t="s">
        <v>2194</v>
      </c>
      <c r="B5557" s="3" t="s">
        <v>5185</v>
      </c>
      <c r="C5557" s="3" t="s">
        <v>814</v>
      </c>
      <c r="D5557" s="3"/>
      <c r="E5557" s="2" t="str">
        <f>HYPERLINK("https://old.ukr-mobil.com/shlejf_xiaomi_redmi_note_11_redmi_note_11s_mezhplatnyj_high_quality_10003481", "Перейти")</f>
        <v>Перейти</v>
      </c>
      <c r="F5557" s="2">
        <v>10003481</v>
      </c>
      <c r="G5557" s="4" t="s">
        <v>5723</v>
      </c>
      <c r="H5557" s="1">
        <v>4</v>
      </c>
      <c r="I5557" s="1">
        <v>1</v>
      </c>
      <c r="J5557" s="1">
        <v>0</v>
      </c>
      <c r="K5557" s="2">
        <v>3.1</v>
      </c>
    </row>
    <row r="5558" spans="1:12">
      <c r="A5558" s="3" t="s">
        <v>2194</v>
      </c>
      <c r="B5558" s="3" t="s">
        <v>5185</v>
      </c>
      <c r="C5558" s="3" t="s">
        <v>814</v>
      </c>
      <c r="D5558" s="3"/>
      <c r="E5558" s="2" t="str">
        <f>HYPERLINK("https://old.ukr-mobil.com/shlejf_xiaomi_redmi_note_11_redmi_note_11s_poco_m4_pro_so_skanerom_otpechatka_palca_black_10003397", "Перейти")</f>
        <v>Перейти</v>
      </c>
      <c r="F5558" s="2">
        <v>10003397</v>
      </c>
      <c r="G5558" s="4" t="s">
        <v>5724</v>
      </c>
      <c r="H5558" s="1">
        <v>11</v>
      </c>
      <c r="I5558" s="1">
        <v>2</v>
      </c>
      <c r="J5558" s="1">
        <v>1</v>
      </c>
      <c r="K5558" s="2">
        <v>6.0</v>
      </c>
    </row>
    <row r="5559" spans="1:12">
      <c r="A5559" s="3" t="s">
        <v>2194</v>
      </c>
      <c r="B5559" s="3" t="s">
        <v>5185</v>
      </c>
      <c r="C5559" s="3" t="s">
        <v>814</v>
      </c>
      <c r="D5559" s="3"/>
      <c r="E5559" s="2" t="str">
        <f>HYPERLINK("https://old.ukr-mobil.com/shlejf_xiaomi_redmi_note_11_redmi_note_11s_poco_m4_pro_so_skanerom_otpechatka_palca_blue_10003398", "Перейти")</f>
        <v>Перейти</v>
      </c>
      <c r="F5559" s="2">
        <v>10003398</v>
      </c>
      <c r="G5559" s="4" t="s">
        <v>5725</v>
      </c>
      <c r="H5559" s="1">
        <v>18</v>
      </c>
      <c r="I5559" s="1">
        <v>7</v>
      </c>
      <c r="J5559" s="1">
        <v>8</v>
      </c>
      <c r="K5559" s="2">
        <v>6.0</v>
      </c>
    </row>
    <row r="5560" spans="1:12">
      <c r="A5560" s="3" t="s">
        <v>2194</v>
      </c>
      <c r="B5560" s="3" t="s">
        <v>5185</v>
      </c>
      <c r="C5560" s="3" t="s">
        <v>814</v>
      </c>
      <c r="D5560" s="3"/>
      <c r="E5560" s="2" t="str">
        <f>HYPERLINK("https://old.ukr-mobil.com/shlejf_xiaomi_redmi_note_11_redmi_note_11s_poco_m4_pro_so_skanerom_otpechatka_palca_silver_10003399", "Перейти")</f>
        <v>Перейти</v>
      </c>
      <c r="F5560" s="2">
        <v>10003399</v>
      </c>
      <c r="G5560" s="4" t="s">
        <v>5726</v>
      </c>
      <c r="H5560" s="1">
        <v>12</v>
      </c>
      <c r="I5560" s="1">
        <v>6</v>
      </c>
      <c r="J5560" s="1">
        <v>5</v>
      </c>
      <c r="K5560" s="2">
        <v>6.0</v>
      </c>
    </row>
    <row r="5561" spans="1:12">
      <c r="A5561" s="3" t="s">
        <v>2194</v>
      </c>
      <c r="B5561" s="3" t="s">
        <v>5185</v>
      </c>
      <c r="C5561" s="3" t="s">
        <v>814</v>
      </c>
      <c r="D5561" s="3"/>
      <c r="E5561" s="2" t="str">
        <f>HYPERLINK("https://old.ukr-mobil.com/index.php?route=product&amp;product_id=10004947", "Перейти")</f>
        <v>Перейти</v>
      </c>
      <c r="F5561" s="2">
        <v>10004947</v>
      </c>
      <c r="G5561" s="4" t="s">
        <v>5727</v>
      </c>
      <c r="H5561" s="1">
        <v>0</v>
      </c>
      <c r="I5561" s="1">
        <v>0</v>
      </c>
      <c r="J5561" s="1">
        <v>0</v>
      </c>
      <c r="K5561" s="2">
        <v>8.0</v>
      </c>
    </row>
    <row r="5562" spans="1:12">
      <c r="A5562" s="3" t="s">
        <v>2194</v>
      </c>
      <c r="B5562" s="3" t="s">
        <v>5185</v>
      </c>
      <c r="C5562" s="3" t="s">
        <v>814</v>
      </c>
      <c r="D5562" s="3"/>
      <c r="E5562" s="2" t="str">
        <f>HYPERLINK("https://old.ukr-mobil.com/index.php?route=product&amp;product_id=10005058", "Перейти")</f>
        <v>Перейти</v>
      </c>
      <c r="F5562" s="2">
        <v>10005058</v>
      </c>
      <c r="G5562" s="4" t="s">
        <v>5728</v>
      </c>
      <c r="H5562" s="1">
        <v>0</v>
      </c>
      <c r="I5562" s="1">
        <v>0</v>
      </c>
      <c r="J5562" s="1">
        <v>0</v>
      </c>
      <c r="K5562" s="2">
        <v>0.85</v>
      </c>
    </row>
    <row r="5563" spans="1:12">
      <c r="A5563" s="3" t="s">
        <v>2194</v>
      </c>
      <c r="B5563" s="3" t="s">
        <v>5185</v>
      </c>
      <c r="C5563" s="3" t="s">
        <v>814</v>
      </c>
      <c r="D5563" s="3"/>
      <c r="E5563" s="2" t="str">
        <f>HYPERLINK("https://old.ukr-mobil.com/index.php?route=product&amp;product_id=10004916", "Перейти")</f>
        <v>Перейти</v>
      </c>
      <c r="F5563" s="2">
        <v>10004916</v>
      </c>
      <c r="G5563" s="4" t="s">
        <v>5729</v>
      </c>
      <c r="H5563" s="1">
        <v>0</v>
      </c>
      <c r="I5563" s="1">
        <v>0</v>
      </c>
      <c r="J5563" s="1">
        <v>0</v>
      </c>
      <c r="K5563" s="2">
        <v>4.75</v>
      </c>
    </row>
    <row r="5564" spans="1:12">
      <c r="A5564" s="3" t="s">
        <v>2194</v>
      </c>
      <c r="B5564" s="3" t="s">
        <v>5185</v>
      </c>
      <c r="C5564" s="3" t="s">
        <v>814</v>
      </c>
      <c r="D5564" s="3"/>
      <c r="E5564" s="2" t="str">
        <f>HYPERLINK("https://old.ukr-mobil.com/index.php?route=product&amp;product_id=10005049", "Перейти")</f>
        <v>Перейти</v>
      </c>
      <c r="F5564" s="2">
        <v>10005049</v>
      </c>
      <c r="G5564" s="4" t="s">
        <v>5730</v>
      </c>
      <c r="H5564" s="1">
        <v>1</v>
      </c>
      <c r="I5564" s="1">
        <v>3</v>
      </c>
      <c r="J5564" s="1">
        <v>2</v>
      </c>
      <c r="K5564" s="2">
        <v>6.0</v>
      </c>
    </row>
    <row r="5565" spans="1:12">
      <c r="A5565" s="3" t="s">
        <v>2194</v>
      </c>
      <c r="B5565" s="3" t="s">
        <v>5185</v>
      </c>
      <c r="C5565" s="3" t="s">
        <v>814</v>
      </c>
      <c r="D5565" s="3"/>
      <c r="E5565" s="2" t="str">
        <f>HYPERLINK("https://old.ukr-mobil.com/index.php?route=product&amp;product_id=10004953", "Перейти")</f>
        <v>Перейти</v>
      </c>
      <c r="F5565" s="2">
        <v>10004953</v>
      </c>
      <c r="G5565" s="4" t="s">
        <v>5731</v>
      </c>
      <c r="H5565" s="1">
        <v>3</v>
      </c>
      <c r="I5565" s="1">
        <v>2</v>
      </c>
      <c r="J5565" s="1">
        <v>0</v>
      </c>
      <c r="K5565" s="2">
        <v>8.0</v>
      </c>
    </row>
    <row r="5566" spans="1:12">
      <c r="A5566" s="3" t="s">
        <v>2194</v>
      </c>
      <c r="B5566" s="3" t="s">
        <v>5185</v>
      </c>
      <c r="C5566" s="3" t="s">
        <v>814</v>
      </c>
      <c r="D5566" s="3"/>
      <c r="E5566" s="2" t="str">
        <f>HYPERLINK("https://old.ukr-mobil.com/index.php?route=product&amp;product_id=10004954", "Перейти")</f>
        <v>Перейти</v>
      </c>
      <c r="F5566" s="2">
        <v>10004954</v>
      </c>
      <c r="G5566" s="4" t="s">
        <v>5732</v>
      </c>
      <c r="H5566" s="1">
        <v>3</v>
      </c>
      <c r="I5566" s="1">
        <v>2</v>
      </c>
      <c r="J5566" s="1">
        <v>0</v>
      </c>
      <c r="K5566" s="2">
        <v>8.0</v>
      </c>
    </row>
    <row r="5567" spans="1:12">
      <c r="A5567" s="3" t="s">
        <v>2194</v>
      </c>
      <c r="B5567" s="3" t="s">
        <v>5185</v>
      </c>
      <c r="C5567" s="3" t="s">
        <v>814</v>
      </c>
      <c r="D5567" s="3"/>
      <c r="E5567" s="2" t="str">
        <f>HYPERLINK("https://old.ukr-mobil.com/index.php?route=product&amp;product_id=10004941", "Перейти")</f>
        <v>Перейти</v>
      </c>
      <c r="F5567" s="2">
        <v>10004941</v>
      </c>
      <c r="G5567" s="4" t="s">
        <v>5733</v>
      </c>
      <c r="H5567" s="1">
        <v>3</v>
      </c>
      <c r="I5567" s="1">
        <v>0</v>
      </c>
      <c r="J5567" s="1">
        <v>1</v>
      </c>
      <c r="K5567" s="2">
        <v>10.0</v>
      </c>
    </row>
    <row r="5568" spans="1:12">
      <c r="A5568" s="3" t="s">
        <v>2194</v>
      </c>
      <c r="B5568" s="3" t="s">
        <v>5185</v>
      </c>
      <c r="C5568" s="3" t="s">
        <v>814</v>
      </c>
      <c r="D5568" s="3"/>
      <c r="E5568" s="2" t="str">
        <f>HYPERLINK("https://old.ukr-mobil.com/index.php?route=product&amp;product_id=10004917", "Перейти")</f>
        <v>Перейти</v>
      </c>
      <c r="F5568" s="2">
        <v>10004917</v>
      </c>
      <c r="G5568" s="4" t="s">
        <v>5734</v>
      </c>
      <c r="H5568" s="1">
        <v>0</v>
      </c>
      <c r="I5568" s="1">
        <v>0</v>
      </c>
      <c r="J5568" s="1">
        <v>0</v>
      </c>
      <c r="K5568" s="2">
        <v>6.25</v>
      </c>
    </row>
    <row r="5569" spans="1:12">
      <c r="A5569" s="3" t="s">
        <v>2194</v>
      </c>
      <c r="B5569" s="3" t="s">
        <v>5185</v>
      </c>
      <c r="C5569" s="3" t="s">
        <v>814</v>
      </c>
      <c r="D5569" s="3"/>
      <c r="E5569" s="2" t="str">
        <f>HYPERLINK("https://old.ukr-mobil.com/index.php?route=product&amp;product_id=10005040", "Перейти")</f>
        <v>Перейти</v>
      </c>
      <c r="F5569" s="2">
        <v>10005040</v>
      </c>
      <c r="G5569" s="4" t="s">
        <v>5735</v>
      </c>
      <c r="H5569" s="1">
        <v>0</v>
      </c>
      <c r="I5569" s="1">
        <v>0</v>
      </c>
      <c r="J5569" s="1">
        <v>0</v>
      </c>
      <c r="K5569" s="2">
        <v>2.35</v>
      </c>
    </row>
    <row r="5570" spans="1:12">
      <c r="A5570" s="3" t="s">
        <v>2194</v>
      </c>
      <c r="B5570" s="3" t="s">
        <v>5185</v>
      </c>
      <c r="C5570" s="3" t="s">
        <v>814</v>
      </c>
      <c r="D5570" s="3"/>
      <c r="E5570" s="2" t="str">
        <f>HYPERLINK("https://old.ukr-mobil.com/index.php?route=product&amp;product_id=10005056", "Перейти")</f>
        <v>Перейти</v>
      </c>
      <c r="F5570" s="2">
        <v>10005056</v>
      </c>
      <c r="G5570" s="4" t="s">
        <v>5736</v>
      </c>
      <c r="H5570" s="1">
        <v>4</v>
      </c>
      <c r="I5570" s="1">
        <v>1</v>
      </c>
      <c r="J5570" s="1">
        <v>0</v>
      </c>
      <c r="K5570" s="2">
        <v>8.0</v>
      </c>
    </row>
    <row r="5571" spans="1:12">
      <c r="A5571" s="3" t="s">
        <v>2194</v>
      </c>
      <c r="B5571" s="3" t="s">
        <v>5185</v>
      </c>
      <c r="C5571" s="3" t="s">
        <v>814</v>
      </c>
      <c r="D5571" s="3"/>
      <c r="E5571" s="2" t="str">
        <f>HYPERLINK("https://old.ukr-mobil.com/index.php?route=product&amp;product_id=10005057", "Перейти")</f>
        <v>Перейти</v>
      </c>
      <c r="F5571" s="2">
        <v>10005057</v>
      </c>
      <c r="G5571" s="4" t="s">
        <v>5737</v>
      </c>
      <c r="H5571" s="1">
        <v>3</v>
      </c>
      <c r="I5571" s="1">
        <v>2</v>
      </c>
      <c r="J5571" s="1">
        <v>0</v>
      </c>
      <c r="K5571" s="2">
        <v>8.0</v>
      </c>
    </row>
    <row r="5572" spans="1:12">
      <c r="A5572" s="3" t="s">
        <v>2194</v>
      </c>
      <c r="B5572" s="3" t="s">
        <v>5185</v>
      </c>
      <c r="C5572" s="3" t="s">
        <v>814</v>
      </c>
      <c r="D5572" s="3"/>
      <c r="E5572" s="2" t="str">
        <f>HYPERLINK("https://old.ukr-mobil.com/index.php?route=product&amp;product_id=10005059", "Перейти")</f>
        <v>Перейти</v>
      </c>
      <c r="F5572" s="2">
        <v>10005059</v>
      </c>
      <c r="G5572" s="4" t="s">
        <v>5738</v>
      </c>
      <c r="H5572" s="1">
        <v>2</v>
      </c>
      <c r="I5572" s="1">
        <v>3</v>
      </c>
      <c r="J5572" s="1">
        <v>2</v>
      </c>
      <c r="K5572" s="2">
        <v>1.85</v>
      </c>
    </row>
    <row r="5573" spans="1:12">
      <c r="A5573" s="3" t="s">
        <v>2194</v>
      </c>
      <c r="B5573" s="3" t="s">
        <v>5185</v>
      </c>
      <c r="C5573" s="3" t="s">
        <v>814</v>
      </c>
      <c r="D5573" s="3"/>
      <c r="E5573" s="2" t="str">
        <f>HYPERLINK("https://old.ukr-mobil.com/index.php?route=product&amp;product_id=10005041", "Перейти")</f>
        <v>Перейти</v>
      </c>
      <c r="F5573" s="2">
        <v>10005041</v>
      </c>
      <c r="G5573" s="4" t="s">
        <v>5739</v>
      </c>
      <c r="H5573" s="1">
        <v>2</v>
      </c>
      <c r="I5573" s="1">
        <v>2</v>
      </c>
      <c r="J5573" s="1">
        <v>2</v>
      </c>
      <c r="K5573" s="2">
        <v>3.0</v>
      </c>
    </row>
    <row r="5574" spans="1:12">
      <c r="A5574" s="3" t="s">
        <v>2194</v>
      </c>
      <c r="B5574" s="3" t="s">
        <v>5185</v>
      </c>
      <c r="C5574" s="3" t="s">
        <v>814</v>
      </c>
      <c r="D5574" s="3"/>
      <c r="E5574" s="2" t="str">
        <f>HYPERLINK("https://old.ukr-mobil.com/shlejf_xiaomi_redmi_note_2_mezhplatnyj_9107", "Перейти")</f>
        <v>Перейти</v>
      </c>
      <c r="F5574" s="2">
        <v>9107</v>
      </c>
      <c r="G5574" s="4" t="s">
        <v>5740</v>
      </c>
      <c r="H5574" s="1">
        <v>3</v>
      </c>
      <c r="I5574" s="1">
        <v>1</v>
      </c>
      <c r="J5574" s="1">
        <v>0</v>
      </c>
      <c r="K5574" s="2">
        <v>2.72</v>
      </c>
    </row>
    <row r="5575" spans="1:12">
      <c r="A5575" s="3" t="s">
        <v>2194</v>
      </c>
      <c r="B5575" s="3" t="s">
        <v>5185</v>
      </c>
      <c r="C5575" s="3" t="s">
        <v>814</v>
      </c>
      <c r="D5575" s="3"/>
      <c r="E5575" s="2" t="str">
        <f>HYPERLINK("https://old.ukr-mobil.com/shlejf_xiaomi_redmi_note_4_s_skanerom_otpchetaka_palca_seryj_10000487", "Перейти")</f>
        <v>Перейти</v>
      </c>
      <c r="F5575" s="2">
        <v>10000487</v>
      </c>
      <c r="G5575" s="4" t="s">
        <v>5741</v>
      </c>
      <c r="H5575" s="1">
        <v>1</v>
      </c>
      <c r="I5575" s="1">
        <v>1</v>
      </c>
      <c r="J5575" s="1">
        <v>0</v>
      </c>
      <c r="K5575" s="2">
        <v>7.06</v>
      </c>
    </row>
    <row r="5576" spans="1:12">
      <c r="A5576" s="3" t="s">
        <v>2194</v>
      </c>
      <c r="B5576" s="3" t="s">
        <v>5185</v>
      </c>
      <c r="C5576" s="3" t="s">
        <v>814</v>
      </c>
      <c r="D5576" s="3"/>
      <c r="E5576" s="2" t="str">
        <f>HYPERLINK("https://old.ukr-mobil.com/shlejf_xiaomi_redmi_note_4x_nizhnyaya_plata_s_razemom_zaryadki_mikrofonom_10460", "Перейти")</f>
        <v>Перейти</v>
      </c>
      <c r="F5576" s="2">
        <v>10460</v>
      </c>
      <c r="G5576" s="4" t="s">
        <v>5742</v>
      </c>
      <c r="H5576" s="1">
        <v>0</v>
      </c>
      <c r="I5576" s="1">
        <v>0</v>
      </c>
      <c r="J5576" s="1">
        <v>0</v>
      </c>
      <c r="K5576" s="2">
        <v>2.97</v>
      </c>
    </row>
    <row r="5577" spans="1:12">
      <c r="A5577" s="3" t="s">
        <v>2194</v>
      </c>
      <c r="B5577" s="3" t="s">
        <v>5185</v>
      </c>
      <c r="C5577" s="3" t="s">
        <v>814</v>
      </c>
      <c r="D5577" s="3"/>
      <c r="E5577" s="2" t="str">
        <f>HYPERLINK("https://old.ukr-mobil.com/shlejf_xiaomi_redmi_note_5_nizhnyaya_plata_s_razemom_zaryadki_naushnikov_mikrofonom_11659", "Перейти")</f>
        <v>Перейти</v>
      </c>
      <c r="F5577" s="2">
        <v>11659</v>
      </c>
      <c r="G5577" s="4" t="s">
        <v>5743</v>
      </c>
      <c r="H5577" s="1">
        <v>0</v>
      </c>
      <c r="I5577" s="1">
        <v>0</v>
      </c>
      <c r="J5577" s="1">
        <v>0</v>
      </c>
      <c r="K5577" s="2">
        <v>1.9</v>
      </c>
    </row>
    <row r="5578" spans="1:12">
      <c r="A5578" s="3" t="s">
        <v>2194</v>
      </c>
      <c r="B5578" s="3" t="s">
        <v>5185</v>
      </c>
      <c r="C5578" s="3" t="s">
        <v>814</v>
      </c>
      <c r="D5578" s="3"/>
      <c r="E5578" s="2" t="str">
        <f>HYPERLINK("https://old.ukr-mobil.com/shlejf_xiaomi_redmi_note_5_nizhnyaya_plata_s_razemom_zaryadki_naushnikov_mikrofonom_original_prc_10002203", "Перейти")</f>
        <v>Перейти</v>
      </c>
      <c r="F5578" s="2">
        <v>10002203</v>
      </c>
      <c r="G5578" s="4" t="s">
        <v>5744</v>
      </c>
      <c r="H5578" s="1">
        <v>0</v>
      </c>
      <c r="I5578" s="1">
        <v>0</v>
      </c>
      <c r="J5578" s="1">
        <v>0</v>
      </c>
      <c r="K5578" s="2">
        <v>5.4</v>
      </c>
    </row>
    <row r="5579" spans="1:12">
      <c r="A5579" s="3" t="s">
        <v>2194</v>
      </c>
      <c r="B5579" s="3" t="s">
        <v>5185</v>
      </c>
      <c r="C5579" s="3" t="s">
        <v>814</v>
      </c>
      <c r="D5579" s="3"/>
      <c r="E5579" s="2" t="str">
        <f>HYPERLINK("https://old.ukr-mobil.com/shlejf_xiaomi_redmi_note_7_nizhnyaya_plata_s_razemom_zaryadki_mikrofonom_12193", "Перейти")</f>
        <v>Перейти</v>
      </c>
      <c r="F5579" s="2">
        <v>12193</v>
      </c>
      <c r="G5579" s="4" t="s">
        <v>5745</v>
      </c>
      <c r="H5579" s="1">
        <v>14</v>
      </c>
      <c r="I5579" s="1">
        <v>6</v>
      </c>
      <c r="J5579" s="1">
        <v>1</v>
      </c>
      <c r="K5579" s="2">
        <v>2.75</v>
      </c>
    </row>
    <row r="5580" spans="1:12">
      <c r="A5580" s="3" t="s">
        <v>2194</v>
      </c>
      <c r="B5580" s="3" t="s">
        <v>5185</v>
      </c>
      <c r="C5580" s="3" t="s">
        <v>814</v>
      </c>
      <c r="D5580" s="3"/>
      <c r="E5580" s="2" t="str">
        <f>HYPERLINK("https://old.ukr-mobil.com/shlejf_xiaomi_redmi_note_7_nizhnyaya_plata_s_razemom_zaryadki_mikrofonom_original_10002293", "Перейти")</f>
        <v>Перейти</v>
      </c>
      <c r="F5580" s="2">
        <v>10002293</v>
      </c>
      <c r="G5580" s="4" t="s">
        <v>5746</v>
      </c>
      <c r="H5580" s="1">
        <v>12</v>
      </c>
      <c r="I5580" s="1">
        <v>5</v>
      </c>
      <c r="J5580" s="1">
        <v>0</v>
      </c>
      <c r="K5580" s="2">
        <v>5.85</v>
      </c>
    </row>
    <row r="5581" spans="1:12">
      <c r="A5581" s="3" t="s">
        <v>2194</v>
      </c>
      <c r="B5581" s="3" t="s">
        <v>5185</v>
      </c>
      <c r="C5581" s="3" t="s">
        <v>814</v>
      </c>
      <c r="D5581" s="3"/>
      <c r="E5581" s="2" t="str">
        <f>HYPERLINK("https://old.ukr-mobil.com/shlejf_xiaomi_redmi_note_8_pro_s_razemom_zaryadki_garnitury_mikrofonom_original_prc_10001114", "Перейти")</f>
        <v>Перейти</v>
      </c>
      <c r="F5581" s="2">
        <v>10001114</v>
      </c>
      <c r="G5581" s="4" t="s">
        <v>5747</v>
      </c>
      <c r="H5581" s="1">
        <v>10</v>
      </c>
      <c r="I5581" s="1">
        <v>3</v>
      </c>
      <c r="J5581" s="1">
        <v>3</v>
      </c>
      <c r="K5581" s="2">
        <v>2.85</v>
      </c>
    </row>
    <row r="5582" spans="1:12">
      <c r="A5582" s="3" t="s">
        <v>2194</v>
      </c>
      <c r="B5582" s="3" t="s">
        <v>5185</v>
      </c>
      <c r="C5582" s="3" t="s">
        <v>814</v>
      </c>
      <c r="D5582" s="3"/>
      <c r="E5582" s="2" t="str">
        <f>HYPERLINK("https://old.ukr-mobil.com/shlejf_xiaomi_redmi_note_8_pro_s_razemom_zaryadki_garnitury_mikrofonom_original_10002294", "Перейти")</f>
        <v>Перейти</v>
      </c>
      <c r="F5582" s="2">
        <v>10002294</v>
      </c>
      <c r="G5582" s="4" t="s">
        <v>5748</v>
      </c>
      <c r="H5582" s="1">
        <v>1</v>
      </c>
      <c r="I5582" s="1">
        <v>0</v>
      </c>
      <c r="J5582" s="1">
        <v>0</v>
      </c>
      <c r="K5582" s="2">
        <v>10.5</v>
      </c>
    </row>
    <row r="5583" spans="1:12">
      <c r="A5583" s="3" t="s">
        <v>2194</v>
      </c>
      <c r="B5583" s="3" t="s">
        <v>5185</v>
      </c>
      <c r="C5583" s="3" t="s">
        <v>814</v>
      </c>
      <c r="D5583" s="3"/>
      <c r="E5583" s="2" t="str">
        <f>HYPERLINK("https://old.ukr-mobil.com/shlejf_xiaomi_redmi_note_8_mezhplatnyj_original_prc_10000770", "Перейти")</f>
        <v>Перейти</v>
      </c>
      <c r="F5583" s="2">
        <v>10000770</v>
      </c>
      <c r="G5583" s="4" t="s">
        <v>5749</v>
      </c>
      <c r="H5583" s="1">
        <v>0</v>
      </c>
      <c r="I5583" s="1">
        <v>0</v>
      </c>
      <c r="J5583" s="1">
        <v>0</v>
      </c>
      <c r="K5583" s="2">
        <v>2.0</v>
      </c>
    </row>
    <row r="5584" spans="1:12">
      <c r="A5584" s="3" t="s">
        <v>2194</v>
      </c>
      <c r="B5584" s="3" t="s">
        <v>5185</v>
      </c>
      <c r="C5584" s="3" t="s">
        <v>814</v>
      </c>
      <c r="D5584" s="3"/>
      <c r="E5584" s="2" t="str">
        <f>HYPERLINK("https://old.ukr-mobil.com/shlejf_xiaomi_redmi_note_8_s_razemom_zaryadki_garnitury_mikrofonom_original_prc_10000786", "Перейти")</f>
        <v>Перейти</v>
      </c>
      <c r="F5584" s="2">
        <v>10000786</v>
      </c>
      <c r="G5584" s="4" t="s">
        <v>5750</v>
      </c>
      <c r="H5584" s="1">
        <v>8</v>
      </c>
      <c r="I5584" s="1">
        <v>7</v>
      </c>
      <c r="J5584" s="1">
        <v>1</v>
      </c>
      <c r="K5584" s="2">
        <v>2.35</v>
      </c>
    </row>
    <row r="5585" spans="1:12">
      <c r="A5585" s="3" t="s">
        <v>2194</v>
      </c>
      <c r="B5585" s="3" t="s">
        <v>5185</v>
      </c>
      <c r="C5585" s="3" t="s">
        <v>814</v>
      </c>
      <c r="D5585" s="3"/>
      <c r="E5585" s="2" t="str">
        <f>HYPERLINK("https://old.ukr-mobil.com/shlejf_xiaomi_redmi_note_8_so_skanerom_otpechatka_palca_black_10003396", "Перейти")</f>
        <v>Перейти</v>
      </c>
      <c r="F5585" s="2">
        <v>10003396</v>
      </c>
      <c r="G5585" s="4" t="s">
        <v>5751</v>
      </c>
      <c r="H5585" s="1">
        <v>8</v>
      </c>
      <c r="I5585" s="1">
        <v>4</v>
      </c>
      <c r="J5585" s="1">
        <v>3</v>
      </c>
      <c r="K5585" s="2">
        <v>4.75</v>
      </c>
    </row>
    <row r="5586" spans="1:12">
      <c r="A5586" s="3" t="s">
        <v>2194</v>
      </c>
      <c r="B5586" s="3" t="s">
        <v>5185</v>
      </c>
      <c r="C5586" s="3" t="s">
        <v>814</v>
      </c>
      <c r="D5586" s="3"/>
      <c r="E5586" s="2" t="str">
        <f>HYPERLINK("https://old.ukr-mobil.com/shlejf_xiaomi_redmi_note_8t_s_razemom_zaryadki_garnitury_mikrofonom_original_prc_10000727", "Перейти")</f>
        <v>Перейти</v>
      </c>
      <c r="F5586" s="2">
        <v>10000727</v>
      </c>
      <c r="G5586" s="4" t="s">
        <v>5752</v>
      </c>
      <c r="H5586" s="1">
        <v>0</v>
      </c>
      <c r="I5586" s="1">
        <v>0</v>
      </c>
      <c r="J5586" s="1">
        <v>0</v>
      </c>
      <c r="K5586" s="2">
        <v>2.75</v>
      </c>
    </row>
    <row r="5587" spans="1:12">
      <c r="A5587" s="3" t="s">
        <v>2194</v>
      </c>
      <c r="B5587" s="3" t="s">
        <v>5185</v>
      </c>
      <c r="C5587" s="3" t="s">
        <v>814</v>
      </c>
      <c r="D5587" s="3"/>
      <c r="E5587" s="2" t="str">
        <f>HYPERLINK("https://old.ukr-mobil.com/shlejf_xiaomi_redmi_note_9_pro_redmi_note_9s_mezhplatnyj_original_prc_10001887", "Перейти")</f>
        <v>Перейти</v>
      </c>
      <c r="F5587" s="2">
        <v>10001887</v>
      </c>
      <c r="G5587" s="4" t="s">
        <v>5753</v>
      </c>
      <c r="H5587" s="1">
        <v>0</v>
      </c>
      <c r="I5587" s="1">
        <v>0</v>
      </c>
      <c r="J5587" s="1">
        <v>0</v>
      </c>
      <c r="K5587" s="2">
        <v>2.75</v>
      </c>
    </row>
    <row r="5588" spans="1:12">
      <c r="A5588" s="3" t="s">
        <v>2194</v>
      </c>
      <c r="B5588" s="3" t="s">
        <v>5185</v>
      </c>
      <c r="C5588" s="3" t="s">
        <v>814</v>
      </c>
      <c r="D5588" s="3"/>
      <c r="E5588" s="2" t="str">
        <f>HYPERLINK("https://old.ukr-mobil.com/shlejf_xiaomi_redmi_note_9_pro_redmi_note_9s_s_razemom_zaryadki_garnitury_mikrofonom_high_copy_10002296", "Перейти")</f>
        <v>Перейти</v>
      </c>
      <c r="F5588" s="2">
        <v>10002296</v>
      </c>
      <c r="G5588" s="4" t="s">
        <v>5754</v>
      </c>
      <c r="H5588" s="1">
        <v>11</v>
      </c>
      <c r="I5588" s="1">
        <v>4</v>
      </c>
      <c r="J5588" s="1">
        <v>1</v>
      </c>
      <c r="K5588" s="2">
        <v>2.85</v>
      </c>
    </row>
    <row r="5589" spans="1:12">
      <c r="A5589" s="3" t="s">
        <v>2194</v>
      </c>
      <c r="B5589" s="3" t="s">
        <v>5185</v>
      </c>
      <c r="C5589" s="3" t="s">
        <v>814</v>
      </c>
      <c r="D5589" s="3"/>
      <c r="E5589" s="2" t="str">
        <f>HYPERLINK("https://old.ukr-mobil.com/shlejf_xiaomi_redmi_note_9_pro_redmi_note_9s_s_razemom_zaryadki_garnitury_mikrofonom_original_10001884", "Перейти")</f>
        <v>Перейти</v>
      </c>
      <c r="F5589" s="2">
        <v>10001884</v>
      </c>
      <c r="G5589" s="4" t="s">
        <v>5755</v>
      </c>
      <c r="H5589" s="1">
        <v>16</v>
      </c>
      <c r="I5589" s="1">
        <v>11</v>
      </c>
      <c r="J5589" s="1">
        <v>4</v>
      </c>
      <c r="K5589" s="2">
        <v>9.5</v>
      </c>
    </row>
    <row r="5590" spans="1:12">
      <c r="A5590" s="3" t="s">
        <v>2194</v>
      </c>
      <c r="B5590" s="3" t="s">
        <v>5185</v>
      </c>
      <c r="C5590" s="3" t="s">
        <v>814</v>
      </c>
      <c r="D5590" s="3"/>
      <c r="E5590" s="2" t="str">
        <f>HYPERLINK("https://old.ukr-mobil.com/shlejf_xiaomi_redmi_note_9_mezhplatnyj_original_prc_10001886", "Перейти")</f>
        <v>Перейти</v>
      </c>
      <c r="F5590" s="2">
        <v>10001886</v>
      </c>
      <c r="G5590" s="4" t="s">
        <v>5756</v>
      </c>
      <c r="H5590" s="1">
        <v>0</v>
      </c>
      <c r="I5590" s="1">
        <v>0</v>
      </c>
      <c r="J5590" s="1">
        <v>0</v>
      </c>
      <c r="K5590" s="2">
        <v>2.25</v>
      </c>
    </row>
    <row r="5591" spans="1:12">
      <c r="A5591" s="3" t="s">
        <v>2194</v>
      </c>
      <c r="B5591" s="3" t="s">
        <v>5185</v>
      </c>
      <c r="C5591" s="3" t="s">
        <v>814</v>
      </c>
      <c r="D5591" s="3"/>
      <c r="E5591" s="2" t="str">
        <f>HYPERLINK("https://old.ukr-mobil.com/shlejf_xiaomi_redmi_note_9_s_razemom_zaryadki_garnitury_mikrofonom_high_copy_10002629", "Перейти")</f>
        <v>Перейти</v>
      </c>
      <c r="F5591" s="2">
        <v>10002629</v>
      </c>
      <c r="G5591" s="4" t="s">
        <v>5757</v>
      </c>
      <c r="H5591" s="1">
        <v>11</v>
      </c>
      <c r="I5591" s="1">
        <v>4</v>
      </c>
      <c r="J5591" s="1">
        <v>0</v>
      </c>
      <c r="K5591" s="2">
        <v>2.75</v>
      </c>
    </row>
    <row r="5592" spans="1:12">
      <c r="A5592" s="3" t="s">
        <v>2194</v>
      </c>
      <c r="B5592" s="3" t="s">
        <v>5185</v>
      </c>
      <c r="C5592" s="3" t="s">
        <v>814</v>
      </c>
      <c r="D5592" s="3"/>
      <c r="E5592" s="2" t="str">
        <f>HYPERLINK("https://old.ukr-mobil.com/shlejf_xiaomi_redmi_note_9_s_razemom_zaryadki_garnitury_mikrofonom_original_10001885", "Перейти")</f>
        <v>Перейти</v>
      </c>
      <c r="F5592" s="2">
        <v>10001885</v>
      </c>
      <c r="G5592" s="4" t="s">
        <v>5758</v>
      </c>
      <c r="H5592" s="1">
        <v>0</v>
      </c>
      <c r="I5592" s="1">
        <v>2</v>
      </c>
      <c r="J5592" s="1">
        <v>2</v>
      </c>
      <c r="K5592" s="2">
        <v>8.5</v>
      </c>
    </row>
    <row r="5593" spans="1:12">
      <c r="A5593" s="3" t="s">
        <v>2194</v>
      </c>
      <c r="B5593" s="3" t="s">
        <v>5185</v>
      </c>
      <c r="C5593" s="3" t="s">
        <v>814</v>
      </c>
      <c r="D5593" s="3"/>
      <c r="E5593" s="2" t="str">
        <f>HYPERLINK("https://old.ukr-mobil.com/shlejf_xiaomi_redmi_note_9_so_skanerom_otpechatka_palca_black_10003406", "Перейти")</f>
        <v>Перейти</v>
      </c>
      <c r="F5593" s="2">
        <v>10003406</v>
      </c>
      <c r="G5593" s="4" t="s">
        <v>5759</v>
      </c>
      <c r="H5593" s="1">
        <v>0</v>
      </c>
      <c r="I5593" s="1">
        <v>0</v>
      </c>
      <c r="J5593" s="1">
        <v>0</v>
      </c>
      <c r="K5593" s="2">
        <v>4.2</v>
      </c>
    </row>
    <row r="5594" spans="1:12">
      <c r="A5594" s="3" t="s">
        <v>2194</v>
      </c>
      <c r="B5594" s="3" t="s">
        <v>5185</v>
      </c>
      <c r="C5594" s="3" t="s">
        <v>814</v>
      </c>
      <c r="D5594" s="3"/>
      <c r="E5594" s="2" t="str">
        <f>HYPERLINK("https://old.ukr-mobil.com/shlejf_xiaomi_redmi_note_9s_note_9_pro_note_9_pro_max_so_skanerom_otpechatka_original_prc_black_10003367", "Перейти")</f>
        <v>Перейти</v>
      </c>
      <c r="F5594" s="2">
        <v>10003367</v>
      </c>
      <c r="G5594" s="4" t="s">
        <v>5760</v>
      </c>
      <c r="H5594" s="1">
        <v>0</v>
      </c>
      <c r="I5594" s="1">
        <v>0</v>
      </c>
      <c r="J5594" s="1">
        <v>0</v>
      </c>
      <c r="K5594" s="2">
        <v>5.0</v>
      </c>
    </row>
    <row r="5595" spans="1:12">
      <c r="A5595" s="3" t="s">
        <v>2194</v>
      </c>
      <c r="B5595" s="3" t="s">
        <v>5185</v>
      </c>
      <c r="C5595" s="3" t="s">
        <v>814</v>
      </c>
      <c r="D5595" s="3"/>
      <c r="E5595" s="2" t="str">
        <f>HYPERLINK("https://old.ukr-mobil.com/shlejf_xiaomi_redmi_s2_nizhnyaya_plata_s_razemom_zaryadki_mikrofonom_11680", "Перейти")</f>
        <v>Перейти</v>
      </c>
      <c r="F5595" s="2">
        <v>11680</v>
      </c>
      <c r="G5595" s="4" t="s">
        <v>5761</v>
      </c>
      <c r="H5595" s="1">
        <v>0</v>
      </c>
      <c r="I5595" s="1">
        <v>0</v>
      </c>
      <c r="J5595" s="1">
        <v>0</v>
      </c>
      <c r="K5595" s="2">
        <v>1.75</v>
      </c>
    </row>
    <row r="5596" spans="1:12">
      <c r="A5596" s="3" t="s">
        <v>2194</v>
      </c>
      <c r="B5596" s="3" t="s">
        <v>5185</v>
      </c>
      <c r="C5596" s="3" t="s">
        <v>2499</v>
      </c>
      <c r="D5596" s="3"/>
      <c r="E5596" s="2" t="str">
        <f>HYPERLINK("https://old.ukr-mobil.com/shlejf_zte_blade_a7s_2020_v10_vita_so_skanerom_otpechatka_original_prc_black_10003372", "Перейти")</f>
        <v>Перейти</v>
      </c>
      <c r="F5596" s="2">
        <v>10003372</v>
      </c>
      <c r="G5596" s="4" t="s">
        <v>5762</v>
      </c>
      <c r="H5596" s="1">
        <v>8</v>
      </c>
      <c r="I5596" s="1">
        <v>3</v>
      </c>
      <c r="J5596" s="1">
        <v>1</v>
      </c>
      <c r="K5596" s="2">
        <v>4.2</v>
      </c>
    </row>
    <row r="5597" spans="1:12">
      <c r="A5597" s="3" t="s">
        <v>2194</v>
      </c>
      <c r="B5597" s="3" t="s">
        <v>5185</v>
      </c>
      <c r="C5597" s="3" t="s">
        <v>2499</v>
      </c>
      <c r="D5597" s="3"/>
      <c r="E5597" s="2" t="str">
        <f>HYPERLINK("https://old.ukr-mobil.com/shlejf_zte_blade_a7s_2020_v10_vita_so_skanerom_otpechatka_original_prc_blue_10003414", "Перейти")</f>
        <v>Перейти</v>
      </c>
      <c r="F5597" s="2">
        <v>10003414</v>
      </c>
      <c r="G5597" s="4" t="s">
        <v>5763</v>
      </c>
      <c r="H5597" s="1">
        <v>1</v>
      </c>
      <c r="I5597" s="1">
        <v>2</v>
      </c>
      <c r="J5597" s="1">
        <v>0</v>
      </c>
      <c r="K5597" s="2">
        <v>4.2</v>
      </c>
    </row>
    <row r="5598" spans="1:12">
      <c r="A5598" s="3" t="s">
        <v>2194</v>
      </c>
      <c r="B5598" s="3" t="s">
        <v>5185</v>
      </c>
      <c r="C5598" s="3" t="s">
        <v>5764</v>
      </c>
      <c r="D5598" s="3"/>
      <c r="E5598" s="2" t="str">
        <f>HYPERLINK("https://old.ukr-mobil.com/shlejf_programmiruemyj_jcid_dlya_akumulyatora_apple_iphone_11_pro_iphone_11_pro_max_ver_3_0_10003317", "Перейти")</f>
        <v>Перейти</v>
      </c>
      <c r="F5598" s="2">
        <v>10003317</v>
      </c>
      <c r="G5598" s="4" t="s">
        <v>5765</v>
      </c>
      <c r="H5598" s="1">
        <v>0</v>
      </c>
      <c r="I5598" s="1">
        <v>0</v>
      </c>
      <c r="J5598" s="1">
        <v>0</v>
      </c>
      <c r="K5598" s="2">
        <v>8.5</v>
      </c>
    </row>
    <row r="5599" spans="1:12">
      <c r="A5599" s="3" t="s">
        <v>2194</v>
      </c>
      <c r="B5599" s="3" t="s">
        <v>5185</v>
      </c>
      <c r="C5599" s="3" t="s">
        <v>5764</v>
      </c>
      <c r="D5599" s="3"/>
      <c r="E5599" s="2" t="str">
        <f>HYPERLINK("https://old.ukr-mobil.com/shlejf_programmiruemyj_jcid_dlya_akumulyatora_apple_iphone_11_ver_3_0_10003316", "Перейти")</f>
        <v>Перейти</v>
      </c>
      <c r="F5599" s="2">
        <v>10003316</v>
      </c>
      <c r="G5599" s="4" t="s">
        <v>5766</v>
      </c>
      <c r="H5599" s="1">
        <v>13</v>
      </c>
      <c r="I5599" s="1">
        <v>6</v>
      </c>
      <c r="J5599" s="1">
        <v>11</v>
      </c>
      <c r="K5599" s="2">
        <v>8.5</v>
      </c>
    </row>
    <row r="5600" spans="1:12">
      <c r="A5600" s="3" t="s">
        <v>2194</v>
      </c>
      <c r="B5600" s="3" t="s">
        <v>5185</v>
      </c>
      <c r="C5600" s="3" t="s">
        <v>5764</v>
      </c>
      <c r="D5600" s="3"/>
      <c r="E5600" s="2" t="str">
        <f>HYPERLINK("https://old.ukr-mobil.com/shlejf_programmiruemyj_jcid_dlya_akumulyatora_apple_iphone_12_pro_max_ver_3_0_10003318", "Перейти")</f>
        <v>Перейти</v>
      </c>
      <c r="F5600" s="2">
        <v>10003318</v>
      </c>
      <c r="G5600" s="4" t="s">
        <v>5767</v>
      </c>
      <c r="H5600" s="1">
        <v>0</v>
      </c>
      <c r="I5600" s="1">
        <v>0</v>
      </c>
      <c r="J5600" s="1">
        <v>0</v>
      </c>
      <c r="K5600" s="2">
        <v>9.0</v>
      </c>
    </row>
    <row r="5601" spans="1:12">
      <c r="A5601" s="3" t="s">
        <v>2194</v>
      </c>
      <c r="B5601" s="3" t="s">
        <v>5185</v>
      </c>
      <c r="C5601" s="3" t="s">
        <v>5764</v>
      </c>
      <c r="D5601" s="3"/>
      <c r="E5601" s="2" t="str">
        <f>HYPERLINK("https://old.ukr-mobil.com/shlejf_programmiruemyj_jcid_dlya_akumulyatora_apple_iphone_12_iphone_12_mini_iphone_12_pro_ver_3_0_10003319", "Перейти")</f>
        <v>Перейти</v>
      </c>
      <c r="F5601" s="2">
        <v>10003319</v>
      </c>
      <c r="G5601" s="4" t="s">
        <v>5768</v>
      </c>
      <c r="H5601" s="1">
        <v>1</v>
      </c>
      <c r="I5601" s="1">
        <v>0</v>
      </c>
      <c r="J5601" s="1">
        <v>0</v>
      </c>
      <c r="K5601" s="2">
        <v>8.5</v>
      </c>
    </row>
    <row r="5602" spans="1:12">
      <c r="A5602" s="3" t="s">
        <v>2194</v>
      </c>
      <c r="B5602" s="3" t="s">
        <v>5185</v>
      </c>
      <c r="C5602" s="3" t="s">
        <v>5764</v>
      </c>
      <c r="D5602" s="3"/>
      <c r="E5602" s="2" t="str">
        <f>HYPERLINK("https://old.ukr-mobil.com/shlejf_programmiruemyj_jcid_dlya_akumulyatora_apple_iphone_13_pro_iphone_13_pro_max_ver_3_0_10003321", "Перейти")</f>
        <v>Перейти</v>
      </c>
      <c r="F5602" s="2">
        <v>10003321</v>
      </c>
      <c r="G5602" s="4" t="s">
        <v>5769</v>
      </c>
      <c r="H5602" s="1">
        <v>0</v>
      </c>
      <c r="I5602" s="1">
        <v>9</v>
      </c>
      <c r="J5602" s="1">
        <v>2</v>
      </c>
      <c r="K5602" s="2">
        <v>13.5</v>
      </c>
    </row>
    <row r="5603" spans="1:12">
      <c r="A5603" s="3" t="s">
        <v>2194</v>
      </c>
      <c r="B5603" s="3" t="s">
        <v>5185</v>
      </c>
      <c r="C5603" s="3" t="s">
        <v>5764</v>
      </c>
      <c r="D5603" s="3"/>
      <c r="E5603" s="2" t="str">
        <f>HYPERLINK("https://old.ukr-mobil.com/shlejf_programmiruemyj_jcid_dlya_akumulyatora_apple_iphone_13_iphone_13_mini_ver_3_0_10003320", "Перейти")</f>
        <v>Перейти</v>
      </c>
      <c r="F5603" s="2">
        <v>10003320</v>
      </c>
      <c r="G5603" s="4" t="s">
        <v>5770</v>
      </c>
      <c r="H5603" s="1">
        <v>0</v>
      </c>
      <c r="I5603" s="1">
        <v>0</v>
      </c>
      <c r="J5603" s="1">
        <v>0</v>
      </c>
      <c r="K5603" s="2">
        <v>12.0</v>
      </c>
    </row>
    <row r="5604" spans="1:12">
      <c r="A5604" s="3" t="s">
        <v>2194</v>
      </c>
      <c r="B5604" s="3" t="s">
        <v>5185</v>
      </c>
      <c r="C5604" s="3" t="s">
        <v>5764</v>
      </c>
      <c r="D5604" s="3"/>
      <c r="E5604" s="2" t="str">
        <f>HYPERLINK("https://old.ukr-mobil.com/index.php?route=product&amp;product_id=10005003", "Перейти")</f>
        <v>Перейти</v>
      </c>
      <c r="F5604" s="2">
        <v>10005003</v>
      </c>
      <c r="G5604" s="4" t="s">
        <v>5771</v>
      </c>
      <c r="H5604" s="1">
        <v>0</v>
      </c>
      <c r="I5604" s="1">
        <v>3</v>
      </c>
      <c r="J5604" s="1">
        <v>4</v>
      </c>
      <c r="K5604" s="2">
        <v>13.0</v>
      </c>
    </row>
    <row r="5605" spans="1:12">
      <c r="A5605" s="3" t="s">
        <v>2194</v>
      </c>
      <c r="B5605" s="3" t="s">
        <v>5185</v>
      </c>
      <c r="C5605" s="3" t="s">
        <v>5764</v>
      </c>
      <c r="D5605" s="3"/>
      <c r="E5605" s="2" t="str">
        <f>HYPERLINK("https://old.ukr-mobil.com/index.php?route=product&amp;product_id=10005001", "Перейти")</f>
        <v>Перейти</v>
      </c>
      <c r="F5605" s="2">
        <v>10005001</v>
      </c>
      <c r="G5605" s="4" t="s">
        <v>5772</v>
      </c>
      <c r="H5605" s="1">
        <v>14</v>
      </c>
      <c r="I5605" s="1">
        <v>0</v>
      </c>
      <c r="J5605" s="1">
        <v>5</v>
      </c>
      <c r="K5605" s="2">
        <v>13.0</v>
      </c>
    </row>
    <row r="5606" spans="1:12">
      <c r="A5606" s="3" t="s">
        <v>2194</v>
      </c>
      <c r="B5606" s="3" t="s">
        <v>5185</v>
      </c>
      <c r="C5606" s="3" t="s">
        <v>5773</v>
      </c>
      <c r="D5606" s="3"/>
      <c r="E5606" s="2" t="str">
        <f>HYPERLINK("https://old.ukr-mobil.com/shlejf_dlya_iphone_11_pro_iphone_11_pro_max_jcid_face_id_tag-on_repair_fpc_ver_1_1_bez_razborki_10004273", "Перейти")</f>
        <v>Перейти</v>
      </c>
      <c r="F5606" s="2">
        <v>10004273</v>
      </c>
      <c r="G5606" s="4" t="s">
        <v>5774</v>
      </c>
      <c r="H5606" s="1">
        <v>0</v>
      </c>
      <c r="I5606" s="1">
        <v>0</v>
      </c>
      <c r="J5606" s="1">
        <v>0</v>
      </c>
      <c r="K5606" s="2">
        <v>11.25</v>
      </c>
    </row>
    <row r="5607" spans="1:12">
      <c r="A5607" s="3" t="s">
        <v>2194</v>
      </c>
      <c r="B5607" s="3" t="s">
        <v>5185</v>
      </c>
      <c r="C5607" s="3" t="s">
        <v>5773</v>
      </c>
      <c r="D5607" s="3"/>
      <c r="E5607" s="2" t="str">
        <f>HYPERLINK("https://old.ukr-mobil.com/shlejf_dlya_iphone_11_jcid_face_id_tag-on_repair_fpc_ver_1_1_bez_razborki_10004240", "Перейти")</f>
        <v>Перейти</v>
      </c>
      <c r="F5607" s="2">
        <v>10004240</v>
      </c>
      <c r="G5607" s="4" t="s">
        <v>5775</v>
      </c>
      <c r="H5607" s="1">
        <v>0</v>
      </c>
      <c r="I5607" s="1">
        <v>0</v>
      </c>
      <c r="J5607" s="1">
        <v>0</v>
      </c>
      <c r="K5607" s="2">
        <v>11.25</v>
      </c>
    </row>
    <row r="5608" spans="1:12">
      <c r="A5608" s="3" t="s">
        <v>2194</v>
      </c>
      <c r="B5608" s="3" t="s">
        <v>5185</v>
      </c>
      <c r="C5608" s="3" t="s">
        <v>5773</v>
      </c>
      <c r="D5608" s="3"/>
      <c r="E5608" s="2" t="str">
        <f>HYPERLINK("https://old.ukr-mobil.com/shlejf_dlya_iphone_12_pro_max_jcid_face_id_tag-on_repair_fpc_ver_1_1_bez_razborki_10004275", "Перейти")</f>
        <v>Перейти</v>
      </c>
      <c r="F5608" s="2">
        <v>10004275</v>
      </c>
      <c r="G5608" s="4" t="s">
        <v>5776</v>
      </c>
      <c r="H5608" s="1">
        <v>22</v>
      </c>
      <c r="I5608" s="1">
        <v>2</v>
      </c>
      <c r="J5608" s="1">
        <v>2</v>
      </c>
      <c r="K5608" s="2">
        <v>13.0</v>
      </c>
    </row>
    <row r="5609" spans="1:12">
      <c r="A5609" s="3" t="s">
        <v>2194</v>
      </c>
      <c r="B5609" s="3" t="s">
        <v>5185</v>
      </c>
      <c r="C5609" s="3" t="s">
        <v>5773</v>
      </c>
      <c r="D5609" s="3"/>
      <c r="E5609" s="2" t="str">
        <f>HYPERLINK("https://old.ukr-mobil.com/shlejf_dlya_iphone_12_iphone_12_pro_jcid_face_id_tag-on_repair_fpc_ver_1_1_bez_razborki_10004274", "Перейти")</f>
        <v>Перейти</v>
      </c>
      <c r="F5609" s="2">
        <v>10004274</v>
      </c>
      <c r="G5609" s="4" t="s">
        <v>5777</v>
      </c>
      <c r="H5609" s="1">
        <v>3</v>
      </c>
      <c r="I5609" s="1">
        <v>6</v>
      </c>
      <c r="J5609" s="1">
        <v>0</v>
      </c>
      <c r="K5609" s="2">
        <v>13.0</v>
      </c>
    </row>
    <row r="5610" spans="1:12">
      <c r="A5610" s="3" t="s">
        <v>2194</v>
      </c>
      <c r="B5610" s="3" t="s">
        <v>5185</v>
      </c>
      <c r="C5610" s="3" t="s">
        <v>5773</v>
      </c>
      <c r="D5610" s="3"/>
      <c r="E5610" s="2" t="str">
        <f>HYPERLINK("https://old.ukr-mobil.com/shlejf_dlya_iphone_x_jcid_face_id_tag-on_repair_fpc_ver_1_1_bez_razborki_10004271", "Перейти")</f>
        <v>Перейти</v>
      </c>
      <c r="F5610" s="2">
        <v>10004271</v>
      </c>
      <c r="G5610" s="4" t="s">
        <v>5778</v>
      </c>
      <c r="H5610" s="1">
        <v>0</v>
      </c>
      <c r="I5610" s="1">
        <v>0</v>
      </c>
      <c r="J5610" s="1">
        <v>0</v>
      </c>
      <c r="K5610" s="2">
        <v>9.5</v>
      </c>
    </row>
    <row r="5611" spans="1:12">
      <c r="A5611" s="3" t="s">
        <v>2194</v>
      </c>
      <c r="B5611" s="3" t="s">
        <v>5185</v>
      </c>
      <c r="C5611" s="3" t="s">
        <v>5773</v>
      </c>
      <c r="D5611" s="3"/>
      <c r="E5611" s="2" t="str">
        <f>HYPERLINK("https://old.ukr-mobil.com/shlejf_dlya_iphone_xr_iphone_xs_iphone_xs_max_jcid_face_id_tag-on_repair_fpc_ver_1_1_bez_razborki_10004272", "Перейти")</f>
        <v>Перейти</v>
      </c>
      <c r="F5611" s="2">
        <v>10004272</v>
      </c>
      <c r="G5611" s="4" t="s">
        <v>5779</v>
      </c>
      <c r="H5611" s="1">
        <v>0</v>
      </c>
      <c r="I5611" s="1">
        <v>0</v>
      </c>
      <c r="J5611" s="1">
        <v>0</v>
      </c>
      <c r="K5611" s="2">
        <v>9.5</v>
      </c>
    </row>
    <row r="5612" spans="1:12">
      <c r="A5612" s="3" t="s">
        <v>5780</v>
      </c>
      <c r="B5612" s="3" t="s">
        <v>5781</v>
      </c>
      <c r="C5612" s="3" t="s">
        <v>5782</v>
      </c>
      <c r="D5612" s="3"/>
      <c r="E5612" s="2" t="str">
        <f>HYPERLINK("https://old.ukr-mobil.com/bajonet_dlya_obektivov_nikon_18-55_18-105_18-135_55-200_7546", "Перейти")</f>
        <v>Перейти</v>
      </c>
      <c r="F5612" s="2">
        <v>7546</v>
      </c>
      <c r="G5612" s="4" t="s">
        <v>5783</v>
      </c>
      <c r="H5612" s="1">
        <v>0</v>
      </c>
      <c r="I5612" s="1">
        <v>0</v>
      </c>
      <c r="J5612" s="1">
        <v>0</v>
      </c>
      <c r="K5612" s="2">
        <v>4.03</v>
      </c>
    </row>
    <row r="5613" spans="1:12">
      <c r="A5613" s="3" t="s">
        <v>5780</v>
      </c>
      <c r="B5613" s="3" t="s">
        <v>5781</v>
      </c>
      <c r="C5613" s="3" t="s">
        <v>5784</v>
      </c>
      <c r="D5613" s="3"/>
      <c r="E5613" s="2" t="str">
        <f>HYPERLINK("https://old.ukr-mobil.com/kolco_barrel_obektiva_canon_a3200_canon_a3300_canon_a3350_canon_pc1589_canon_pc1590_vneshnee_7551", "Перейти")</f>
        <v>Перейти</v>
      </c>
      <c r="F5613" s="2">
        <v>7551</v>
      </c>
      <c r="G5613" s="4" t="s">
        <v>5785</v>
      </c>
      <c r="H5613" s="1">
        <v>4</v>
      </c>
      <c r="I5613" s="1">
        <v>0</v>
      </c>
      <c r="J5613" s="1">
        <v>0</v>
      </c>
      <c r="K5613" s="2">
        <v>8.06</v>
      </c>
    </row>
    <row r="5614" spans="1:12">
      <c r="A5614" s="3" t="s">
        <v>5780</v>
      </c>
      <c r="B5614" s="3" t="s">
        <v>5781</v>
      </c>
      <c r="C5614" s="3" t="s">
        <v>5784</v>
      </c>
      <c r="D5614" s="3"/>
      <c r="E5614" s="2" t="str">
        <f>HYPERLINK("https://old.ukr-mobil.com/kolco_barrel_obektiva_nikon_s3100_original_7545", "Перейти")</f>
        <v>Перейти</v>
      </c>
      <c r="F5614" s="2">
        <v>7545</v>
      </c>
      <c r="G5614" s="4" t="s">
        <v>5786</v>
      </c>
      <c r="H5614" s="1">
        <v>0</v>
      </c>
      <c r="I5614" s="1">
        <v>0</v>
      </c>
      <c r="J5614" s="1">
        <v>0</v>
      </c>
      <c r="K5614" s="2">
        <v>5.04</v>
      </c>
    </row>
    <row r="5615" spans="1:12">
      <c r="A5615" s="3" t="s">
        <v>5780</v>
      </c>
      <c r="B5615" s="3" t="s">
        <v>5781</v>
      </c>
      <c r="C5615" s="3" t="s">
        <v>5784</v>
      </c>
      <c r="D5615" s="3"/>
      <c r="E5615" s="2" t="str">
        <f>HYPERLINK("https://old.ukr-mobil.com/kolco-separator_dlya_obektivov_canon_a2300_canon_a1300_canon_pc1740_canon_pc1732_canon_a810_pc1741_canon_a1400_canon_pc1900_canon_a2_7549", "Перейти")</f>
        <v>Перейти</v>
      </c>
      <c r="F5615" s="2">
        <v>7549</v>
      </c>
      <c r="G5615" s="4" t="s">
        <v>5787</v>
      </c>
      <c r="H5615" s="1">
        <v>3</v>
      </c>
      <c r="I5615" s="1">
        <v>0</v>
      </c>
      <c r="J5615" s="1">
        <v>0</v>
      </c>
      <c r="K5615" s="2">
        <v>9.27</v>
      </c>
    </row>
    <row r="5616" spans="1:12">
      <c r="A5616" s="3" t="s">
        <v>5780</v>
      </c>
      <c r="B5616" s="3" t="s">
        <v>5781</v>
      </c>
      <c r="C5616" s="3" t="s">
        <v>5788</v>
      </c>
      <c r="D5616" s="3"/>
      <c r="E5616" s="2" t="str">
        <f>HYPERLINK("https://old.ukr-mobil.com/shesterni_dlya_cifrovogo_fotoapparata_canon_a2500_komplekt_2_sht_7550", "Перейти")</f>
        <v>Перейти</v>
      </c>
      <c r="F5616" s="2">
        <v>7550</v>
      </c>
      <c r="G5616" s="4" t="s">
        <v>5789</v>
      </c>
      <c r="H5616" s="1">
        <v>20</v>
      </c>
      <c r="I5616" s="1">
        <v>0</v>
      </c>
      <c r="J5616" s="1">
        <v>0</v>
      </c>
      <c r="K5616" s="2">
        <v>4.03</v>
      </c>
    </row>
    <row r="5617" spans="1:12">
      <c r="A5617" s="3" t="s">
        <v>5780</v>
      </c>
      <c r="B5617" s="3" t="s">
        <v>5781</v>
      </c>
      <c r="C5617" s="3" t="s">
        <v>5788</v>
      </c>
      <c r="D5617" s="3"/>
      <c r="E5617" s="2" t="str">
        <f>HYPERLINK("https://old.ukr-mobil.com/shesterni_obektiva_canon_a4000_canon_a4050_canon_pc1730_komplekt_3_sht_10000408", "Перейти")</f>
        <v>Перейти</v>
      </c>
      <c r="F5617" s="2">
        <v>10000408</v>
      </c>
      <c r="G5617" s="4" t="s">
        <v>5790</v>
      </c>
      <c r="H5617" s="1">
        <v>4</v>
      </c>
      <c r="I5617" s="1">
        <v>0</v>
      </c>
      <c r="J5617" s="1">
        <v>0</v>
      </c>
      <c r="K5617" s="2">
        <v>3.68</v>
      </c>
    </row>
    <row r="5618" spans="1:12">
      <c r="A5618" s="3" t="s">
        <v>5780</v>
      </c>
      <c r="B5618" s="3" t="s">
        <v>5781</v>
      </c>
      <c r="C5618" s="3" t="s">
        <v>5788</v>
      </c>
      <c r="D5618" s="3"/>
      <c r="E5618" s="2" t="str">
        <f>HYPERLINK("https://old.ukr-mobil.com/shesternya_avtofokusa_obektiva_nikon_s3000_samsung_st60_7561", "Перейти")</f>
        <v>Перейти</v>
      </c>
      <c r="F5618" s="2">
        <v>7561</v>
      </c>
      <c r="G5618" s="4" t="s">
        <v>5791</v>
      </c>
      <c r="H5618" s="1">
        <v>13</v>
      </c>
      <c r="I5618" s="1">
        <v>0</v>
      </c>
      <c r="J5618" s="1">
        <v>0</v>
      </c>
      <c r="K5618" s="2">
        <v>4.03</v>
      </c>
    </row>
    <row r="5619" spans="1:12">
      <c r="A5619" s="3" t="s">
        <v>5780</v>
      </c>
      <c r="B5619" s="3" t="s">
        <v>5781</v>
      </c>
      <c r="C5619" s="3" t="s">
        <v>5788</v>
      </c>
      <c r="D5619" s="3"/>
      <c r="E5619" s="2" t="str">
        <f>HYPERLINK("https://old.ukr-mobil.com/shesternya_obektiva_canon_a480_canon_a490_canon_a495_canon_a800_canon_pc1351_canon_pc1471_canon_pc1470_canon_pc1592_7558", "Перейти")</f>
        <v>Перейти</v>
      </c>
      <c r="F5619" s="2">
        <v>7558</v>
      </c>
      <c r="G5619" s="4" t="s">
        <v>5792</v>
      </c>
      <c r="H5619" s="1">
        <v>0</v>
      </c>
      <c r="I5619" s="1">
        <v>0</v>
      </c>
      <c r="J5619" s="1">
        <v>0</v>
      </c>
      <c r="K5619" s="2">
        <v>3.02</v>
      </c>
    </row>
    <row r="5620" spans="1:12">
      <c r="A5620" s="3" t="s">
        <v>5780</v>
      </c>
      <c r="B5620" s="3" t="s">
        <v>5781</v>
      </c>
      <c r="C5620" s="3" t="s">
        <v>5788</v>
      </c>
      <c r="D5620" s="3"/>
      <c r="E5620" s="2" t="str">
        <f>HYPERLINK("https://old.ukr-mobil.com/shesternya_fokusirovki_obektiva_nikon_18-55_7565", "Перейти")</f>
        <v>Перейти</v>
      </c>
      <c r="F5620" s="2">
        <v>7565</v>
      </c>
      <c r="G5620" s="4" t="s">
        <v>5793</v>
      </c>
      <c r="H5620" s="1">
        <v>17</v>
      </c>
      <c r="I5620" s="1">
        <v>0</v>
      </c>
      <c r="J5620" s="1">
        <v>0</v>
      </c>
      <c r="K5620" s="2">
        <v>5.54</v>
      </c>
    </row>
    <row r="5621" spans="1:12">
      <c r="A5621" s="3" t="s">
        <v>5780</v>
      </c>
      <c r="B5621" s="3" t="s">
        <v>5794</v>
      </c>
      <c r="C5621" s="3"/>
      <c r="D5621" s="3"/>
      <c r="E5621" s="2" t="str">
        <f>HYPERLINK("https://old.ukr-mobil.com/matrica_panasonic_mn39670_dlya_fotoaparata_olympus_fe-340_7566", "Перейти")</f>
        <v>Перейти</v>
      </c>
      <c r="F5621" s="2">
        <v>7566</v>
      </c>
      <c r="G5621" s="4" t="s">
        <v>5795</v>
      </c>
      <c r="H5621" s="1">
        <v>4</v>
      </c>
      <c r="I5621" s="1">
        <v>0</v>
      </c>
      <c r="J5621" s="1">
        <v>0</v>
      </c>
      <c r="K5621" s="2">
        <v>8.0</v>
      </c>
    </row>
    <row r="5622" spans="1:12">
      <c r="A5622" s="3" t="s">
        <v>5780</v>
      </c>
      <c r="B5622" s="3" t="s">
        <v>5796</v>
      </c>
      <c r="C5622" s="3" t="s">
        <v>5797</v>
      </c>
      <c r="D5622" s="3"/>
      <c r="E5622" s="2" t="str">
        <f>HYPERLINK("https://old.ukr-mobil.com/shlejf_obektiva_olympus_fe170_fe210_nikon_s220_7560", "Перейти")</f>
        <v>Перейти</v>
      </c>
      <c r="F5622" s="2">
        <v>7560</v>
      </c>
      <c r="G5622" s="4" t="s">
        <v>5798</v>
      </c>
      <c r="H5622" s="1">
        <v>18</v>
      </c>
      <c r="I5622" s="1">
        <v>10</v>
      </c>
      <c r="J5622" s="1">
        <v>0</v>
      </c>
      <c r="K5622" s="2">
        <v>2.0</v>
      </c>
    </row>
    <row r="5623" spans="1:12">
      <c r="A5623" s="3" t="s">
        <v>5780</v>
      </c>
      <c r="B5623" s="3" t="s">
        <v>5796</v>
      </c>
      <c r="C5623" s="3" t="s">
        <v>5797</v>
      </c>
      <c r="D5623" s="3"/>
      <c r="E5623" s="2" t="str">
        <f>HYPERLINK("https://old.ukr-mobil.com/shlejf_fokusirovki_obektiva_canon_18-55_is_7547", "Перейти")</f>
        <v>Перейти</v>
      </c>
      <c r="F5623" s="2">
        <v>7547</v>
      </c>
      <c r="G5623" s="4" t="s">
        <v>5799</v>
      </c>
      <c r="H5623" s="1">
        <v>12</v>
      </c>
      <c r="I5623" s="1">
        <v>0</v>
      </c>
      <c r="J5623" s="1">
        <v>0</v>
      </c>
      <c r="K5623" s="2">
        <v>2.0</v>
      </c>
    </row>
    <row r="5624" spans="1:12">
      <c r="A5624" s="3" t="s">
        <v>5800</v>
      </c>
      <c r="B5624" s="3" t="s">
        <v>5801</v>
      </c>
      <c r="C5624" s="3"/>
      <c r="D5624" s="3"/>
      <c r="E5624" s="2" t="str">
        <f>HYPERLINK("https://old.ukr-mobil.com/displej_dlya_ehlektrotransporta_pod_universalnyj_kontroller_kruglyj_36v-72v_10003259", "Перейти")</f>
        <v>Перейти</v>
      </c>
      <c r="F5624" s="2">
        <v>10003259</v>
      </c>
      <c r="G5624" s="4" t="s">
        <v>5802</v>
      </c>
      <c r="H5624" s="1">
        <v>0</v>
      </c>
      <c r="I5624" s="1">
        <v>0</v>
      </c>
      <c r="J5624" s="1">
        <v>0</v>
      </c>
      <c r="K5624" s="2">
        <v>19.0</v>
      </c>
    </row>
    <row r="5625" spans="1:12">
      <c r="A5625" s="3" t="s">
        <v>5800</v>
      </c>
      <c r="B5625" s="3" t="s">
        <v>5801</v>
      </c>
      <c r="C5625" s="3"/>
      <c r="D5625" s="3"/>
      <c r="E5625" s="2" t="str">
        <f>HYPERLINK("https://old.ukr-mobil.com/displej_dlya_ehlektrotransporta_pod_universalnyj_kontroller_pryamougolnyj_36v-72v_10003258", "Перейти")</f>
        <v>Перейти</v>
      </c>
      <c r="F5625" s="2">
        <v>10003258</v>
      </c>
      <c r="G5625" s="4" t="s">
        <v>5803</v>
      </c>
      <c r="H5625" s="1">
        <v>0</v>
      </c>
      <c r="I5625" s="1">
        <v>0</v>
      </c>
      <c r="J5625" s="1">
        <v>0</v>
      </c>
      <c r="K5625" s="2">
        <v>23.5</v>
      </c>
    </row>
    <row r="5626" spans="1:12">
      <c r="A5626" s="3" t="s">
        <v>5800</v>
      </c>
      <c r="B5626" s="3" t="s">
        <v>5801</v>
      </c>
      <c r="C5626" s="3"/>
      <c r="D5626" s="3"/>
      <c r="E5626" s="2" t="str">
        <f>HYPERLINK("https://old.ukr-mobil.com/displej_dlya_ehlektrotransporta_sovmestimyj_s_kt_kontrollerom_24v-48v_led880_10003656", "Перейти")</f>
        <v>Перейти</v>
      </c>
      <c r="F5626" s="2">
        <v>10003656</v>
      </c>
      <c r="G5626" s="4" t="s">
        <v>5804</v>
      </c>
      <c r="H5626" s="1">
        <v>0</v>
      </c>
      <c r="I5626" s="1">
        <v>0</v>
      </c>
      <c r="J5626" s="1">
        <v>0</v>
      </c>
      <c r="K5626" s="2">
        <v>20.0</v>
      </c>
    </row>
    <row r="5627" spans="1:12">
      <c r="A5627" s="3" t="s">
        <v>5800</v>
      </c>
      <c r="B5627" s="3" t="s">
        <v>5801</v>
      </c>
      <c r="C5627" s="3"/>
      <c r="D5627" s="3"/>
      <c r="E5627" s="2" t="str">
        <f>HYPERLINK("https://old.ukr-mobil.com/displej_dlya_ehlektrotransporta_sovmestimyj_s_kt_kontrollerom_lcd3u_10003659", "Перейти")</f>
        <v>Перейти</v>
      </c>
      <c r="F5627" s="2">
        <v>10003659</v>
      </c>
      <c r="G5627" s="4" t="s">
        <v>5805</v>
      </c>
      <c r="H5627" s="1">
        <v>0</v>
      </c>
      <c r="I5627" s="1">
        <v>0</v>
      </c>
      <c r="J5627" s="1">
        <v>5</v>
      </c>
      <c r="K5627" s="2">
        <v>55.0</v>
      </c>
    </row>
    <row r="5628" spans="1:12">
      <c r="A5628" s="3" t="s">
        <v>5800</v>
      </c>
      <c r="B5628" s="3" t="s">
        <v>5801</v>
      </c>
      <c r="C5628" s="3"/>
      <c r="D5628" s="3"/>
      <c r="E5628" s="2" t="str">
        <f>HYPERLINK("https://old.ukr-mobil.com/displej_dlya_ehlektrotransporta_sovmestimyj_s_kt_kontrollerom_lcd4_10003657", "Перейти")</f>
        <v>Перейти</v>
      </c>
      <c r="F5628" s="2">
        <v>10003657</v>
      </c>
      <c r="G5628" s="4" t="s">
        <v>5806</v>
      </c>
      <c r="H5628" s="1">
        <v>0</v>
      </c>
      <c r="I5628" s="1">
        <v>0</v>
      </c>
      <c r="J5628" s="1">
        <v>3</v>
      </c>
      <c r="K5628" s="2">
        <v>30.0</v>
      </c>
    </row>
    <row r="5629" spans="1:12">
      <c r="A5629" s="3" t="s">
        <v>5800</v>
      </c>
      <c r="B5629" s="3" t="s">
        <v>5801</v>
      </c>
      <c r="C5629" s="3"/>
      <c r="D5629" s="3"/>
      <c r="E5629" s="2" t="str">
        <f>HYPERLINK("https://old.ukr-mobil.com/displej_dlya_ehlektrotransporta_sovmestimyj_s_kt_kontrollerom_lcd7c_10003658", "Перейти")</f>
        <v>Перейти</v>
      </c>
      <c r="F5629" s="2">
        <v>10003658</v>
      </c>
      <c r="G5629" s="4" t="s">
        <v>5807</v>
      </c>
      <c r="H5629" s="1">
        <v>0</v>
      </c>
      <c r="I5629" s="1">
        <v>0</v>
      </c>
      <c r="J5629" s="1">
        <v>3</v>
      </c>
      <c r="K5629" s="2">
        <v>49.0</v>
      </c>
    </row>
    <row r="5630" spans="1:12">
      <c r="A5630" s="3" t="s">
        <v>5800</v>
      </c>
      <c r="B5630" s="3" t="s">
        <v>5808</v>
      </c>
      <c r="C5630" s="3"/>
      <c r="D5630" s="3"/>
      <c r="E5630" s="2" t="str">
        <f>HYPERLINK("https://old.ukr-mobil.com/index.php?route=product&amp;product_id=10005893", "Перейти")</f>
        <v>Перейти</v>
      </c>
      <c r="F5630" s="2">
        <v>10005893</v>
      </c>
      <c r="G5630" s="4" t="s">
        <v>5809</v>
      </c>
      <c r="H5630" s="1">
        <v>1</v>
      </c>
      <c r="I5630" s="1">
        <v>1</v>
      </c>
      <c r="J5630" s="1">
        <v>0</v>
      </c>
      <c r="K5630" s="2">
        <v>10.0</v>
      </c>
    </row>
    <row r="5631" spans="1:12">
      <c r="A5631" s="3" t="s">
        <v>5800</v>
      </c>
      <c r="B5631" s="3" t="s">
        <v>5808</v>
      </c>
      <c r="C5631" s="3"/>
      <c r="D5631" s="3"/>
      <c r="E5631" s="2" t="str">
        <f>HYPERLINK("https://old.ukr-mobil.com/zaryadnoe_ustrojstvo_li-ion_24v_2a_shteker_5_5_2_5_vyhodnoe_napryazhenie_29_4v_10003119", "Перейти")</f>
        <v>Перейти</v>
      </c>
      <c r="F5631" s="2">
        <v>10003119</v>
      </c>
      <c r="G5631" s="4" t="s">
        <v>5810</v>
      </c>
      <c r="H5631" s="1">
        <v>0</v>
      </c>
      <c r="I5631" s="1">
        <v>0</v>
      </c>
      <c r="J5631" s="1">
        <v>0</v>
      </c>
      <c r="K5631" s="2">
        <v>12.0</v>
      </c>
    </row>
    <row r="5632" spans="1:12">
      <c r="A5632" s="3" t="s">
        <v>5800</v>
      </c>
      <c r="B5632" s="3" t="s">
        <v>5808</v>
      </c>
      <c r="C5632" s="3"/>
      <c r="D5632" s="3"/>
      <c r="E5632" s="2" t="str">
        <f>HYPERLINK("https://old.ukr-mobil.com/zaryadnoe_ustrojstvo_li-ion_24v_2a_shteker_xlr_vyhodnoe_napryazhenie_29_4v_10003120", "Перейти")</f>
        <v>Перейти</v>
      </c>
      <c r="F5632" s="2">
        <v>10003120</v>
      </c>
      <c r="G5632" s="4" t="s">
        <v>5811</v>
      </c>
      <c r="H5632" s="1">
        <v>70</v>
      </c>
      <c r="I5632" s="1">
        <v>0</v>
      </c>
      <c r="J5632" s="1">
        <v>0</v>
      </c>
      <c r="K5632" s="2">
        <v>10.0</v>
      </c>
    </row>
    <row r="5633" spans="1:12">
      <c r="A5633" s="3" t="s">
        <v>5800</v>
      </c>
      <c r="B5633" s="3" t="s">
        <v>5808</v>
      </c>
      <c r="C5633" s="3"/>
      <c r="D5633" s="3"/>
      <c r="E5633" s="2" t="str">
        <f>HYPERLINK("https://old.ukr-mobil.com/index.php?route=product&amp;product_id=10005733", "Перейти")</f>
        <v>Перейти</v>
      </c>
      <c r="F5633" s="2">
        <v>10005733</v>
      </c>
      <c r="G5633" s="4" t="s">
        <v>5812</v>
      </c>
      <c r="H5633" s="1">
        <v>129</v>
      </c>
      <c r="I5633" s="1">
        <v>41</v>
      </c>
      <c r="J5633" s="1">
        <v>37</v>
      </c>
      <c r="K5633" s="2">
        <v>8.85</v>
      </c>
    </row>
    <row r="5634" spans="1:12">
      <c r="A5634" s="3" t="s">
        <v>5800</v>
      </c>
      <c r="B5634" s="3" t="s">
        <v>5808</v>
      </c>
      <c r="C5634" s="3"/>
      <c r="D5634" s="3"/>
      <c r="E5634" s="2" t="str">
        <f>HYPERLINK("https://old.ukr-mobil.com/index.php?route=product&amp;product_id=10005734", "Перейти")</f>
        <v>Перейти</v>
      </c>
      <c r="F5634" s="2">
        <v>10005734</v>
      </c>
      <c r="G5634" s="4" t="s">
        <v>5813</v>
      </c>
      <c r="H5634" s="1">
        <v>0</v>
      </c>
      <c r="I5634" s="1">
        <v>0</v>
      </c>
      <c r="J5634" s="1">
        <v>0</v>
      </c>
      <c r="K5634" s="2">
        <v>11.0</v>
      </c>
    </row>
    <row r="5635" spans="1:12">
      <c r="A5635" s="3" t="s">
        <v>5800</v>
      </c>
      <c r="B5635" s="3" t="s">
        <v>5808</v>
      </c>
      <c r="C5635" s="3"/>
      <c r="D5635" s="3"/>
      <c r="E5635" s="2" t="str">
        <f>HYPERLINK("https://old.ukr-mobil.com/index.php?route=product&amp;product_id=10005954", "Перейти")</f>
        <v>Перейти</v>
      </c>
      <c r="F5635" s="2">
        <v>10005954</v>
      </c>
      <c r="G5635" s="4" t="s">
        <v>5814</v>
      </c>
      <c r="H5635" s="1">
        <v>109</v>
      </c>
      <c r="I5635" s="1">
        <v>9</v>
      </c>
      <c r="J5635" s="1">
        <v>0</v>
      </c>
      <c r="K5635" s="2">
        <v>52.0</v>
      </c>
    </row>
    <row r="5636" spans="1:12">
      <c r="A5636" s="3" t="s">
        <v>5800</v>
      </c>
      <c r="B5636" s="3" t="s">
        <v>5808</v>
      </c>
      <c r="C5636" s="3"/>
      <c r="D5636" s="3"/>
      <c r="E5636" s="2" t="str">
        <f>HYPERLINK("https://old.ukr-mobil.com/zaryadnoe_ustrojstvo_li-ion_36v_2a_dlya_samokata_xiaomi_mijia_m365_vyhodnoe_napryazhenie_42v_10003143", "Перейти")</f>
        <v>Перейти</v>
      </c>
      <c r="F5636" s="2">
        <v>10003143</v>
      </c>
      <c r="G5636" s="4" t="s">
        <v>5815</v>
      </c>
      <c r="H5636" s="1">
        <v>0</v>
      </c>
      <c r="I5636" s="1">
        <v>0</v>
      </c>
      <c r="J5636" s="1">
        <v>0</v>
      </c>
      <c r="K5636" s="2">
        <v>14.0</v>
      </c>
    </row>
    <row r="5637" spans="1:12">
      <c r="A5637" s="3" t="s">
        <v>5800</v>
      </c>
      <c r="B5637" s="3" t="s">
        <v>5808</v>
      </c>
      <c r="C5637" s="3"/>
      <c r="D5637" s="3"/>
      <c r="E5637" s="2" t="str">
        <f>HYPERLINK("https://old.ukr-mobil.com/index.php?route=product&amp;product_id=10005803", "Перейти")</f>
        <v>Перейти</v>
      </c>
      <c r="F5637" s="2">
        <v>10005803</v>
      </c>
      <c r="G5637" s="4" t="s">
        <v>5816</v>
      </c>
      <c r="H5637" s="1">
        <v>65</v>
      </c>
      <c r="I5637" s="1">
        <v>5</v>
      </c>
      <c r="J5637" s="1">
        <v>0</v>
      </c>
      <c r="K5637" s="2">
        <v>13.0</v>
      </c>
    </row>
    <row r="5638" spans="1:12">
      <c r="A5638" s="3" t="s">
        <v>5800</v>
      </c>
      <c r="B5638" s="3" t="s">
        <v>5808</v>
      </c>
      <c r="C5638" s="3"/>
      <c r="D5638" s="3"/>
      <c r="E5638" s="2" t="str">
        <f>HYPERLINK("https://old.ukr-mobil.com/zaryadnoe_ustrojstvo_li-ion_36v_2a_shteker_5_5_2_5_vyhodnoe_napryazhenie_42v_10003121", "Перейти")</f>
        <v>Перейти</v>
      </c>
      <c r="F5638" s="2">
        <v>10003121</v>
      </c>
      <c r="G5638" s="4" t="s">
        <v>5817</v>
      </c>
      <c r="H5638" s="1">
        <v>0</v>
      </c>
      <c r="I5638" s="1">
        <v>0</v>
      </c>
      <c r="J5638" s="1">
        <v>0</v>
      </c>
      <c r="K5638" s="2">
        <v>9.0</v>
      </c>
    </row>
    <row r="5639" spans="1:12">
      <c r="A5639" s="3" t="s">
        <v>5800</v>
      </c>
      <c r="B5639" s="3" t="s">
        <v>5808</v>
      </c>
      <c r="C5639" s="3"/>
      <c r="D5639" s="3"/>
      <c r="E5639" s="2" t="str">
        <f>HYPERLINK("https://old.ukr-mobil.com/index.php?route=product&amp;product_id=10005804", "Перейти")</f>
        <v>Перейти</v>
      </c>
      <c r="F5639" s="2">
        <v>10005804</v>
      </c>
      <c r="G5639" s="4" t="s">
        <v>5818</v>
      </c>
      <c r="H5639" s="1">
        <v>157</v>
      </c>
      <c r="I5639" s="1">
        <v>12</v>
      </c>
      <c r="J5639" s="1">
        <v>0</v>
      </c>
      <c r="K5639" s="2">
        <v>11.0</v>
      </c>
    </row>
    <row r="5640" spans="1:12">
      <c r="A5640" s="3" t="s">
        <v>5800</v>
      </c>
      <c r="B5640" s="3" t="s">
        <v>5808</v>
      </c>
      <c r="C5640" s="3"/>
      <c r="D5640" s="3"/>
      <c r="E5640" s="2" t="str">
        <f>HYPERLINK("https://old.ukr-mobil.com/zaryadnoe_ustrojstvo_li-ion_36v_2a_shteker_c13_vyhodnoe_napryazhenie_42v_10003921", "Перейти")</f>
        <v>Перейти</v>
      </c>
      <c r="F5640" s="2">
        <v>10003921</v>
      </c>
      <c r="G5640" s="4" t="s">
        <v>5819</v>
      </c>
      <c r="H5640" s="1">
        <v>0</v>
      </c>
      <c r="I5640" s="1">
        <v>0</v>
      </c>
      <c r="J5640" s="1">
        <v>0</v>
      </c>
      <c r="K5640" s="2">
        <v>10.0</v>
      </c>
    </row>
    <row r="5641" spans="1:12">
      <c r="A5641" s="3" t="s">
        <v>5800</v>
      </c>
      <c r="B5641" s="3" t="s">
        <v>5808</v>
      </c>
      <c r="C5641" s="3"/>
      <c r="D5641" s="3"/>
      <c r="E5641" s="2" t="str">
        <f>HYPERLINK("https://old.ukr-mobil.com/index.php?route=product&amp;product_id=10005802", "Перейти")</f>
        <v>Перейти</v>
      </c>
      <c r="F5641" s="2">
        <v>10005802</v>
      </c>
      <c r="G5641" s="4" t="s">
        <v>5820</v>
      </c>
      <c r="H5641" s="1">
        <v>47</v>
      </c>
      <c r="I5641" s="1">
        <v>10</v>
      </c>
      <c r="J5641" s="1">
        <v>0</v>
      </c>
      <c r="K5641" s="2">
        <v>12.0</v>
      </c>
    </row>
    <row r="5642" spans="1:12">
      <c r="A5642" s="3" t="s">
        <v>5800</v>
      </c>
      <c r="B5642" s="3" t="s">
        <v>5808</v>
      </c>
      <c r="C5642" s="3"/>
      <c r="D5642" s="3"/>
      <c r="E5642" s="2" t="str">
        <f>HYPERLINK("https://old.ukr-mobil.com/zaryadnoe_ustrojstvo_li-ion_36v_2a_shteker_rca_vyhodnoe_napryazhenie_42v_10003123", "Перейти")</f>
        <v>Перейти</v>
      </c>
      <c r="F5642" s="2">
        <v>10003123</v>
      </c>
      <c r="G5642" s="4" t="s">
        <v>5821</v>
      </c>
      <c r="H5642" s="1">
        <v>0</v>
      </c>
      <c r="I5642" s="1">
        <v>0</v>
      </c>
      <c r="J5642" s="1">
        <v>0</v>
      </c>
      <c r="K5642" s="2">
        <v>9.0</v>
      </c>
    </row>
    <row r="5643" spans="1:12">
      <c r="A5643" s="3" t="s">
        <v>5800</v>
      </c>
      <c r="B5643" s="3" t="s">
        <v>5808</v>
      </c>
      <c r="C5643" s="3"/>
      <c r="D5643" s="3"/>
      <c r="E5643" s="2" t="str">
        <f>HYPERLINK("https://old.ukr-mobil.com/zaryadnoe_ustrojstvo_li-ion_36v_2a_shteker_xlr_vyhodnoe_napryazhenie_42v_10003122", "Перейти")</f>
        <v>Перейти</v>
      </c>
      <c r="F5643" s="2">
        <v>10003122</v>
      </c>
      <c r="G5643" s="4" t="s">
        <v>5822</v>
      </c>
      <c r="H5643" s="1">
        <v>358</v>
      </c>
      <c r="I5643" s="1">
        <v>0</v>
      </c>
      <c r="J5643" s="1">
        <v>0</v>
      </c>
      <c r="K5643" s="2">
        <v>9.5</v>
      </c>
    </row>
    <row r="5644" spans="1:12">
      <c r="A5644" s="3" t="s">
        <v>5800</v>
      </c>
      <c r="B5644" s="3" t="s">
        <v>5808</v>
      </c>
      <c r="C5644" s="3"/>
      <c r="D5644" s="3"/>
      <c r="E5644" s="2" t="str">
        <f>HYPERLINK("https://old.ukr-mobil.com/index.php?route=product&amp;product_id=10005805", "Перейти")</f>
        <v>Перейти</v>
      </c>
      <c r="F5644" s="2">
        <v>10005805</v>
      </c>
      <c r="G5644" s="4" t="s">
        <v>5823</v>
      </c>
      <c r="H5644" s="1">
        <v>123</v>
      </c>
      <c r="I5644" s="1">
        <v>17</v>
      </c>
      <c r="J5644" s="1">
        <v>0</v>
      </c>
      <c r="K5644" s="2">
        <v>11.0</v>
      </c>
    </row>
    <row r="5645" spans="1:12">
      <c r="A5645" s="3" t="s">
        <v>5800</v>
      </c>
      <c r="B5645" s="3" t="s">
        <v>5808</v>
      </c>
      <c r="C5645" s="3"/>
      <c r="D5645" s="3"/>
      <c r="E5645" s="2" t="str">
        <f>HYPERLINK("https://old.ukr-mobil.com/zaryadnoe_ustrojstvo_li-ion_36v_3a_shteker_5_5_2_5_vyhodnoe_napryazhenie_42v_10003124", "Перейти")</f>
        <v>Перейти</v>
      </c>
      <c r="F5645" s="2">
        <v>10003124</v>
      </c>
      <c r="G5645" s="4" t="s">
        <v>5824</v>
      </c>
      <c r="H5645" s="1">
        <v>0</v>
      </c>
      <c r="I5645" s="1">
        <v>0</v>
      </c>
      <c r="J5645" s="1">
        <v>0</v>
      </c>
      <c r="K5645" s="2">
        <v>13.5</v>
      </c>
    </row>
    <row r="5646" spans="1:12">
      <c r="A5646" s="3" t="s">
        <v>5800</v>
      </c>
      <c r="B5646" s="3" t="s">
        <v>5808</v>
      </c>
      <c r="C5646" s="3"/>
      <c r="D5646" s="3"/>
      <c r="E5646" s="2" t="str">
        <f>HYPERLINK("https://old.ukr-mobil.com/zaryadnoe_ustrojstvo_li-ion_36v_3a_shteker_rca_vyhodnoe_napryazhenie_42v_10003125", "Перейти")</f>
        <v>Перейти</v>
      </c>
      <c r="F5646" s="2">
        <v>10003125</v>
      </c>
      <c r="G5646" s="4" t="s">
        <v>5825</v>
      </c>
      <c r="H5646" s="1">
        <v>0</v>
      </c>
      <c r="I5646" s="1">
        <v>0</v>
      </c>
      <c r="J5646" s="1">
        <v>0</v>
      </c>
      <c r="K5646" s="2">
        <v>14.5</v>
      </c>
    </row>
    <row r="5647" spans="1:12">
      <c r="A5647" s="3" t="s">
        <v>5800</v>
      </c>
      <c r="B5647" s="3" t="s">
        <v>5808</v>
      </c>
      <c r="C5647" s="3"/>
      <c r="D5647" s="3"/>
      <c r="E5647" s="2" t="str">
        <f>HYPERLINK("https://old.ukr-mobil.com/zaryadnoe_ustrojstvo_li-ion_36v_3a_shteker_xlr_vyhodnoe_napryazhenie_42v_10003126", "Перейти")</f>
        <v>Перейти</v>
      </c>
      <c r="F5647" s="2">
        <v>10003126</v>
      </c>
      <c r="G5647" s="4" t="s">
        <v>5826</v>
      </c>
      <c r="H5647" s="1">
        <v>133</v>
      </c>
      <c r="I5647" s="1">
        <v>0</v>
      </c>
      <c r="J5647" s="1">
        <v>40</v>
      </c>
      <c r="K5647" s="2">
        <v>14.0</v>
      </c>
    </row>
    <row r="5648" spans="1:12">
      <c r="A5648" s="3" t="s">
        <v>5800</v>
      </c>
      <c r="B5648" s="3" t="s">
        <v>5808</v>
      </c>
      <c r="C5648" s="3"/>
      <c r="D5648" s="3"/>
      <c r="E5648" s="2" t="str">
        <f>HYPERLINK("https://old.ukr-mobil.com/zaryadnoe_ustrojstvo_li-ion_36v_5a_shteker_5_5_2_5_vyhodnoe_napryazhenie_42v_10003918", "Перейти")</f>
        <v>Перейти</v>
      </c>
      <c r="F5648" s="2">
        <v>10003918</v>
      </c>
      <c r="G5648" s="4" t="s">
        <v>5827</v>
      </c>
      <c r="H5648" s="1">
        <v>0</v>
      </c>
      <c r="I5648" s="1">
        <v>0</v>
      </c>
      <c r="J5648" s="1">
        <v>0</v>
      </c>
      <c r="K5648" s="2">
        <v>14.0</v>
      </c>
    </row>
    <row r="5649" spans="1:12">
      <c r="A5649" s="3" t="s">
        <v>5800</v>
      </c>
      <c r="B5649" s="3" t="s">
        <v>5808</v>
      </c>
      <c r="C5649" s="3"/>
      <c r="D5649" s="3"/>
      <c r="E5649" s="2" t="str">
        <f>HYPERLINK("https://old.ukr-mobil.com/index.php?route=product&amp;product_id=10005888", "Перейти")</f>
        <v>Перейти</v>
      </c>
      <c r="F5649" s="2">
        <v>10005888</v>
      </c>
      <c r="G5649" s="4" t="s">
        <v>5828</v>
      </c>
      <c r="H5649" s="1">
        <v>2</v>
      </c>
      <c r="I5649" s="1">
        <v>1</v>
      </c>
      <c r="J5649" s="1">
        <v>0</v>
      </c>
      <c r="K5649" s="2">
        <v>40.55</v>
      </c>
    </row>
    <row r="5650" spans="1:12">
      <c r="A5650" s="3" t="s">
        <v>5800</v>
      </c>
      <c r="B5650" s="3" t="s">
        <v>5808</v>
      </c>
      <c r="C5650" s="3"/>
      <c r="D5650" s="3"/>
      <c r="E5650" s="2" t="str">
        <f>HYPERLINK("https://old.ukr-mobil.com/zaryadnoe_ustrojstvo_li-ion_48v_2a_shteker_5_5_2_5_vyhodnoe_napryazhenie_54_6v_10003127", "Перейти")</f>
        <v>Перейти</v>
      </c>
      <c r="F5650" s="2">
        <v>10003127</v>
      </c>
      <c r="G5650" s="4" t="s">
        <v>5829</v>
      </c>
      <c r="H5650" s="1">
        <v>0</v>
      </c>
      <c r="I5650" s="1">
        <v>0</v>
      </c>
      <c r="J5650" s="1">
        <v>0</v>
      </c>
      <c r="K5650" s="2">
        <v>13.5</v>
      </c>
    </row>
    <row r="5651" spans="1:12">
      <c r="A5651" s="3" t="s">
        <v>5800</v>
      </c>
      <c r="B5651" s="3" t="s">
        <v>5808</v>
      </c>
      <c r="C5651" s="3"/>
      <c r="D5651" s="3"/>
      <c r="E5651" s="2" t="str">
        <f>HYPERLINK("https://old.ukr-mobil.com/zaryadnoe_ustrojstvo_li-ion_48v_2a_shteker_c13_vyhodnoe_napryazhenie_54_6v_10003922", "Перейти")</f>
        <v>Перейти</v>
      </c>
      <c r="F5651" s="2">
        <v>10003922</v>
      </c>
      <c r="G5651" s="4" t="s">
        <v>5830</v>
      </c>
      <c r="H5651" s="1">
        <v>0</v>
      </c>
      <c r="I5651" s="1">
        <v>0</v>
      </c>
      <c r="J5651" s="1">
        <v>0</v>
      </c>
      <c r="K5651" s="2">
        <v>15.0</v>
      </c>
    </row>
    <row r="5652" spans="1:12">
      <c r="A5652" s="3" t="s">
        <v>5800</v>
      </c>
      <c r="B5652" s="3" t="s">
        <v>5808</v>
      </c>
      <c r="C5652" s="3"/>
      <c r="D5652" s="3"/>
      <c r="E5652" s="2" t="str">
        <f>HYPERLINK("https://old.ukr-mobil.com/index.php?route=product&amp;product_id=10005892", "Перейти")</f>
        <v>Перейти</v>
      </c>
      <c r="F5652" s="2">
        <v>10005892</v>
      </c>
      <c r="G5652" s="4" t="s">
        <v>5831</v>
      </c>
      <c r="H5652" s="1">
        <v>0</v>
      </c>
      <c r="I5652" s="1">
        <v>0</v>
      </c>
      <c r="J5652" s="1">
        <v>0</v>
      </c>
      <c r="K5652" s="2">
        <v>14.15</v>
      </c>
    </row>
    <row r="5653" spans="1:12">
      <c r="A5653" s="3" t="s">
        <v>5800</v>
      </c>
      <c r="B5653" s="3" t="s">
        <v>5808</v>
      </c>
      <c r="C5653" s="3"/>
      <c r="D5653" s="3"/>
      <c r="E5653" s="2" t="str">
        <f>HYPERLINK("https://old.ukr-mobil.com/index.php?route=product&amp;product_id=10005887", "Перейти")</f>
        <v>Перейти</v>
      </c>
      <c r="F5653" s="2">
        <v>10005887</v>
      </c>
      <c r="G5653" s="4" t="s">
        <v>5832</v>
      </c>
      <c r="H5653" s="1">
        <v>1</v>
      </c>
      <c r="I5653" s="1">
        <v>0</v>
      </c>
      <c r="J5653" s="1">
        <v>0</v>
      </c>
      <c r="K5653" s="2">
        <v>14.6</v>
      </c>
    </row>
    <row r="5654" spans="1:12">
      <c r="A5654" s="3" t="s">
        <v>5800</v>
      </c>
      <c r="B5654" s="3" t="s">
        <v>5808</v>
      </c>
      <c r="C5654" s="3"/>
      <c r="D5654" s="3"/>
      <c r="E5654" s="2" t="str">
        <f>HYPERLINK("https://old.ukr-mobil.com/zaryadnoe_ustrojstvo_li-ion_48v_3a_shteker_5_5_2_5_vyhodnoe_napryazhenie_54_6v_10003128", "Перейти")</f>
        <v>Перейти</v>
      </c>
      <c r="F5654" s="2">
        <v>10003128</v>
      </c>
      <c r="G5654" s="4" t="s">
        <v>5833</v>
      </c>
      <c r="H5654" s="1">
        <v>0</v>
      </c>
      <c r="I5654" s="1">
        <v>0</v>
      </c>
      <c r="J5654" s="1">
        <v>0</v>
      </c>
      <c r="K5654" s="2">
        <v>15.0</v>
      </c>
    </row>
    <row r="5655" spans="1:12">
      <c r="A5655" s="3" t="s">
        <v>5800</v>
      </c>
      <c r="B5655" s="3" t="s">
        <v>5808</v>
      </c>
      <c r="C5655" s="3"/>
      <c r="D5655" s="3"/>
      <c r="E5655" s="2" t="str">
        <f>HYPERLINK("https://old.ukr-mobil.com/index.php?route=product&amp;product_id=10005894", "Перейти")</f>
        <v>Перейти</v>
      </c>
      <c r="F5655" s="2">
        <v>10005894</v>
      </c>
      <c r="G5655" s="4" t="s">
        <v>5834</v>
      </c>
      <c r="H5655" s="1">
        <v>0</v>
      </c>
      <c r="I5655" s="1">
        <v>0</v>
      </c>
      <c r="J5655" s="1">
        <v>0</v>
      </c>
      <c r="K5655" s="2">
        <v>17.0</v>
      </c>
    </row>
    <row r="5656" spans="1:12">
      <c r="A5656" s="3" t="s">
        <v>5800</v>
      </c>
      <c r="B5656" s="3" t="s">
        <v>5808</v>
      </c>
      <c r="C5656" s="3"/>
      <c r="D5656" s="3"/>
      <c r="E5656" s="2" t="str">
        <f>HYPERLINK("https://old.ukr-mobil.com/index.php?route=product&amp;product_id=10005895", "Перейти")</f>
        <v>Перейти</v>
      </c>
      <c r="F5656" s="2">
        <v>10005895</v>
      </c>
      <c r="G5656" s="4" t="s">
        <v>5835</v>
      </c>
      <c r="H5656" s="1">
        <v>0</v>
      </c>
      <c r="I5656" s="1">
        <v>0</v>
      </c>
      <c r="J5656" s="1">
        <v>0</v>
      </c>
      <c r="K5656" s="2">
        <v>17.0</v>
      </c>
    </row>
    <row r="5657" spans="1:12">
      <c r="A5657" s="3" t="s">
        <v>5800</v>
      </c>
      <c r="B5657" s="3" t="s">
        <v>5808</v>
      </c>
      <c r="C5657" s="3"/>
      <c r="D5657" s="3"/>
      <c r="E5657" s="2" t="str">
        <f>HYPERLINK("https://old.ukr-mobil.com/zaryadnoe_ustrojstvo_li-ion_48v_5a_shteker_5_5_2_5_vyhodnoe_napryazhenie_54_6v_10003919", "Перейти")</f>
        <v>Перейти</v>
      </c>
      <c r="F5657" s="2">
        <v>10003919</v>
      </c>
      <c r="G5657" s="4" t="s">
        <v>5836</v>
      </c>
      <c r="H5657" s="1">
        <v>0</v>
      </c>
      <c r="I5657" s="1">
        <v>0</v>
      </c>
      <c r="J5657" s="1">
        <v>0</v>
      </c>
      <c r="K5657" s="2">
        <v>16.0</v>
      </c>
    </row>
    <row r="5658" spans="1:12">
      <c r="A5658" s="3" t="s">
        <v>5800</v>
      </c>
      <c r="B5658" s="3" t="s">
        <v>5808</v>
      </c>
      <c r="C5658" s="3"/>
      <c r="D5658" s="3"/>
      <c r="E5658" s="2" t="str">
        <f>HYPERLINK("https://old.ukr-mobil.com/index.php?route=product&amp;product_id=10005890", "Перейти")</f>
        <v>Перейти</v>
      </c>
      <c r="F5658" s="2">
        <v>10005890</v>
      </c>
      <c r="G5658" s="4" t="s">
        <v>5837</v>
      </c>
      <c r="H5658" s="1">
        <v>0</v>
      </c>
      <c r="I5658" s="1">
        <v>0</v>
      </c>
      <c r="J5658" s="1">
        <v>0</v>
      </c>
      <c r="K5658" s="2">
        <v>19.4</v>
      </c>
    </row>
    <row r="5659" spans="1:12">
      <c r="A5659" s="3" t="s">
        <v>5800</v>
      </c>
      <c r="B5659" s="3" t="s">
        <v>5808</v>
      </c>
      <c r="C5659" s="3"/>
      <c r="D5659" s="3"/>
      <c r="E5659" s="2" t="str">
        <f>HYPERLINK("https://old.ukr-mobil.com/zaryadnoe_ustrojstvo_li-ion_48v_8a_shteker_5_5_2_5_vyhodnoe_napryazhenie_54_6v_10003920", "Перейти")</f>
        <v>Перейти</v>
      </c>
      <c r="F5659" s="2">
        <v>10003920</v>
      </c>
      <c r="G5659" s="4" t="s">
        <v>5838</v>
      </c>
      <c r="H5659" s="1">
        <v>5</v>
      </c>
      <c r="I5659" s="1">
        <v>2</v>
      </c>
      <c r="J5659" s="1">
        <v>2</v>
      </c>
      <c r="K5659" s="2">
        <v>34.5</v>
      </c>
    </row>
    <row r="5660" spans="1:12">
      <c r="A5660" s="3" t="s">
        <v>5800</v>
      </c>
      <c r="B5660" s="3" t="s">
        <v>5808</v>
      </c>
      <c r="C5660" s="3"/>
      <c r="D5660" s="3"/>
      <c r="E5660" s="2" t="str">
        <f>HYPERLINK("https://old.ukr-mobil.com/index.php?route=product&amp;product_id=10005886", "Перейти")</f>
        <v>Перейти</v>
      </c>
      <c r="F5660" s="2">
        <v>10005886</v>
      </c>
      <c r="G5660" s="4" t="s">
        <v>5839</v>
      </c>
      <c r="H5660" s="1">
        <v>0</v>
      </c>
      <c r="I5660" s="1">
        <v>0</v>
      </c>
      <c r="J5660" s="1">
        <v>0</v>
      </c>
      <c r="K5660" s="2">
        <v>31.0</v>
      </c>
    </row>
    <row r="5661" spans="1:12">
      <c r="A5661" s="3" t="s">
        <v>5800</v>
      </c>
      <c r="B5661" s="3" t="s">
        <v>5808</v>
      </c>
      <c r="C5661" s="3"/>
      <c r="D5661" s="3"/>
      <c r="E5661" s="2" t="str">
        <f>HYPERLINK("https://old.ukr-mobil.com/zaryadnoe_ustrojstvo_li-ion_58_8v_3a_shteker_5_5_2_5_vyhodnoe_napryazhenie_58_8v_14s_s_ventelyatorom_10004268", "Перейти")</f>
        <v>Перейти</v>
      </c>
      <c r="F5661" s="2">
        <v>10004268</v>
      </c>
      <c r="G5661" s="4" t="s">
        <v>5840</v>
      </c>
      <c r="H5661" s="1">
        <v>2</v>
      </c>
      <c r="I5661" s="1">
        <v>1</v>
      </c>
      <c r="J5661" s="1">
        <v>0</v>
      </c>
      <c r="K5661" s="2">
        <v>16.0</v>
      </c>
    </row>
    <row r="5662" spans="1:12">
      <c r="A5662" s="3" t="s">
        <v>5800</v>
      </c>
      <c r="B5662" s="3" t="s">
        <v>5808</v>
      </c>
      <c r="C5662" s="3"/>
      <c r="D5662" s="3"/>
      <c r="E5662" s="2" t="str">
        <f>HYPERLINK("https://old.ukr-mobil.com/index.php?route=product&amp;product_id=10005891", "Перейти")</f>
        <v>Перейти</v>
      </c>
      <c r="F5662" s="2">
        <v>10005891</v>
      </c>
      <c r="G5662" s="4" t="s">
        <v>5841</v>
      </c>
      <c r="H5662" s="1">
        <v>3</v>
      </c>
      <c r="I5662" s="1">
        <v>1</v>
      </c>
      <c r="J5662" s="1">
        <v>0</v>
      </c>
      <c r="K5662" s="2">
        <v>42.95</v>
      </c>
    </row>
    <row r="5663" spans="1:12">
      <c r="A5663" s="3" t="s">
        <v>5800</v>
      </c>
      <c r="B5663" s="3" t="s">
        <v>5808</v>
      </c>
      <c r="C5663" s="3"/>
      <c r="D5663" s="3"/>
      <c r="E5663" s="2" t="str">
        <f>HYPERLINK("https://old.ukr-mobil.com/zaryadnoe_ustrojstvo_li-ion_60v_3a_shteker_5_5_2_5_vyhodnoe_napryazhenie_67_2v_10003129", "Перейти")</f>
        <v>Перейти</v>
      </c>
      <c r="F5663" s="2">
        <v>10003129</v>
      </c>
      <c r="G5663" s="4" t="s">
        <v>5842</v>
      </c>
      <c r="H5663" s="1">
        <v>0</v>
      </c>
      <c r="I5663" s="1">
        <v>1</v>
      </c>
      <c r="J5663" s="1">
        <v>0</v>
      </c>
      <c r="K5663" s="2">
        <v>16.0</v>
      </c>
    </row>
    <row r="5664" spans="1:12">
      <c r="A5664" s="3" t="s">
        <v>5800</v>
      </c>
      <c r="B5664" s="3" t="s">
        <v>5808</v>
      </c>
      <c r="C5664" s="3"/>
      <c r="D5664" s="3"/>
      <c r="E5664" s="2" t="str">
        <f>HYPERLINK("https://old.ukr-mobil.com/zaryadnoe_ustrojstvo_li-ion_60v_3a_shteker_c13_vyhodnoe_napryazhenie_67_2v_10003130", "Перейти")</f>
        <v>Перейти</v>
      </c>
      <c r="F5664" s="2">
        <v>10003130</v>
      </c>
      <c r="G5664" s="4" t="s">
        <v>5843</v>
      </c>
      <c r="H5664" s="1">
        <v>25</v>
      </c>
      <c r="I5664" s="1">
        <v>12</v>
      </c>
      <c r="J5664" s="1">
        <v>13</v>
      </c>
      <c r="K5664" s="2">
        <v>17.0</v>
      </c>
    </row>
    <row r="5665" spans="1:12">
      <c r="A5665" s="3" t="s">
        <v>5800</v>
      </c>
      <c r="B5665" s="3" t="s">
        <v>5808</v>
      </c>
      <c r="C5665" s="3"/>
      <c r="D5665" s="3"/>
      <c r="E5665" s="2" t="str">
        <f>HYPERLINK("https://old.ukr-mobil.com/zaryadnoe_ustrojstvo_li-ion_60v_3a_shteker_gx12m_vyhodnoe_napryazhenie_67_2v_10003131", "Перейти")</f>
        <v>Перейти</v>
      </c>
      <c r="F5665" s="2">
        <v>10003131</v>
      </c>
      <c r="G5665" s="4" t="s">
        <v>5844</v>
      </c>
      <c r="H5665" s="1">
        <v>55</v>
      </c>
      <c r="I5665" s="1">
        <v>9</v>
      </c>
      <c r="J5665" s="1">
        <v>16</v>
      </c>
      <c r="K5665" s="2">
        <v>16.5</v>
      </c>
    </row>
    <row r="5666" spans="1:12">
      <c r="A5666" s="3" t="s">
        <v>5800</v>
      </c>
      <c r="B5666" s="3" t="s">
        <v>5808</v>
      </c>
      <c r="C5666" s="3"/>
      <c r="D5666" s="3"/>
      <c r="E5666" s="2" t="str">
        <f>HYPERLINK("https://old.ukr-mobil.com/zaryadnoe_ustrojstvo_li-ion_60v_5a_shteker_5_5_2_5_vyhodnoe_napryazhenie_67_2v_10003132", "Перейти")</f>
        <v>Перейти</v>
      </c>
      <c r="F5666" s="2">
        <v>10003132</v>
      </c>
      <c r="G5666" s="4" t="s">
        <v>5845</v>
      </c>
      <c r="H5666" s="1">
        <v>0</v>
      </c>
      <c r="I5666" s="1">
        <v>0</v>
      </c>
      <c r="J5666" s="1">
        <v>0</v>
      </c>
      <c r="K5666" s="2">
        <v>20.0</v>
      </c>
    </row>
    <row r="5667" spans="1:12">
      <c r="A5667" s="3" t="s">
        <v>5800</v>
      </c>
      <c r="B5667" s="3" t="s">
        <v>5808</v>
      </c>
      <c r="C5667" s="3"/>
      <c r="D5667" s="3"/>
      <c r="E5667" s="2" t="str">
        <f>HYPERLINK("https://old.ukr-mobil.com/zaryadnoe_ustrojstvo_li-ion_60v_5a_shteker_c13_vyhodnoe_napryazhenie_67_2v_10003133", "Перейти")</f>
        <v>Перейти</v>
      </c>
      <c r="F5667" s="2">
        <v>10003133</v>
      </c>
      <c r="G5667" s="4" t="s">
        <v>5846</v>
      </c>
      <c r="H5667" s="1">
        <v>0</v>
      </c>
      <c r="I5667" s="1">
        <v>0</v>
      </c>
      <c r="J5667" s="1">
        <v>0</v>
      </c>
      <c r="K5667" s="2">
        <v>20.0</v>
      </c>
    </row>
    <row r="5668" spans="1:12">
      <c r="A5668" s="3" t="s">
        <v>5800</v>
      </c>
      <c r="B5668" s="3" t="s">
        <v>5808</v>
      </c>
      <c r="C5668" s="3"/>
      <c r="D5668" s="3"/>
      <c r="E5668" s="2" t="str">
        <f>HYPERLINK("https://old.ukr-mobil.com/zaryadnoe_ustrojstvo_li-ion_60v_5a_shteker_gx12m_vyhodnoe_napryazhenie_67_2v_10003134", "Перейти")</f>
        <v>Перейти</v>
      </c>
      <c r="F5668" s="2">
        <v>10003134</v>
      </c>
      <c r="G5668" s="4" t="s">
        <v>5847</v>
      </c>
      <c r="H5668" s="1">
        <v>0</v>
      </c>
      <c r="I5668" s="1">
        <v>0</v>
      </c>
      <c r="J5668" s="1">
        <v>0</v>
      </c>
      <c r="K5668" s="2">
        <v>21.0</v>
      </c>
    </row>
    <row r="5669" spans="1:12">
      <c r="A5669" s="3" t="s">
        <v>5800</v>
      </c>
      <c r="B5669" s="3" t="s">
        <v>5808</v>
      </c>
      <c r="C5669" s="3"/>
      <c r="D5669" s="3"/>
      <c r="E5669" s="2" t="str">
        <f>HYPERLINK("https://old.ukr-mobil.com/zaryadnoe_ustrojstvo_li-ion_60v_8a_shteker_c13_vyhodnoe_napryazhenie_67_2v_10003136", "Перейти")</f>
        <v>Перейти</v>
      </c>
      <c r="F5669" s="2">
        <v>10003136</v>
      </c>
      <c r="G5669" s="4" t="s">
        <v>5848</v>
      </c>
      <c r="H5669" s="1">
        <v>0</v>
      </c>
      <c r="I5669" s="1">
        <v>0</v>
      </c>
      <c r="J5669" s="1">
        <v>0</v>
      </c>
      <c r="K5669" s="2">
        <v>33.0</v>
      </c>
    </row>
    <row r="5670" spans="1:12">
      <c r="A5670" s="3" t="s">
        <v>5800</v>
      </c>
      <c r="B5670" s="3" t="s">
        <v>5808</v>
      </c>
      <c r="C5670" s="3"/>
      <c r="D5670" s="3"/>
      <c r="E5670" s="2" t="str">
        <f>HYPERLINK("https://old.ukr-mobil.com/zaryadnoe_ustrojstvo_li-ion_60v_8a_shteker_gx12m_vyhodnoe_napryazhenie_67_2v_10003135", "Перейти")</f>
        <v>Перейти</v>
      </c>
      <c r="F5670" s="2">
        <v>10003135</v>
      </c>
      <c r="G5670" s="4" t="s">
        <v>5849</v>
      </c>
      <c r="H5670" s="1">
        <v>2</v>
      </c>
      <c r="I5670" s="1">
        <v>3</v>
      </c>
      <c r="J5670" s="1">
        <v>0</v>
      </c>
      <c r="K5670" s="2">
        <v>33.0</v>
      </c>
    </row>
    <row r="5671" spans="1:12">
      <c r="A5671" s="3" t="s">
        <v>5800</v>
      </c>
      <c r="B5671" s="3" t="s">
        <v>5808</v>
      </c>
      <c r="C5671" s="3"/>
      <c r="D5671" s="3"/>
      <c r="E5671" s="2" t="str">
        <f>HYPERLINK("https://old.ukr-mobil.com/zaryadnoe_ustrojstvo_li-ion_63v_3a_shteker_5_5_2_5_vyhodnoe_napryazhenie_63v_15s_s_ventelyatorom_10004269", "Перейти")</f>
        <v>Перейти</v>
      </c>
      <c r="F5671" s="2">
        <v>10004269</v>
      </c>
      <c r="G5671" s="4" t="s">
        <v>5850</v>
      </c>
      <c r="H5671" s="1">
        <v>2</v>
      </c>
      <c r="I5671" s="1">
        <v>2</v>
      </c>
      <c r="J5671" s="1">
        <v>3</v>
      </c>
      <c r="K5671" s="2">
        <v>18.5</v>
      </c>
    </row>
    <row r="5672" spans="1:12">
      <c r="A5672" s="3" t="s">
        <v>5800</v>
      </c>
      <c r="B5672" s="3" t="s">
        <v>5808</v>
      </c>
      <c r="C5672" s="3"/>
      <c r="D5672" s="3"/>
      <c r="E5672" s="2" t="str">
        <f>HYPERLINK("https://old.ukr-mobil.com/zaryadnoe_ustrojstvo_li-ion_63v_5a_shteker_5_5_2_5_vyhodnoe_napryazhenie_63v_15s_s_ventelyatorom_10004270", "Перейти")</f>
        <v>Перейти</v>
      </c>
      <c r="F5672" s="2">
        <v>10004270</v>
      </c>
      <c r="G5672" s="4" t="s">
        <v>5851</v>
      </c>
      <c r="H5672" s="1">
        <v>2</v>
      </c>
      <c r="I5672" s="1">
        <v>2</v>
      </c>
      <c r="J5672" s="1">
        <v>2</v>
      </c>
      <c r="K5672" s="2">
        <v>22.5</v>
      </c>
    </row>
    <row r="5673" spans="1:12">
      <c r="A5673" s="3" t="s">
        <v>5800</v>
      </c>
      <c r="B5673" s="3" t="s">
        <v>5808</v>
      </c>
      <c r="C5673" s="3"/>
      <c r="D5673" s="3"/>
      <c r="E5673" s="2" t="str">
        <f>HYPERLINK("https://old.ukr-mobil.com/zaryadnoe_ustrojstvo_li-ion_67_2v_2a_shteker_c13_vyhodnoe_napryazhenie_67_2v_16s_s_ventelyatorom_10004299", "Перейти")</f>
        <v>Перейти</v>
      </c>
      <c r="F5673" s="2">
        <v>10004299</v>
      </c>
      <c r="G5673" s="4" t="s">
        <v>5852</v>
      </c>
      <c r="H5673" s="1">
        <v>0</v>
      </c>
      <c r="I5673" s="1">
        <v>0</v>
      </c>
      <c r="J5673" s="1">
        <v>0</v>
      </c>
      <c r="K5673" s="2">
        <v>16.5</v>
      </c>
    </row>
    <row r="5674" spans="1:12">
      <c r="A5674" s="3" t="s">
        <v>5800</v>
      </c>
      <c r="B5674" s="3" t="s">
        <v>5808</v>
      </c>
      <c r="C5674" s="3"/>
      <c r="D5674" s="3"/>
      <c r="E5674" s="2" t="str">
        <f>HYPERLINK("https://old.ukr-mobil.com/index.php?route=product&amp;product_id=10005889", "Перейти")</f>
        <v>Перейти</v>
      </c>
      <c r="F5674" s="2">
        <v>10005889</v>
      </c>
      <c r="G5674" s="4" t="s">
        <v>5853</v>
      </c>
      <c r="H5674" s="1">
        <v>0</v>
      </c>
      <c r="I5674" s="1">
        <v>0</v>
      </c>
      <c r="J5674" s="1">
        <v>0</v>
      </c>
      <c r="K5674" s="2">
        <v>40.9</v>
      </c>
    </row>
    <row r="5675" spans="1:12">
      <c r="A5675" s="3" t="s">
        <v>5800</v>
      </c>
      <c r="B5675" s="3" t="s">
        <v>5808</v>
      </c>
      <c r="C5675" s="3"/>
      <c r="D5675" s="3"/>
      <c r="E5675" s="2" t="str">
        <f>HYPERLINK("https://old.ukr-mobil.com/zaryadnoe_ustrojstvo_li-ion_72v_3a_shteker_5_5_2_5_vyhodnoe_napryazhenie_84v_10003137", "Перейти")</f>
        <v>Перейти</v>
      </c>
      <c r="F5675" s="2">
        <v>10003137</v>
      </c>
      <c r="G5675" s="4" t="s">
        <v>5854</v>
      </c>
      <c r="H5675" s="1">
        <v>0</v>
      </c>
      <c r="I5675" s="1">
        <v>0</v>
      </c>
      <c r="J5675" s="1">
        <v>0</v>
      </c>
      <c r="K5675" s="2">
        <v>17.0</v>
      </c>
    </row>
    <row r="5676" spans="1:12">
      <c r="A5676" s="3" t="s">
        <v>5800</v>
      </c>
      <c r="B5676" s="3" t="s">
        <v>5808</v>
      </c>
      <c r="C5676" s="3"/>
      <c r="D5676" s="3"/>
      <c r="E5676" s="2" t="str">
        <f>HYPERLINK("https://old.ukr-mobil.com/zaryadnoe_ustrojstvo_li-ion_72v_3a_shteker_c13_vyhodnoe_napryazhenie_84v_10003138", "Перейти")</f>
        <v>Перейти</v>
      </c>
      <c r="F5676" s="2">
        <v>10003138</v>
      </c>
      <c r="G5676" s="4" t="s">
        <v>5855</v>
      </c>
      <c r="H5676" s="1">
        <v>0</v>
      </c>
      <c r="I5676" s="1">
        <v>0</v>
      </c>
      <c r="J5676" s="1">
        <v>0</v>
      </c>
      <c r="K5676" s="2">
        <v>17.0</v>
      </c>
    </row>
    <row r="5677" spans="1:12">
      <c r="A5677" s="3" t="s">
        <v>5800</v>
      </c>
      <c r="B5677" s="3" t="s">
        <v>5808</v>
      </c>
      <c r="C5677" s="3"/>
      <c r="D5677" s="3"/>
      <c r="E5677" s="2" t="str">
        <f>HYPERLINK("https://old.ukr-mobil.com/zaryadnoe_ustrojstvo_li-ion_72v_5a_shteker_5_5_2_5_vyhodnoe_napryazhenie_84v_10003139", "Перейти")</f>
        <v>Перейти</v>
      </c>
      <c r="F5677" s="2">
        <v>10003139</v>
      </c>
      <c r="G5677" s="4" t="s">
        <v>5856</v>
      </c>
      <c r="H5677" s="1">
        <v>0</v>
      </c>
      <c r="I5677" s="1">
        <v>0</v>
      </c>
      <c r="J5677" s="1">
        <v>0</v>
      </c>
      <c r="K5677" s="2">
        <v>23.0</v>
      </c>
    </row>
    <row r="5678" spans="1:12">
      <c r="A5678" s="3" t="s">
        <v>5800</v>
      </c>
      <c r="B5678" s="3" t="s">
        <v>5808</v>
      </c>
      <c r="C5678" s="3"/>
      <c r="D5678" s="3"/>
      <c r="E5678" s="2" t="str">
        <f>HYPERLINK("https://old.ukr-mobil.com/zaryadnoe_ustrojstvo_li-ion_72v_5a_shteker_c13_vyhodnoe_napryazhenie_84v_10003140", "Перейти")</f>
        <v>Перейти</v>
      </c>
      <c r="F5678" s="2">
        <v>10003140</v>
      </c>
      <c r="G5678" s="4" t="s">
        <v>5857</v>
      </c>
      <c r="H5678" s="1">
        <v>0</v>
      </c>
      <c r="I5678" s="1">
        <v>0</v>
      </c>
      <c r="J5678" s="1">
        <v>0</v>
      </c>
      <c r="K5678" s="2">
        <v>23.0</v>
      </c>
    </row>
    <row r="5679" spans="1:12">
      <c r="A5679" s="3" t="s">
        <v>5800</v>
      </c>
      <c r="B5679" s="3" t="s">
        <v>5808</v>
      </c>
      <c r="C5679" s="3"/>
      <c r="D5679" s="3"/>
      <c r="E5679" s="2" t="str">
        <f>HYPERLINK("https://old.ukr-mobil.com/zaryadnoe_ustrojstvo_li-ion_72v_8a_shteker_c13_vyhodnoe_napryazhenie_84v_10003141", "Перейти")</f>
        <v>Перейти</v>
      </c>
      <c r="F5679" s="2">
        <v>10003141</v>
      </c>
      <c r="G5679" s="4" t="s">
        <v>5858</v>
      </c>
      <c r="H5679" s="1">
        <v>0</v>
      </c>
      <c r="I5679" s="1">
        <v>0</v>
      </c>
      <c r="J5679" s="1">
        <v>0</v>
      </c>
      <c r="K5679" s="2">
        <v>34.0</v>
      </c>
    </row>
    <row r="5680" spans="1:12">
      <c r="A5680" s="3" t="s">
        <v>5800</v>
      </c>
      <c r="B5680" s="3" t="s">
        <v>5808</v>
      </c>
      <c r="C5680" s="3"/>
      <c r="D5680" s="3"/>
      <c r="E5680" s="2" t="str">
        <f>HYPERLINK("https://old.ukr-mobil.com/zaryadnoe_ustrojstvo_lifepo4_48v_3a_shteker_5_5_2_5_vyhodnoe_napryazhenie_58_4v_16s_s_ventelyatorom_10004287", "Перейти")</f>
        <v>Перейти</v>
      </c>
      <c r="F5680" s="2">
        <v>10004287</v>
      </c>
      <c r="G5680" s="4" t="s">
        <v>5859</v>
      </c>
      <c r="H5680" s="1">
        <v>0</v>
      </c>
      <c r="I5680" s="1">
        <v>0</v>
      </c>
      <c r="J5680" s="1">
        <v>0</v>
      </c>
      <c r="K5680" s="2">
        <v>16.0</v>
      </c>
    </row>
    <row r="5681" spans="1:12">
      <c r="A5681" s="3" t="s">
        <v>5800</v>
      </c>
      <c r="B5681" s="3" t="s">
        <v>5808</v>
      </c>
      <c r="C5681" s="3"/>
      <c r="D5681" s="3"/>
      <c r="E5681" s="2" t="str">
        <f>HYPERLINK("https://old.ukr-mobil.com/zaryadnoe_ustrojstvo_lifepo4_48v_5a_shteker_5_5_2_5_vyhodnoe_napryazhenie_58_4v_16s_s_ventelyatorom_10004286", "Перейти")</f>
        <v>Перейти</v>
      </c>
      <c r="F5681" s="2">
        <v>10004286</v>
      </c>
      <c r="G5681" s="4" t="s">
        <v>5860</v>
      </c>
      <c r="H5681" s="1">
        <v>0</v>
      </c>
      <c r="I5681" s="1">
        <v>0</v>
      </c>
      <c r="J5681" s="1">
        <v>0</v>
      </c>
      <c r="K5681" s="2">
        <v>22.0</v>
      </c>
    </row>
    <row r="5682" spans="1:12">
      <c r="A5682" s="3" t="s">
        <v>5800</v>
      </c>
      <c r="B5682" s="3" t="s">
        <v>5861</v>
      </c>
      <c r="C5682" s="3"/>
      <c r="D5682" s="3"/>
      <c r="E5682" s="2" t="str">
        <f>HYPERLINK("https://old.ukr-mobil.com/index.php?route=product&amp;product_id=10004801", "Перейти")</f>
        <v>Перейти</v>
      </c>
      <c r="F5682" s="2">
        <v>10004801</v>
      </c>
      <c r="G5682" s="4" t="s">
        <v>5862</v>
      </c>
      <c r="H5682" s="1">
        <v>29</v>
      </c>
      <c r="I5682" s="1">
        <v>0</v>
      </c>
      <c r="J5682" s="1">
        <v>0</v>
      </c>
      <c r="K5682" s="2">
        <v>16.0</v>
      </c>
    </row>
    <row r="5683" spans="1:12">
      <c r="A5683" s="3" t="s">
        <v>5800</v>
      </c>
      <c r="B5683" s="3" t="s">
        <v>5861</v>
      </c>
      <c r="C5683" s="3"/>
      <c r="D5683" s="3"/>
      <c r="E5683" s="2" t="str">
        <f>HYPERLINK("https://old.ukr-mobil.com/index.php?route=product&amp;product_id=10004802", "Перейти")</f>
        <v>Перейти</v>
      </c>
      <c r="F5683" s="2">
        <v>10004802</v>
      </c>
      <c r="G5683" s="4" t="s">
        <v>5863</v>
      </c>
      <c r="H5683" s="1">
        <v>3</v>
      </c>
      <c r="I5683" s="1">
        <v>0</v>
      </c>
      <c r="J5683" s="1">
        <v>0</v>
      </c>
      <c r="K5683" s="2">
        <v>14.8</v>
      </c>
    </row>
    <row r="5684" spans="1:12">
      <c r="A5684" s="3" t="s">
        <v>5800</v>
      </c>
      <c r="B5684" s="3" t="s">
        <v>5861</v>
      </c>
      <c r="C5684" s="3"/>
      <c r="D5684" s="3"/>
      <c r="E5684" s="2" t="str">
        <f>HYPERLINK("https://old.ukr-mobil.com/index.php?route=product&amp;product_id=10004872", "Перейти")</f>
        <v>Перейти</v>
      </c>
      <c r="F5684" s="2">
        <v>10004872</v>
      </c>
      <c r="G5684" s="4" t="s">
        <v>5864</v>
      </c>
      <c r="H5684" s="1">
        <v>17</v>
      </c>
      <c r="I5684" s="1">
        <v>1</v>
      </c>
      <c r="J5684" s="1">
        <v>1</v>
      </c>
      <c r="K5684" s="2">
        <v>29.79</v>
      </c>
    </row>
    <row r="5685" spans="1:12">
      <c r="A5685" s="3" t="s">
        <v>5800</v>
      </c>
      <c r="B5685" s="3" t="s">
        <v>5861</v>
      </c>
      <c r="C5685" s="3"/>
      <c r="D5685" s="3"/>
      <c r="E5685" s="2" t="str">
        <f>HYPERLINK("https://old.ukr-mobil.com/index.php?route=product&amp;product_id=10004803", "Перейти")</f>
        <v>Перейти</v>
      </c>
      <c r="F5685" s="2">
        <v>10004803</v>
      </c>
      <c r="G5685" s="4" t="s">
        <v>5865</v>
      </c>
      <c r="H5685" s="1">
        <v>10</v>
      </c>
      <c r="I5685" s="1">
        <v>0</v>
      </c>
      <c r="J5685" s="1">
        <v>0</v>
      </c>
      <c r="K5685" s="2">
        <v>45.45</v>
      </c>
    </row>
    <row r="5686" spans="1:12">
      <c r="A5686" s="3" t="s">
        <v>5800</v>
      </c>
      <c r="B5686" s="3" t="s">
        <v>5861</v>
      </c>
      <c r="C5686" s="3"/>
      <c r="D5686" s="3"/>
      <c r="E5686" s="2" t="str">
        <f>HYPERLINK("https://old.ukr-mobil.com/index.php?route=product&amp;product_id=10004870", "Перейти")</f>
        <v>Перейти</v>
      </c>
      <c r="F5686" s="2">
        <v>10004870</v>
      </c>
      <c r="G5686" s="4" t="s">
        <v>5866</v>
      </c>
      <c r="H5686" s="1">
        <v>0</v>
      </c>
      <c r="I5686" s="1">
        <v>0</v>
      </c>
      <c r="J5686" s="1">
        <v>0</v>
      </c>
      <c r="K5686" s="2">
        <v>4.79</v>
      </c>
    </row>
    <row r="5687" spans="1:12">
      <c r="A5687" s="3" t="s">
        <v>5800</v>
      </c>
      <c r="B5687" s="3" t="s">
        <v>5861</v>
      </c>
      <c r="C5687" s="3"/>
      <c r="D5687" s="3"/>
      <c r="E5687" s="2" t="str">
        <f>HYPERLINK("https://old.ukr-mobil.com/index.php?route=product&amp;product_id=10004816", "Перейти")</f>
        <v>Перейти</v>
      </c>
      <c r="F5687" s="2">
        <v>10004816</v>
      </c>
      <c r="G5687" s="4" t="s">
        <v>5867</v>
      </c>
      <c r="H5687" s="1">
        <v>18</v>
      </c>
      <c r="I5687" s="1">
        <v>0</v>
      </c>
      <c r="J5687" s="1">
        <v>0</v>
      </c>
      <c r="K5687" s="2">
        <v>7.5</v>
      </c>
    </row>
    <row r="5688" spans="1:12">
      <c r="A5688" s="3" t="s">
        <v>5800</v>
      </c>
      <c r="B5688" s="3" t="s">
        <v>5861</v>
      </c>
      <c r="C5688" s="3"/>
      <c r="D5688" s="3"/>
      <c r="E5688" s="2" t="str">
        <f>HYPERLINK("https://old.ukr-mobil.com/index.php?route=product&amp;product_id=10004815", "Перейти")</f>
        <v>Перейти</v>
      </c>
      <c r="F5688" s="2">
        <v>10004815</v>
      </c>
      <c r="G5688" s="4" t="s">
        <v>5868</v>
      </c>
      <c r="H5688" s="1">
        <v>21</v>
      </c>
      <c r="I5688" s="1">
        <v>0</v>
      </c>
      <c r="J5688" s="1">
        <v>0</v>
      </c>
      <c r="K5688" s="2">
        <v>7.5</v>
      </c>
    </row>
    <row r="5689" spans="1:12">
      <c r="A5689" s="3" t="s">
        <v>5800</v>
      </c>
      <c r="B5689" s="3" t="s">
        <v>5869</v>
      </c>
      <c r="C5689" s="3"/>
      <c r="D5689" s="3"/>
      <c r="E5689" s="2" t="str">
        <f>HYPERLINK("https://old.ukr-mobil.com/index.php?route=product&amp;product_id=10005786", "Перейти")</f>
        <v>Перейти</v>
      </c>
      <c r="F5689" s="2">
        <v>10005786</v>
      </c>
      <c r="G5689" s="4" t="s">
        <v>5870</v>
      </c>
      <c r="H5689" s="1">
        <v>20</v>
      </c>
      <c r="I5689" s="1">
        <v>0</v>
      </c>
      <c r="J5689" s="1">
        <v>0</v>
      </c>
      <c r="K5689" s="2">
        <v>204.0</v>
      </c>
    </row>
    <row r="5690" spans="1:12">
      <c r="A5690" s="3" t="s">
        <v>5800</v>
      </c>
      <c r="B5690" s="3" t="s">
        <v>5869</v>
      </c>
      <c r="C5690" s="3"/>
      <c r="D5690" s="3"/>
      <c r="E5690" s="2" t="str">
        <f>HYPERLINK("https://old.ukr-mobil.com/index.php?route=product&amp;product_id=10004754", "Перейти")</f>
        <v>Перейти</v>
      </c>
      <c r="F5690" s="2">
        <v>10004754</v>
      </c>
      <c r="G5690" s="4" t="s">
        <v>5871</v>
      </c>
      <c r="H5690" s="1">
        <v>15</v>
      </c>
      <c r="I5690" s="1">
        <v>0</v>
      </c>
      <c r="J5690" s="1">
        <v>0</v>
      </c>
      <c r="K5690" s="2">
        <v>13.0</v>
      </c>
    </row>
    <row r="5691" spans="1:12">
      <c r="A5691" s="3" t="s">
        <v>5800</v>
      </c>
      <c r="B5691" s="3" t="s">
        <v>5869</v>
      </c>
      <c r="C5691" s="3"/>
      <c r="D5691" s="3"/>
      <c r="E5691" s="2" t="str">
        <f>HYPERLINK("https://old.ukr-mobil.com/index.php?route=product&amp;product_id=10004811", "Перейти")</f>
        <v>Перейти</v>
      </c>
      <c r="F5691" s="2">
        <v>10004811</v>
      </c>
      <c r="G5691" s="4" t="s">
        <v>5872</v>
      </c>
      <c r="H5691" s="1">
        <v>0</v>
      </c>
      <c r="I5691" s="1">
        <v>0</v>
      </c>
      <c r="J5691" s="1">
        <v>0</v>
      </c>
      <c r="K5691" s="2">
        <v>12.0</v>
      </c>
    </row>
    <row r="5692" spans="1:12">
      <c r="A5692" s="3" t="s">
        <v>5800</v>
      </c>
      <c r="B5692" s="3" t="s">
        <v>5869</v>
      </c>
      <c r="C5692" s="3"/>
      <c r="D5692" s="3"/>
      <c r="E5692" s="2" t="str">
        <f>HYPERLINK("https://old.ukr-mobil.com/index.php?route=product&amp;product_id=10004747", "Перейти")</f>
        <v>Перейти</v>
      </c>
      <c r="F5692" s="2">
        <v>10004747</v>
      </c>
      <c r="G5692" s="4" t="s">
        <v>5873</v>
      </c>
      <c r="H5692" s="1">
        <v>13</v>
      </c>
      <c r="I5692" s="1">
        <v>0</v>
      </c>
      <c r="J5692" s="1">
        <v>4</v>
      </c>
      <c r="K5692" s="2">
        <v>10.0</v>
      </c>
    </row>
    <row r="5693" spans="1:12">
      <c r="A5693" s="3" t="s">
        <v>5800</v>
      </c>
      <c r="B5693" s="3" t="s">
        <v>5869</v>
      </c>
      <c r="C5693" s="3"/>
      <c r="D5693" s="3"/>
      <c r="E5693" s="2" t="str">
        <f>HYPERLINK("https://old.ukr-mobil.com/index.php?route=product&amp;product_id=10004807", "Перейти")</f>
        <v>Перейти</v>
      </c>
      <c r="F5693" s="2">
        <v>10004807</v>
      </c>
      <c r="G5693" s="4" t="s">
        <v>5874</v>
      </c>
      <c r="H5693" s="1">
        <v>13</v>
      </c>
      <c r="I5693" s="1">
        <v>0</v>
      </c>
      <c r="J5693" s="1">
        <v>0</v>
      </c>
      <c r="K5693" s="2">
        <v>4.79</v>
      </c>
    </row>
    <row r="5694" spans="1:12">
      <c r="A5694" s="3" t="s">
        <v>5800</v>
      </c>
      <c r="B5694" s="3" t="s">
        <v>5869</v>
      </c>
      <c r="C5694" s="3"/>
      <c r="D5694" s="3"/>
      <c r="E5694" s="2" t="str">
        <f>HYPERLINK("https://old.ukr-mobil.com/index.php?route=product&amp;product_id=10004746", "Перейти")</f>
        <v>Перейти</v>
      </c>
      <c r="F5694" s="2">
        <v>10004746</v>
      </c>
      <c r="G5694" s="4" t="s">
        <v>5875</v>
      </c>
      <c r="H5694" s="1">
        <v>30</v>
      </c>
      <c r="I5694" s="1">
        <v>0</v>
      </c>
      <c r="J5694" s="1">
        <v>0</v>
      </c>
      <c r="K5694" s="2">
        <v>13.0</v>
      </c>
    </row>
    <row r="5695" spans="1:12">
      <c r="A5695" s="3" t="s">
        <v>5800</v>
      </c>
      <c r="B5695" s="3" t="s">
        <v>5869</v>
      </c>
      <c r="C5695" s="3"/>
      <c r="D5695" s="3"/>
      <c r="E5695" s="2" t="str">
        <f>HYPERLINK("https://old.ukr-mobil.com/index.php?route=product&amp;product_id=10004752", "Перейти")</f>
        <v>Перейти</v>
      </c>
      <c r="F5695" s="2">
        <v>10004752</v>
      </c>
      <c r="G5695" s="4" t="s">
        <v>5876</v>
      </c>
      <c r="H5695" s="1">
        <v>0</v>
      </c>
      <c r="I5695" s="1">
        <v>0</v>
      </c>
      <c r="J5695" s="1">
        <v>0</v>
      </c>
      <c r="K5695" s="2">
        <v>6.0</v>
      </c>
    </row>
    <row r="5696" spans="1:12">
      <c r="A5696" s="3" t="s">
        <v>5800</v>
      </c>
      <c r="B5696" s="3" t="s">
        <v>5869</v>
      </c>
      <c r="C5696" s="3"/>
      <c r="D5696" s="3"/>
      <c r="E5696" s="2" t="str">
        <f>HYPERLINK("https://old.ukr-mobil.com/index.php?route=product&amp;product_id=10004755", "Перейти")</f>
        <v>Перейти</v>
      </c>
      <c r="F5696" s="2">
        <v>10004755</v>
      </c>
      <c r="G5696" s="4" t="s">
        <v>5877</v>
      </c>
      <c r="H5696" s="1">
        <v>0</v>
      </c>
      <c r="I5696" s="1">
        <v>0</v>
      </c>
      <c r="J5696" s="1">
        <v>0</v>
      </c>
      <c r="K5696" s="2">
        <v>27.0</v>
      </c>
    </row>
    <row r="5697" spans="1:12">
      <c r="A5697" s="3" t="s">
        <v>5800</v>
      </c>
      <c r="B5697" s="3" t="s">
        <v>5869</v>
      </c>
      <c r="C5697" s="3"/>
      <c r="D5697" s="3"/>
      <c r="E5697" s="2" t="str">
        <f>HYPERLINK("https://old.ukr-mobil.com/index.php?route=product&amp;product_id=10004806", "Перейти")</f>
        <v>Перейти</v>
      </c>
      <c r="F5697" s="2">
        <v>10004806</v>
      </c>
      <c r="G5697" s="4" t="s">
        <v>5878</v>
      </c>
      <c r="H5697" s="1">
        <v>1</v>
      </c>
      <c r="I5697" s="1">
        <v>0</v>
      </c>
      <c r="J5697" s="1">
        <v>0</v>
      </c>
      <c r="K5697" s="2">
        <v>75.0</v>
      </c>
    </row>
    <row r="5698" spans="1:12">
      <c r="A5698" s="3" t="s">
        <v>5800</v>
      </c>
      <c r="B5698" s="3" t="s">
        <v>5869</v>
      </c>
      <c r="C5698" s="3"/>
      <c r="D5698" s="3"/>
      <c r="E5698" s="2" t="str">
        <f>HYPERLINK("https://old.ukr-mobil.com/index.php?route=product&amp;product_id=10004810", "Перейти")</f>
        <v>Перейти</v>
      </c>
      <c r="F5698" s="2">
        <v>10004810</v>
      </c>
      <c r="G5698" s="4" t="s">
        <v>5879</v>
      </c>
      <c r="H5698" s="1">
        <v>6</v>
      </c>
      <c r="I5698" s="1">
        <v>0</v>
      </c>
      <c r="J5698" s="1">
        <v>0</v>
      </c>
      <c r="K5698" s="2">
        <v>5.5</v>
      </c>
    </row>
    <row r="5699" spans="1:12">
      <c r="A5699" s="3" t="s">
        <v>5800</v>
      </c>
      <c r="B5699" s="3" t="s">
        <v>5869</v>
      </c>
      <c r="C5699" s="3"/>
      <c r="D5699" s="3"/>
      <c r="E5699" s="2" t="str">
        <f>HYPERLINK("https://old.ukr-mobil.com/index.php?route=product&amp;product_id=10004794", "Перейти")</f>
        <v>Перейти</v>
      </c>
      <c r="F5699" s="2">
        <v>10004794</v>
      </c>
      <c r="G5699" s="4" t="s">
        <v>5880</v>
      </c>
      <c r="H5699" s="1">
        <v>0</v>
      </c>
      <c r="I5699" s="1">
        <v>0</v>
      </c>
      <c r="J5699" s="1">
        <v>0</v>
      </c>
      <c r="K5699" s="2">
        <v>13.0</v>
      </c>
    </row>
    <row r="5700" spans="1:12">
      <c r="A5700" s="3" t="s">
        <v>5800</v>
      </c>
      <c r="B5700" s="3" t="s">
        <v>5869</v>
      </c>
      <c r="C5700" s="3"/>
      <c r="D5700" s="3"/>
      <c r="E5700" s="2" t="str">
        <f>HYPERLINK("https://old.ukr-mobil.com/index.php?route=product&amp;product_id=10004812", "Перейти")</f>
        <v>Перейти</v>
      </c>
      <c r="F5700" s="2">
        <v>10004812</v>
      </c>
      <c r="G5700" s="4" t="s">
        <v>5881</v>
      </c>
      <c r="H5700" s="1">
        <v>12</v>
      </c>
      <c r="I5700" s="1">
        <v>1</v>
      </c>
      <c r="J5700" s="1">
        <v>8</v>
      </c>
      <c r="K5700" s="2">
        <v>5.0</v>
      </c>
    </row>
    <row r="5701" spans="1:12">
      <c r="A5701" s="3" t="s">
        <v>5800</v>
      </c>
      <c r="B5701" s="3" t="s">
        <v>5869</v>
      </c>
      <c r="C5701" s="3"/>
      <c r="D5701" s="3"/>
      <c r="E5701" s="2" t="str">
        <f>HYPERLINK("https://old.ukr-mobil.com/index.php?route=product&amp;product_id=10004793", "Перейти")</f>
        <v>Перейти</v>
      </c>
      <c r="F5701" s="2">
        <v>10004793</v>
      </c>
      <c r="G5701" s="4" t="s">
        <v>5882</v>
      </c>
      <c r="H5701" s="1">
        <v>18</v>
      </c>
      <c r="I5701" s="1">
        <v>0</v>
      </c>
      <c r="J5701" s="1">
        <v>0</v>
      </c>
      <c r="K5701" s="2">
        <v>10.0</v>
      </c>
    </row>
    <row r="5702" spans="1:12">
      <c r="A5702" s="3" t="s">
        <v>5800</v>
      </c>
      <c r="B5702" s="3" t="s">
        <v>5869</v>
      </c>
      <c r="C5702" s="3"/>
      <c r="D5702" s="3"/>
      <c r="E5702" s="2" t="str">
        <f>HYPERLINK("https://old.ukr-mobil.com/index.php?route=product&amp;product_id=10004862", "Перейти")</f>
        <v>Перейти</v>
      </c>
      <c r="F5702" s="2">
        <v>10004862</v>
      </c>
      <c r="G5702" s="4" t="s">
        <v>5883</v>
      </c>
      <c r="H5702" s="1">
        <v>9</v>
      </c>
      <c r="I5702" s="1">
        <v>0</v>
      </c>
      <c r="J5702" s="1">
        <v>0</v>
      </c>
      <c r="K5702" s="2">
        <v>15.15</v>
      </c>
    </row>
    <row r="5703" spans="1:12">
      <c r="A5703" s="3" t="s">
        <v>5800</v>
      </c>
      <c r="B5703" s="3" t="s">
        <v>5869</v>
      </c>
      <c r="C5703" s="3"/>
      <c r="D5703" s="3"/>
      <c r="E5703" s="2" t="str">
        <f>HYPERLINK("https://old.ukr-mobil.com/index.php?route=product&amp;product_id=10004813", "Перейти")</f>
        <v>Перейти</v>
      </c>
      <c r="F5703" s="2">
        <v>10004813</v>
      </c>
      <c r="G5703" s="4" t="s">
        <v>5884</v>
      </c>
      <c r="H5703" s="1">
        <v>4</v>
      </c>
      <c r="I5703" s="1">
        <v>0</v>
      </c>
      <c r="J5703" s="1">
        <v>0</v>
      </c>
      <c r="K5703" s="2">
        <v>34.0</v>
      </c>
    </row>
    <row r="5704" spans="1:12">
      <c r="A5704" s="3" t="s">
        <v>5800</v>
      </c>
      <c r="B5704" s="3" t="s">
        <v>5869</v>
      </c>
      <c r="C5704" s="3"/>
      <c r="D5704" s="3"/>
      <c r="E5704" s="2" t="str">
        <f>HYPERLINK("https://old.ukr-mobil.com/index.php?route=product&amp;product_id=10004809", "Перейти")</f>
        <v>Перейти</v>
      </c>
      <c r="F5704" s="2">
        <v>10004809</v>
      </c>
      <c r="G5704" s="4" t="s">
        <v>5885</v>
      </c>
      <c r="H5704" s="1">
        <v>19</v>
      </c>
      <c r="I5704" s="1">
        <v>0</v>
      </c>
      <c r="J5704" s="1">
        <v>0</v>
      </c>
      <c r="K5704" s="2">
        <v>7.57</v>
      </c>
    </row>
    <row r="5705" spans="1:12">
      <c r="A5705" s="3" t="s">
        <v>5800</v>
      </c>
      <c r="B5705" s="3" t="s">
        <v>5869</v>
      </c>
      <c r="C5705" s="3"/>
      <c r="D5705" s="3"/>
      <c r="E5705" s="2" t="str">
        <f>HYPERLINK("https://old.ukr-mobil.com/index.php?route=product&amp;product_id=10004808", "Перейти")</f>
        <v>Перейти</v>
      </c>
      <c r="F5705" s="2">
        <v>10004808</v>
      </c>
      <c r="G5705" s="4" t="s">
        <v>5886</v>
      </c>
      <c r="H5705" s="1">
        <v>0</v>
      </c>
      <c r="I5705" s="1">
        <v>0</v>
      </c>
      <c r="J5705" s="1">
        <v>0</v>
      </c>
      <c r="K5705" s="2">
        <v>6.3</v>
      </c>
    </row>
    <row r="5706" spans="1:12">
      <c r="A5706" s="3" t="s">
        <v>5800</v>
      </c>
      <c r="B5706" s="3" t="s">
        <v>5869</v>
      </c>
      <c r="C5706" s="3"/>
      <c r="D5706" s="3"/>
      <c r="E5706" s="2" t="str">
        <f>HYPERLINK("https://old.ukr-mobil.com/index.php?route=product&amp;product_id=10004792", "Перейти")</f>
        <v>Перейти</v>
      </c>
      <c r="F5706" s="2">
        <v>10004792</v>
      </c>
      <c r="G5706" s="4" t="s">
        <v>5887</v>
      </c>
      <c r="H5706" s="1">
        <v>0</v>
      </c>
      <c r="I5706" s="1">
        <v>0</v>
      </c>
      <c r="J5706" s="1">
        <v>0</v>
      </c>
      <c r="K5706" s="2">
        <v>5.0</v>
      </c>
    </row>
    <row r="5707" spans="1:12">
      <c r="A5707" s="3" t="s">
        <v>5800</v>
      </c>
      <c r="B5707" s="3" t="s">
        <v>5869</v>
      </c>
      <c r="C5707" s="3"/>
      <c r="D5707" s="3"/>
      <c r="E5707" s="2" t="str">
        <f>HYPERLINK("https://old.ukr-mobil.com/zhestkaya_beskamernaya_shina_10x2_5_dlya_ehlektrosamokata_ninebot_max_g30_10004804", "Перейти")</f>
        <v>Перейти</v>
      </c>
      <c r="F5707" s="2">
        <v>10004804</v>
      </c>
      <c r="G5707" s="4" t="s">
        <v>5888</v>
      </c>
      <c r="H5707" s="1">
        <v>1</v>
      </c>
      <c r="I5707" s="1">
        <v>0</v>
      </c>
      <c r="J5707" s="1">
        <v>0</v>
      </c>
      <c r="K5707" s="2">
        <v>14.0</v>
      </c>
    </row>
    <row r="5708" spans="1:12">
      <c r="A5708" s="3" t="s">
        <v>5800</v>
      </c>
      <c r="B5708" s="3" t="s">
        <v>5889</v>
      </c>
      <c r="C5708" s="3"/>
      <c r="D5708" s="3"/>
      <c r="E5708" s="2" t="str">
        <f>HYPERLINK("https://old.ukr-mobil.com/bms_plata_akkumulyatora_xiaomi_m365_10003693", "Перейти")</f>
        <v>Перейти</v>
      </c>
      <c r="F5708" s="2">
        <v>10003693</v>
      </c>
      <c r="G5708" s="4" t="s">
        <v>5890</v>
      </c>
      <c r="H5708" s="1">
        <v>1</v>
      </c>
      <c r="I5708" s="1">
        <v>0</v>
      </c>
      <c r="J5708" s="1">
        <v>0</v>
      </c>
      <c r="K5708" s="2">
        <v>42.0</v>
      </c>
    </row>
    <row r="5709" spans="1:12">
      <c r="A5709" s="3" t="s">
        <v>5800</v>
      </c>
      <c r="B5709" s="3" t="s">
        <v>5889</v>
      </c>
      <c r="C5709" s="3"/>
      <c r="D5709" s="3"/>
      <c r="E5709" s="2" t="str">
        <f>HYPERLINK("https://old.ukr-mobil.com/bms_plata_akkumulyatora_xiaomi_mi_scooter_pro_mi_scooter_pro_2_10003694", "Перейти")</f>
        <v>Перейти</v>
      </c>
      <c r="F5709" s="2">
        <v>10003694</v>
      </c>
      <c r="G5709" s="4" t="s">
        <v>5891</v>
      </c>
      <c r="H5709" s="1">
        <v>21</v>
      </c>
      <c r="I5709" s="1">
        <v>0</v>
      </c>
      <c r="J5709" s="1">
        <v>1</v>
      </c>
      <c r="K5709" s="2">
        <v>56.0</v>
      </c>
    </row>
    <row r="5710" spans="1:12">
      <c r="A5710" s="3" t="s">
        <v>5800</v>
      </c>
      <c r="B5710" s="3" t="s">
        <v>5889</v>
      </c>
      <c r="C5710" s="3"/>
      <c r="D5710" s="3"/>
      <c r="E5710" s="2" t="str">
        <f>HYPERLINK("https://old.ukr-mobil.com/akkumulyator_dlya_ehlektrosamokata_xiaomi_m365_1s_na_elementah_18650_ot_eve_7_8_ah_36v_10004321", "Перейти")</f>
        <v>Перейти</v>
      </c>
      <c r="F5710" s="2">
        <v>10004321</v>
      </c>
      <c r="G5710" s="4" t="s">
        <v>5892</v>
      </c>
      <c r="H5710" s="1">
        <v>19</v>
      </c>
      <c r="I5710" s="1">
        <v>0</v>
      </c>
      <c r="J5710" s="1">
        <v>0</v>
      </c>
      <c r="K5710" s="2">
        <v>135.0</v>
      </c>
    </row>
    <row r="5711" spans="1:12">
      <c r="A5711" s="3" t="s">
        <v>5800</v>
      </c>
      <c r="B5711" s="3" t="s">
        <v>5889</v>
      </c>
      <c r="C5711" s="3"/>
      <c r="D5711" s="3"/>
      <c r="E5711" s="2" t="str">
        <f>HYPERLINK("https://old.ukr-mobil.com/akkumulyator_dlya_ehlektrosamokata_xiaomi_m365_1s_na_elementah_18650_ot_lg_7_8_ah_36v_10004320", "Перейти")</f>
        <v>Перейти</v>
      </c>
      <c r="F5711" s="2">
        <v>10004320</v>
      </c>
      <c r="G5711" s="4" t="s">
        <v>5893</v>
      </c>
      <c r="H5711" s="1">
        <v>13</v>
      </c>
      <c r="I5711" s="1">
        <v>0</v>
      </c>
      <c r="J5711" s="1">
        <v>0</v>
      </c>
      <c r="K5711" s="2">
        <v>160.0</v>
      </c>
    </row>
    <row r="5712" spans="1:12">
      <c r="A5712" s="3" t="s">
        <v>5800</v>
      </c>
      <c r="B5712" s="3" t="s">
        <v>5889</v>
      </c>
      <c r="C5712" s="3"/>
      <c r="D5712" s="3"/>
      <c r="E5712" s="2" t="str">
        <f>HYPERLINK("https://old.ukr-mobil.com/akkumulyator_dlya_ehlektrosamokata_xiaomi_mi_pro_mi_pro_2_12_8_ah_36v_10004319", "Перейти")</f>
        <v>Перейти</v>
      </c>
      <c r="F5712" s="2">
        <v>10004319</v>
      </c>
      <c r="G5712" s="4" t="s">
        <v>5894</v>
      </c>
      <c r="H5712" s="1">
        <v>0</v>
      </c>
      <c r="I5712" s="1">
        <v>0</v>
      </c>
      <c r="J5712" s="1">
        <v>0</v>
      </c>
      <c r="K5712" s="2">
        <v>200.0</v>
      </c>
    </row>
    <row r="5713" spans="1:12">
      <c r="A5713" s="3" t="s">
        <v>5800</v>
      </c>
      <c r="B5713" s="3" t="s">
        <v>5889</v>
      </c>
      <c r="C5713" s="3"/>
      <c r="D5713" s="3"/>
      <c r="E5713" s="2" t="str">
        <f>HYPERLINK("https://old.ukr-mobil.com/antiprokolnaya_shina_8_5_2_0_dlya_ehlektrosamokatov_xiaomi_10003926", "Перейти")</f>
        <v>Перейти</v>
      </c>
      <c r="F5713" s="2">
        <v>10003926</v>
      </c>
      <c r="G5713" s="4" t="s">
        <v>5895</v>
      </c>
      <c r="H5713" s="1">
        <v>89</v>
      </c>
      <c r="I5713" s="1">
        <v>0</v>
      </c>
      <c r="J5713" s="1">
        <v>0</v>
      </c>
      <c r="K5713" s="2">
        <v>8.0</v>
      </c>
    </row>
    <row r="5714" spans="1:12">
      <c r="A5714" s="3" t="s">
        <v>5800</v>
      </c>
      <c r="B5714" s="3" t="s">
        <v>5889</v>
      </c>
      <c r="C5714" s="3"/>
      <c r="D5714" s="3"/>
      <c r="E5714" s="2" t="str">
        <f>HYPERLINK("https://old.ukr-mobil.com/bokovye_otrazhateli_koles_dlya_ehlektrosamokata_xiaomi_mi_pro_2_1s_10003946", "Перейти")</f>
        <v>Перейти</v>
      </c>
      <c r="F5714" s="2">
        <v>10003946</v>
      </c>
      <c r="G5714" s="4" t="s">
        <v>5896</v>
      </c>
      <c r="H5714" s="1">
        <v>12</v>
      </c>
      <c r="I5714" s="1">
        <v>0</v>
      </c>
      <c r="J5714" s="1">
        <v>3</v>
      </c>
      <c r="K5714" s="2">
        <v>8.0</v>
      </c>
    </row>
    <row r="5715" spans="1:12">
      <c r="A5715" s="3" t="s">
        <v>5800</v>
      </c>
      <c r="B5715" s="3" t="s">
        <v>5889</v>
      </c>
      <c r="C5715" s="3"/>
      <c r="D5715" s="3"/>
      <c r="E5715" s="2" t="str">
        <f>HYPERLINK("https://old.ukr-mobil.com/vint_krepleniya_zadnego_kolesa_xiaomi_m365_pro_1s_pro_2_10003933", "Перейти")</f>
        <v>Перейти</v>
      </c>
      <c r="F5715" s="2">
        <v>10003933</v>
      </c>
      <c r="G5715" s="4" t="s">
        <v>5897</v>
      </c>
      <c r="H5715" s="1">
        <v>0</v>
      </c>
      <c r="I5715" s="1">
        <v>0</v>
      </c>
      <c r="J5715" s="1">
        <v>0</v>
      </c>
      <c r="K5715" s="2">
        <v>1.75</v>
      </c>
    </row>
    <row r="5716" spans="1:12">
      <c r="A5716" s="3" t="s">
        <v>5800</v>
      </c>
      <c r="B5716" s="3" t="s">
        <v>5889</v>
      </c>
      <c r="C5716" s="3"/>
      <c r="D5716" s="3"/>
      <c r="E5716" s="2" t="str">
        <f>HYPERLINK("https://old.ukr-mobil.com/vinty_perednego_motor_kolesa_dlya_xiaomi_m365_pro_1s_pro_2_10003932", "Перейти")</f>
        <v>Перейти</v>
      </c>
      <c r="F5716" s="2">
        <v>10003932</v>
      </c>
      <c r="G5716" s="4" t="s">
        <v>5898</v>
      </c>
      <c r="H5716" s="1">
        <v>18</v>
      </c>
      <c r="I5716" s="1">
        <v>0</v>
      </c>
      <c r="J5716" s="1">
        <v>4</v>
      </c>
      <c r="K5716" s="2">
        <v>2.5</v>
      </c>
    </row>
    <row r="5717" spans="1:12">
      <c r="A5717" s="3" t="s">
        <v>5800</v>
      </c>
      <c r="B5717" s="3" t="s">
        <v>5889</v>
      </c>
      <c r="C5717" s="3"/>
      <c r="D5717" s="3"/>
      <c r="E5717" s="2" t="str">
        <f>HYPERLINK("https://old.ukr-mobil.com/vnutrennyaya_kamera_8_5_dyujmov_s_pryamym_klapanom_10003925", "Перейти")</f>
        <v>Перейти</v>
      </c>
      <c r="F5717" s="2">
        <v>10003925</v>
      </c>
      <c r="G5717" s="4" t="s">
        <v>5899</v>
      </c>
      <c r="H5717" s="1">
        <v>0</v>
      </c>
      <c r="I5717" s="1">
        <v>0</v>
      </c>
      <c r="J5717" s="1">
        <v>0</v>
      </c>
      <c r="K5717" s="2">
        <v>6.0</v>
      </c>
    </row>
    <row r="5718" spans="1:12">
      <c r="A5718" s="3" t="s">
        <v>5800</v>
      </c>
      <c r="B5718" s="3" t="s">
        <v>5889</v>
      </c>
      <c r="C5718" s="3"/>
      <c r="D5718" s="3"/>
      <c r="E5718" s="2" t="str">
        <f>HYPERLINK("https://old.ukr-mobil.com/dekorativnyj_svetovozvrashchatel_perednego_kolesa_dlya_ehlektrosamokata_xiaomi_m365_pro_10003950", "Перейти")</f>
        <v>Перейти</v>
      </c>
      <c r="F5718" s="2">
        <v>10003950</v>
      </c>
      <c r="G5718" s="4" t="s">
        <v>5900</v>
      </c>
      <c r="H5718" s="1">
        <v>4</v>
      </c>
      <c r="I5718" s="1">
        <v>0</v>
      </c>
      <c r="J5718" s="1">
        <v>1</v>
      </c>
      <c r="K5718" s="2">
        <v>1.5</v>
      </c>
    </row>
    <row r="5719" spans="1:12">
      <c r="A5719" s="3" t="s">
        <v>5800</v>
      </c>
      <c r="B5719" s="3" t="s">
        <v>5889</v>
      </c>
      <c r="C5719" s="3"/>
      <c r="D5719" s="3"/>
      <c r="E5719" s="2" t="str">
        <f>HYPERLINK("https://old.ukr-mobil.com/derzhatel_batarei_dlya_ehlektrosamokata_xiaomi_mi_electric_scooter_m365_10003778", "Перейти")</f>
        <v>Перейти</v>
      </c>
      <c r="F5719" s="2">
        <v>10003778</v>
      </c>
      <c r="G5719" s="4" t="s">
        <v>5901</v>
      </c>
      <c r="H5719" s="1">
        <v>0</v>
      </c>
      <c r="I5719" s="1">
        <v>0</v>
      </c>
      <c r="J5719" s="1">
        <v>0</v>
      </c>
      <c r="K5719" s="2">
        <v>5.36</v>
      </c>
    </row>
    <row r="5720" spans="1:12">
      <c r="A5720" s="3" t="s">
        <v>5800</v>
      </c>
      <c r="B5720" s="3" t="s">
        <v>5889</v>
      </c>
      <c r="C5720" s="3"/>
      <c r="D5720" s="3"/>
      <c r="E5720" s="2" t="str">
        <f>HYPERLINK("https://old.ukr-mobil.com/index.php?route=product&amp;product_id=10004798", "Перейти")</f>
        <v>Перейти</v>
      </c>
      <c r="F5720" s="2">
        <v>10004798</v>
      </c>
      <c r="G5720" s="4" t="s">
        <v>5902</v>
      </c>
      <c r="H5720" s="1">
        <v>11</v>
      </c>
      <c r="I5720" s="1">
        <v>0</v>
      </c>
      <c r="J5720" s="1">
        <v>0</v>
      </c>
      <c r="K5720" s="2">
        <v>11.3</v>
      </c>
    </row>
    <row r="5721" spans="1:12">
      <c r="A5721" s="3" t="s">
        <v>5800</v>
      </c>
      <c r="B5721" s="3" t="s">
        <v>5889</v>
      </c>
      <c r="C5721" s="3"/>
      <c r="D5721" s="3"/>
      <c r="E5721" s="2" t="str">
        <f>HYPERLINK("https://old.ukr-mobil.com/disk_zadnego_kolesa_s_vtulkoj_podshipnikami_dlya_ehlektrosamokata_xiaomi_m365_1s_10003916", "Перейти")</f>
        <v>Перейти</v>
      </c>
      <c r="F5721" s="2">
        <v>10003916</v>
      </c>
      <c r="G5721" s="4" t="s">
        <v>5903</v>
      </c>
      <c r="H5721" s="1">
        <v>20</v>
      </c>
      <c r="I5721" s="1">
        <v>0</v>
      </c>
      <c r="J5721" s="1">
        <v>0</v>
      </c>
      <c r="K5721" s="2">
        <v>15.0</v>
      </c>
    </row>
    <row r="5722" spans="1:12">
      <c r="A5722" s="3" t="s">
        <v>5800</v>
      </c>
      <c r="B5722" s="3" t="s">
        <v>5889</v>
      </c>
      <c r="C5722" s="3"/>
      <c r="D5722" s="3"/>
      <c r="E5722" s="2" t="str">
        <f>HYPERLINK("https://old.ukr-mobil.com/zhestkaya_shina_8_5_2_0_dlya_ehlektrosamokatov_xiaomi_10003927", "Перейти")</f>
        <v>Перейти</v>
      </c>
      <c r="F5722" s="2">
        <v>10003927</v>
      </c>
      <c r="G5722" s="4" t="s">
        <v>5904</v>
      </c>
      <c r="H5722" s="1">
        <v>13</v>
      </c>
      <c r="I5722" s="1">
        <v>0</v>
      </c>
      <c r="J5722" s="1">
        <v>0</v>
      </c>
      <c r="K5722" s="2">
        <v>9.4</v>
      </c>
    </row>
    <row r="5723" spans="1:12">
      <c r="A5723" s="3" t="s">
        <v>5800</v>
      </c>
      <c r="B5723" s="3" t="s">
        <v>5889</v>
      </c>
      <c r="C5723" s="3"/>
      <c r="D5723" s="3"/>
      <c r="E5723" s="2" t="str">
        <f>HYPERLINK("https://old.ukr-mobil.com/zadnee_krylo_s_kryuchkom_dlya_zadnego_fonarya_ehlektrosamokata_xiaomi_m365_pro_10003947", "Перейти")</f>
        <v>Перейти</v>
      </c>
      <c r="F5723" s="2">
        <v>10003947</v>
      </c>
      <c r="G5723" s="4" t="s">
        <v>5905</v>
      </c>
      <c r="H5723" s="1">
        <v>29</v>
      </c>
      <c r="I5723" s="1">
        <v>4</v>
      </c>
      <c r="J5723" s="1">
        <v>0</v>
      </c>
      <c r="K5723" s="2">
        <v>8.5</v>
      </c>
    </row>
    <row r="5724" spans="1:12">
      <c r="A5724" s="3" t="s">
        <v>5800</v>
      </c>
      <c r="B5724" s="3" t="s">
        <v>5889</v>
      </c>
      <c r="C5724" s="3"/>
      <c r="D5724" s="3"/>
      <c r="E5724" s="2" t="str">
        <f>HYPERLINK("https://old.ukr-mobil.com/zadnij_fonar_stop-signal_dlya_ehlektrosamokata_xiaomi_m365_m365_pro_10003790", "Перейти")</f>
        <v>Перейти</v>
      </c>
      <c r="F5724" s="2">
        <v>10003790</v>
      </c>
      <c r="G5724" s="4" t="s">
        <v>5906</v>
      </c>
      <c r="H5724" s="1">
        <v>1</v>
      </c>
      <c r="I5724" s="1">
        <v>0</v>
      </c>
      <c r="J5724" s="1">
        <v>0</v>
      </c>
      <c r="K5724" s="2">
        <v>4.5</v>
      </c>
    </row>
    <row r="5725" spans="1:12">
      <c r="A5725" s="3" t="s">
        <v>5800</v>
      </c>
      <c r="B5725" s="3" t="s">
        <v>5889</v>
      </c>
      <c r="C5725" s="3"/>
      <c r="D5725" s="3"/>
      <c r="E5725" s="2" t="str">
        <f>HYPERLINK("https://old.ukr-mobil.com/zadnij_fonar_stop-signal_dlya_ehlektrosamokata_xiaomi_mi_1s_mi_pro_2_10003791", "Перейти")</f>
        <v>Перейти</v>
      </c>
      <c r="F5725" s="2">
        <v>10003791</v>
      </c>
      <c r="G5725" s="4" t="s">
        <v>5907</v>
      </c>
      <c r="H5725" s="1">
        <v>0</v>
      </c>
      <c r="I5725" s="1">
        <v>0</v>
      </c>
      <c r="J5725" s="1">
        <v>0</v>
      </c>
      <c r="K5725" s="2">
        <v>4.5</v>
      </c>
    </row>
    <row r="5726" spans="1:12">
      <c r="A5726" s="3" t="s">
        <v>5800</v>
      </c>
      <c r="B5726" s="3" t="s">
        <v>5889</v>
      </c>
      <c r="C5726" s="3"/>
      <c r="D5726" s="3"/>
      <c r="E5726" s="2" t="str">
        <f>HYPERLINK("https://old.ukr-mobil.com/zashchita_deki_dlya_ehlektrosamokata_xiaomi_m365_1s_10003951", "Перейти")</f>
        <v>Перейти</v>
      </c>
      <c r="F5726" s="2">
        <v>10003951</v>
      </c>
      <c r="G5726" s="4" t="s">
        <v>5908</v>
      </c>
      <c r="H5726" s="1">
        <v>25</v>
      </c>
      <c r="I5726" s="1">
        <v>0</v>
      </c>
      <c r="J5726" s="1">
        <v>4</v>
      </c>
      <c r="K5726" s="2">
        <v>5.0</v>
      </c>
    </row>
    <row r="5727" spans="1:12">
      <c r="A5727" s="3" t="s">
        <v>5800</v>
      </c>
      <c r="B5727" s="3" t="s">
        <v>5889</v>
      </c>
      <c r="C5727" s="3"/>
      <c r="D5727" s="3"/>
      <c r="E5727" s="2" t="str">
        <f>HYPERLINK("https://old.ukr-mobil.com/zashchita_deki_dlya_ehlektrosamokata_xiaomi_mi_pro_pro_2_10003952", "Перейти")</f>
        <v>Перейти</v>
      </c>
      <c r="F5727" s="2">
        <v>10003952</v>
      </c>
      <c r="G5727" s="4" t="s">
        <v>5909</v>
      </c>
      <c r="H5727" s="1">
        <v>16</v>
      </c>
      <c r="I5727" s="1">
        <v>0</v>
      </c>
      <c r="J5727" s="1">
        <v>4</v>
      </c>
      <c r="K5727" s="2">
        <v>5.0</v>
      </c>
    </row>
    <row r="5728" spans="1:12">
      <c r="A5728" s="3" t="s">
        <v>5800</v>
      </c>
      <c r="B5728" s="3" t="s">
        <v>5889</v>
      </c>
      <c r="C5728" s="3"/>
      <c r="D5728" s="3"/>
      <c r="E5728" s="2" t="str">
        <f>HYPERLINK("https://old.ukr-mobil.com/kabel_dvigatelya_dlya_xiaomi_m365_pro_pro_2_1s_10003913", "Перейти")</f>
        <v>Перейти</v>
      </c>
      <c r="F5728" s="2">
        <v>10003913</v>
      </c>
      <c r="G5728" s="4" t="s">
        <v>5910</v>
      </c>
      <c r="H5728" s="1">
        <v>0</v>
      </c>
      <c r="I5728" s="1">
        <v>0</v>
      </c>
      <c r="J5728" s="1">
        <v>0</v>
      </c>
      <c r="K5728" s="2">
        <v>5.0</v>
      </c>
    </row>
    <row r="5729" spans="1:12">
      <c r="A5729" s="3" t="s">
        <v>5800</v>
      </c>
      <c r="B5729" s="3" t="s">
        <v>5889</v>
      </c>
      <c r="C5729" s="3"/>
      <c r="D5729" s="3"/>
      <c r="E5729" s="2" t="str">
        <f>HYPERLINK("https://old.ukr-mobil.com/kabel_pitaniya_i_peredachi_dannyh_dlya_h_aom_m365_pro_pro_2_1s_10003910", "Перейти")</f>
        <v>Перейти</v>
      </c>
      <c r="F5729" s="2">
        <v>10003910</v>
      </c>
      <c r="G5729" s="4" t="s">
        <v>5911</v>
      </c>
      <c r="H5729" s="1">
        <v>3</v>
      </c>
      <c r="I5729" s="1">
        <v>0</v>
      </c>
      <c r="J5729" s="1">
        <v>2</v>
      </c>
      <c r="K5729" s="2">
        <v>5.0</v>
      </c>
    </row>
    <row r="5730" spans="1:12">
      <c r="A5730" s="3" t="s">
        <v>5800</v>
      </c>
      <c r="B5730" s="3" t="s">
        <v>5889</v>
      </c>
      <c r="C5730" s="3"/>
      <c r="D5730" s="3"/>
      <c r="E5730" s="2" t="str">
        <f>HYPERLINK("https://old.ukr-mobil.com/kabel_podklyucheniya_zadnego_fonarya_dlya_xiaomi_m365_pro_10003953", "Перейти")</f>
        <v>Перейти</v>
      </c>
      <c r="F5730" s="2">
        <v>10003953</v>
      </c>
      <c r="G5730" s="4" t="s">
        <v>5912</v>
      </c>
      <c r="H5730" s="1">
        <v>22</v>
      </c>
      <c r="I5730" s="1">
        <v>0</v>
      </c>
      <c r="J5730" s="1">
        <v>4</v>
      </c>
      <c r="K5730" s="2">
        <v>2.9</v>
      </c>
    </row>
    <row r="5731" spans="1:12">
      <c r="A5731" s="3" t="s">
        <v>5800</v>
      </c>
      <c r="B5731" s="3" t="s">
        <v>5889</v>
      </c>
      <c r="C5731" s="3"/>
      <c r="D5731" s="3"/>
      <c r="E5731" s="2" t="str">
        <f>HYPERLINK("https://old.ukr-mobil.com/koleso_zadnee_s_antiprokolnoj_shinoj_s_vtulkoj_podshipnikami_dlya_xiaomi_mi_pro_pro_2_red_10003924", "Перейти")</f>
        <v>Перейти</v>
      </c>
      <c r="F5731" s="2">
        <v>10003924</v>
      </c>
      <c r="G5731" s="4" t="s">
        <v>5913</v>
      </c>
      <c r="H5731" s="1">
        <v>0</v>
      </c>
      <c r="I5731" s="1">
        <v>0</v>
      </c>
      <c r="J5731" s="1">
        <v>0</v>
      </c>
      <c r="K5731" s="2">
        <v>22.0</v>
      </c>
    </row>
    <row r="5732" spans="1:12">
      <c r="A5732" s="3" t="s">
        <v>5800</v>
      </c>
      <c r="B5732" s="3" t="s">
        <v>5889</v>
      </c>
      <c r="C5732" s="3"/>
      <c r="D5732" s="3"/>
      <c r="E5732" s="2" t="str">
        <f>HYPERLINK("https://old.ukr-mobil.com/koleso_zadnee_s_vnutrennej_kameroj_s_vtulkoj_podshipnikami_dlya_xiaomi_m365_1s_10003917", "Перейти")</f>
        <v>Перейти</v>
      </c>
      <c r="F5732" s="2">
        <v>10003917</v>
      </c>
      <c r="G5732" s="4" t="s">
        <v>5914</v>
      </c>
      <c r="H5732" s="1">
        <v>0</v>
      </c>
      <c r="I5732" s="1">
        <v>0</v>
      </c>
      <c r="J5732" s="1">
        <v>0</v>
      </c>
      <c r="K5732" s="2">
        <v>20.0</v>
      </c>
    </row>
    <row r="5733" spans="1:12">
      <c r="A5733" s="3" t="s">
        <v>5800</v>
      </c>
      <c r="B5733" s="3" t="s">
        <v>5889</v>
      </c>
      <c r="C5733" s="3"/>
      <c r="D5733" s="3"/>
      <c r="E5733" s="2" t="str">
        <f>HYPERLINK("https://old.ukr-mobil.com/koleso_zadnee_s_vnutrennej_kameroj_s_vtulkoj_podshipnikami_dlya_xiaomi_mi_pro_pro_2_10003923", "Перейти")</f>
        <v>Перейти</v>
      </c>
      <c r="F5733" s="2">
        <v>10003923</v>
      </c>
      <c r="G5733" s="4" t="s">
        <v>5915</v>
      </c>
      <c r="H5733" s="1">
        <v>0</v>
      </c>
      <c r="I5733" s="1">
        <v>0</v>
      </c>
      <c r="J5733" s="1">
        <v>0</v>
      </c>
      <c r="K5733" s="2">
        <v>21.0</v>
      </c>
    </row>
    <row r="5734" spans="1:12">
      <c r="A5734" s="3" t="s">
        <v>5800</v>
      </c>
      <c r="B5734" s="3" t="s">
        <v>5889</v>
      </c>
      <c r="C5734" s="3"/>
      <c r="D5734" s="3"/>
      <c r="E5734" s="2" t="str">
        <f>HYPERLINK("https://old.ukr-mobil.com/komplekt_materinskoj_platy_pribornoj_paneli_perednego_fonarya_drosselnoj_zaslonki_dlya_xiaomi_m365_10003954", "Перейти")</f>
        <v>Перейти</v>
      </c>
      <c r="F5734" s="2">
        <v>10003954</v>
      </c>
      <c r="G5734" s="4" t="s">
        <v>5916</v>
      </c>
      <c r="H5734" s="1">
        <v>0</v>
      </c>
      <c r="I5734" s="1">
        <v>0</v>
      </c>
      <c r="J5734" s="1">
        <v>1</v>
      </c>
      <c r="K5734" s="2">
        <v>48.0</v>
      </c>
    </row>
    <row r="5735" spans="1:12">
      <c r="A5735" s="3" t="s">
        <v>5800</v>
      </c>
      <c r="B5735" s="3" t="s">
        <v>5889</v>
      </c>
      <c r="C5735" s="3"/>
      <c r="D5735" s="3"/>
      <c r="E5735" s="2" t="str">
        <f>HYPERLINK("https://old.ukr-mobil.com/komplekt_materinskoj_platy_pribornoj_paneli_perednego_fonarya_drosselnoj_zaslonki_dlya_xiaomi_mi_pro_10003955", "Перейти")</f>
        <v>Перейти</v>
      </c>
      <c r="F5735" s="2">
        <v>10003955</v>
      </c>
      <c r="G5735" s="4" t="s">
        <v>5917</v>
      </c>
      <c r="H5735" s="1">
        <v>6</v>
      </c>
      <c r="I5735" s="1">
        <v>0</v>
      </c>
      <c r="J5735" s="1">
        <v>0</v>
      </c>
      <c r="K5735" s="2">
        <v>49.0</v>
      </c>
    </row>
    <row r="5736" spans="1:12">
      <c r="A5736" s="3" t="s">
        <v>5800</v>
      </c>
      <c r="B5736" s="3" t="s">
        <v>5889</v>
      </c>
      <c r="C5736" s="3"/>
      <c r="D5736" s="3"/>
      <c r="E5736" s="2" t="str">
        <f>HYPERLINK("https://old.ukr-mobil.com/materinskaya_plata_dlya_ehlektrosamokata_xiaomi_m365_mi_1s_10003783", "Перейти")</f>
        <v>Перейти</v>
      </c>
      <c r="F5736" s="2">
        <v>10003783</v>
      </c>
      <c r="G5736" s="4" t="s">
        <v>5918</v>
      </c>
      <c r="H5736" s="1">
        <v>0</v>
      </c>
      <c r="I5736" s="1">
        <v>0</v>
      </c>
      <c r="J5736" s="1">
        <v>0</v>
      </c>
      <c r="K5736" s="2">
        <v>42.0</v>
      </c>
    </row>
    <row r="5737" spans="1:12">
      <c r="A5737" s="3" t="s">
        <v>5800</v>
      </c>
      <c r="B5737" s="3" t="s">
        <v>5889</v>
      </c>
      <c r="C5737" s="3"/>
      <c r="D5737" s="3"/>
      <c r="E5737" s="2" t="str">
        <f>HYPERLINK("https://old.ukr-mobil.com/materinskaya_plata_dlya_ehlektrosamokata_xiaomi_mi_pro_mi_pro_2_10003784", "Перейти")</f>
        <v>Перейти</v>
      </c>
      <c r="F5737" s="2">
        <v>10003784</v>
      </c>
      <c r="G5737" s="4" t="s">
        <v>5919</v>
      </c>
      <c r="H5737" s="1">
        <v>0</v>
      </c>
      <c r="I5737" s="1">
        <v>0</v>
      </c>
      <c r="J5737" s="1">
        <v>2</v>
      </c>
      <c r="K5737" s="2">
        <v>46.0</v>
      </c>
    </row>
    <row r="5738" spans="1:12">
      <c r="A5738" s="3" t="s">
        <v>5800</v>
      </c>
      <c r="B5738" s="3" t="s">
        <v>5889</v>
      </c>
      <c r="C5738" s="3"/>
      <c r="D5738" s="3"/>
      <c r="E5738" s="2" t="str">
        <f>HYPERLINK("https://old.ukr-mobil.com/mekhanizm_skladyvaniya_rulevoj_kolonki_dlya_ehlektrosamokata_xiaomi_m365_pro_1s_pro_2_10003929", "Перейти")</f>
        <v>Перейти</v>
      </c>
      <c r="F5738" s="2">
        <v>10003929</v>
      </c>
      <c r="G5738" s="4" t="s">
        <v>5920</v>
      </c>
      <c r="H5738" s="1">
        <v>0</v>
      </c>
      <c r="I5738" s="1">
        <v>0</v>
      </c>
      <c r="J5738" s="1">
        <v>0</v>
      </c>
      <c r="K5738" s="2">
        <v>24.0</v>
      </c>
    </row>
    <row r="5739" spans="1:12">
      <c r="A5739" s="3" t="s">
        <v>5800</v>
      </c>
      <c r="B5739" s="3" t="s">
        <v>5889</v>
      </c>
      <c r="C5739" s="3"/>
      <c r="D5739" s="3"/>
      <c r="E5739" s="2" t="str">
        <f>HYPERLINK("https://old.ukr-mobil.com/motor_koleso_dlya_xiaomi_m365_1s_350w_s_beskamernoj_pokryshkoj_10003912", "Перейти")</f>
        <v>Перейти</v>
      </c>
      <c r="F5739" s="2">
        <v>10003912</v>
      </c>
      <c r="G5739" s="4" t="s">
        <v>5921</v>
      </c>
      <c r="H5739" s="1">
        <v>0</v>
      </c>
      <c r="I5739" s="1">
        <v>0</v>
      </c>
      <c r="J5739" s="1">
        <v>0</v>
      </c>
      <c r="K5739" s="2">
        <v>61.0</v>
      </c>
    </row>
    <row r="5740" spans="1:12">
      <c r="A5740" s="3" t="s">
        <v>5800</v>
      </c>
      <c r="B5740" s="3" t="s">
        <v>5889</v>
      </c>
      <c r="C5740" s="3"/>
      <c r="D5740" s="3"/>
      <c r="E5740" s="2" t="str">
        <f>HYPERLINK("https://old.ukr-mobil.com/motor_koleso_dlya_xiaomi_m365_1s_350w_s_pokryshkoj_10003911", "Перейти")</f>
        <v>Перейти</v>
      </c>
      <c r="F5740" s="2">
        <v>10003911</v>
      </c>
      <c r="G5740" s="4" t="s">
        <v>5922</v>
      </c>
      <c r="H5740" s="1">
        <v>0</v>
      </c>
      <c r="I5740" s="1">
        <v>0</v>
      </c>
      <c r="J5740" s="1">
        <v>0</v>
      </c>
      <c r="K5740" s="2">
        <v>61.0</v>
      </c>
    </row>
    <row r="5741" spans="1:12">
      <c r="A5741" s="3" t="s">
        <v>5800</v>
      </c>
      <c r="B5741" s="3" t="s">
        <v>5889</v>
      </c>
      <c r="C5741" s="3"/>
      <c r="D5741" s="3"/>
      <c r="E5741" s="2" t="str">
        <f>HYPERLINK("https://old.ukr-mobil.com/motor_koleso_dlya_xiaomi_mi_pro_pro_2_350w_s_beskamernoj_pokryshkoj_10003915", "Перейти")</f>
        <v>Перейти</v>
      </c>
      <c r="F5741" s="2">
        <v>10003915</v>
      </c>
      <c r="G5741" s="4" t="s">
        <v>5923</v>
      </c>
      <c r="H5741" s="1">
        <v>8</v>
      </c>
      <c r="I5741" s="1">
        <v>0</v>
      </c>
      <c r="J5741" s="1">
        <v>0</v>
      </c>
      <c r="K5741" s="2">
        <v>59.0</v>
      </c>
    </row>
    <row r="5742" spans="1:12">
      <c r="A5742" s="3" t="s">
        <v>5800</v>
      </c>
      <c r="B5742" s="3" t="s">
        <v>5889</v>
      </c>
      <c r="C5742" s="3"/>
      <c r="D5742" s="3"/>
      <c r="E5742" s="2" t="str">
        <f>HYPERLINK("https://old.ukr-mobil.com/motor_koleso_dlya_xiaomi_mi_pro_pro_2_350w_s_pokryshkoj_10003914", "Перейти")</f>
        <v>Перейти</v>
      </c>
      <c r="F5742" s="2">
        <v>10003914</v>
      </c>
      <c r="G5742" s="4" t="s">
        <v>5924</v>
      </c>
      <c r="H5742" s="1">
        <v>8</v>
      </c>
      <c r="I5742" s="1">
        <v>0</v>
      </c>
      <c r="J5742" s="1">
        <v>0</v>
      </c>
      <c r="K5742" s="2">
        <v>59.0</v>
      </c>
    </row>
    <row r="5743" spans="1:12">
      <c r="A5743" s="3" t="s">
        <v>5800</v>
      </c>
      <c r="B5743" s="3" t="s">
        <v>5889</v>
      </c>
      <c r="C5743" s="3"/>
      <c r="D5743" s="3"/>
      <c r="E5743" s="2" t="str">
        <f>HYPERLINK("https://old.ukr-mobil.com/nakladka_vilki_plastikovaya_dlya_ehlektrosamokata_xiaomi_m365_pro_1s_pro_2_10003944", "Перейти")</f>
        <v>Перейти</v>
      </c>
      <c r="F5743" s="2">
        <v>10003944</v>
      </c>
      <c r="G5743" s="4" t="s">
        <v>5925</v>
      </c>
      <c r="H5743" s="1">
        <v>61</v>
      </c>
      <c r="I5743" s="1">
        <v>0</v>
      </c>
      <c r="J5743" s="1">
        <v>4</v>
      </c>
      <c r="K5743" s="2">
        <v>5.0</v>
      </c>
    </row>
    <row r="5744" spans="1:12">
      <c r="A5744" s="3" t="s">
        <v>5800</v>
      </c>
      <c r="B5744" s="3" t="s">
        <v>5889</v>
      </c>
      <c r="C5744" s="3"/>
      <c r="D5744" s="3"/>
      <c r="E5744" s="2" t="str">
        <f>HYPERLINK("https://old.ukr-mobil.com/osnova_mekhanizma_skladyvaniya_rulevoj_kolonki_dlya_ehlektrosamokata_xiaomi_m365_mi_pro_pro_2_1s_10003928", "Перейти")</f>
        <v>Перейти</v>
      </c>
      <c r="F5744" s="2">
        <v>10003928</v>
      </c>
      <c r="G5744" s="4" t="s">
        <v>5926</v>
      </c>
      <c r="H5744" s="1">
        <v>42</v>
      </c>
      <c r="I5744" s="1">
        <v>0</v>
      </c>
      <c r="J5744" s="1">
        <v>0</v>
      </c>
      <c r="K5744" s="2">
        <v>10.0</v>
      </c>
    </row>
    <row r="5745" spans="1:12">
      <c r="A5745" s="3" t="s">
        <v>5800</v>
      </c>
      <c r="B5745" s="3" t="s">
        <v>5889</v>
      </c>
      <c r="C5745" s="3"/>
      <c r="D5745" s="3"/>
      <c r="E5745" s="2" t="str">
        <f>HYPERLINK("https://old.ukr-mobil.com/perednee_krylo_dlya_ehlektrosamokata_xiaomi_m365_pro_10003948", "Перейти")</f>
        <v>Перейти</v>
      </c>
      <c r="F5745" s="2">
        <v>10003948</v>
      </c>
      <c r="G5745" s="4" t="s">
        <v>5927</v>
      </c>
      <c r="H5745" s="1">
        <v>13</v>
      </c>
      <c r="I5745" s="1">
        <v>0</v>
      </c>
      <c r="J5745" s="1">
        <v>4</v>
      </c>
      <c r="K5745" s="2">
        <v>6.0</v>
      </c>
    </row>
    <row r="5746" spans="1:12">
      <c r="A5746" s="3" t="s">
        <v>5800</v>
      </c>
      <c r="B5746" s="3" t="s">
        <v>5889</v>
      </c>
      <c r="C5746" s="3"/>
      <c r="D5746" s="3"/>
      <c r="E5746" s="2" t="str">
        <f>HYPERLINK("https://old.ukr-mobil.com/perednij_fonar_dlya_ehlektrosamokata_xiaomi_m365_mi_pro_10003804", "Перейти")</f>
        <v>Перейти</v>
      </c>
      <c r="F5746" s="2">
        <v>10003804</v>
      </c>
      <c r="G5746" s="4" t="s">
        <v>5928</v>
      </c>
      <c r="H5746" s="1">
        <v>4</v>
      </c>
      <c r="I5746" s="1">
        <v>0</v>
      </c>
      <c r="J5746" s="1">
        <v>1</v>
      </c>
      <c r="K5746" s="2">
        <v>5.0</v>
      </c>
    </row>
    <row r="5747" spans="1:12">
      <c r="A5747" s="3" t="s">
        <v>5800</v>
      </c>
      <c r="B5747" s="3" t="s">
        <v>5889</v>
      </c>
      <c r="C5747" s="3"/>
      <c r="D5747" s="3"/>
      <c r="E5747" s="2" t="str">
        <f>HYPERLINK("https://old.ukr-mobil.com/index.php?route=product&amp;product_id=10004760", "Перейти")</f>
        <v>Перейти</v>
      </c>
      <c r="F5747" s="2">
        <v>10004760</v>
      </c>
      <c r="G5747" s="4" t="s">
        <v>5929</v>
      </c>
      <c r="H5747" s="1">
        <v>0</v>
      </c>
      <c r="I5747" s="1">
        <v>0</v>
      </c>
      <c r="J5747" s="1">
        <v>0</v>
      </c>
      <c r="K5747" s="2">
        <v>21.0</v>
      </c>
    </row>
    <row r="5748" spans="1:12">
      <c r="A5748" s="3" t="s">
        <v>5800</v>
      </c>
      <c r="B5748" s="3" t="s">
        <v>5889</v>
      </c>
      <c r="C5748" s="3"/>
      <c r="D5748" s="3"/>
      <c r="E5748" s="2" t="str">
        <f>HYPERLINK("https://old.ukr-mobil.com/plastikovaya_kryshka_vinta_zadnego_kolesa_dlya_xiaomi_m365_pro_10003945", "Перейти")</f>
        <v>Перейти</v>
      </c>
      <c r="F5748" s="2">
        <v>10003945</v>
      </c>
      <c r="G5748" s="4" t="s">
        <v>5930</v>
      </c>
      <c r="H5748" s="1">
        <v>12</v>
      </c>
      <c r="I5748" s="1">
        <v>0</v>
      </c>
      <c r="J5748" s="1">
        <v>4</v>
      </c>
      <c r="K5748" s="2">
        <v>5.0</v>
      </c>
    </row>
    <row r="5749" spans="1:12">
      <c r="A5749" s="3" t="s">
        <v>5800</v>
      </c>
      <c r="B5749" s="3" t="s">
        <v>5889</v>
      </c>
      <c r="C5749" s="3"/>
      <c r="D5749" s="3"/>
      <c r="E5749" s="2" t="str">
        <f>HYPERLINK("https://old.ukr-mobil.com/plata_bms_dlya_batarejnogo_bloka_xiaomi_mi_electric_scooter_m365_mi_1s_10003779", "Перейти")</f>
        <v>Перейти</v>
      </c>
      <c r="F5749" s="2">
        <v>10003779</v>
      </c>
      <c r="G5749" s="4" t="s">
        <v>5931</v>
      </c>
      <c r="H5749" s="1">
        <v>0</v>
      </c>
      <c r="I5749" s="1">
        <v>0</v>
      </c>
      <c r="J5749" s="1">
        <v>0</v>
      </c>
      <c r="K5749" s="2">
        <v>43.5</v>
      </c>
    </row>
    <row r="5750" spans="1:12">
      <c r="A5750" s="3" t="s">
        <v>5800</v>
      </c>
      <c r="B5750" s="3" t="s">
        <v>5889</v>
      </c>
      <c r="C5750" s="3"/>
      <c r="D5750" s="3"/>
      <c r="E5750" s="2" t="str">
        <f>HYPERLINK("https://old.ukr-mobil.com/plata_bms_dlya_batarejnogo_bloka_xiaomi_mi_electric_scooter_mi_pro_pro_2_10003782", "Перейти")</f>
        <v>Перейти</v>
      </c>
      <c r="F5750" s="2">
        <v>10003782</v>
      </c>
      <c r="G5750" s="4" t="s">
        <v>5932</v>
      </c>
      <c r="H5750" s="1">
        <v>0</v>
      </c>
      <c r="I5750" s="1">
        <v>0</v>
      </c>
      <c r="J5750" s="1">
        <v>2</v>
      </c>
      <c r="K5750" s="2">
        <v>59.0</v>
      </c>
    </row>
    <row r="5751" spans="1:12">
      <c r="A5751" s="3" t="s">
        <v>5800</v>
      </c>
      <c r="B5751" s="3" t="s">
        <v>5889</v>
      </c>
      <c r="C5751" s="3"/>
      <c r="D5751" s="3"/>
      <c r="E5751" s="2" t="str">
        <f>HYPERLINK("https://old.ukr-mobil.com/plata_paneli_priborov_s_knopkoj_upravleniya_dlya_ehlektrosamokata_xiaomi_m365_10003789", "Перейти")</f>
        <v>Перейти</v>
      </c>
      <c r="F5751" s="2">
        <v>10003789</v>
      </c>
      <c r="G5751" s="4" t="s">
        <v>5933</v>
      </c>
      <c r="H5751" s="1">
        <v>2</v>
      </c>
      <c r="I5751" s="1">
        <v>0</v>
      </c>
      <c r="J5751" s="1">
        <v>3</v>
      </c>
      <c r="K5751" s="2">
        <v>19.0</v>
      </c>
    </row>
    <row r="5752" spans="1:12">
      <c r="A5752" s="3" t="s">
        <v>5800</v>
      </c>
      <c r="B5752" s="3" t="s">
        <v>5889</v>
      </c>
      <c r="C5752" s="3"/>
      <c r="D5752" s="3"/>
      <c r="E5752" s="2" t="str">
        <f>HYPERLINK("https://old.ukr-mobil.com/podnozhka_dlya_ehlektrosamokata_xiaomi_m365_pro_1s_pro_2_10003937", "Перейти")</f>
        <v>Перейти</v>
      </c>
      <c r="F5752" s="2">
        <v>10003937</v>
      </c>
      <c r="G5752" s="4" t="s">
        <v>5934</v>
      </c>
      <c r="H5752" s="1">
        <v>90</v>
      </c>
      <c r="I5752" s="1">
        <v>0</v>
      </c>
      <c r="J5752" s="1">
        <v>0</v>
      </c>
      <c r="K5752" s="2">
        <v>7.0</v>
      </c>
    </row>
    <row r="5753" spans="1:12">
      <c r="A5753" s="3" t="s">
        <v>5800</v>
      </c>
      <c r="B5753" s="3" t="s">
        <v>5889</v>
      </c>
      <c r="C5753" s="3"/>
      <c r="D5753" s="3"/>
      <c r="E5753" s="2" t="str">
        <f>HYPERLINK("https://old.ukr-mobil.com/podshipnik_zadnego_kolesa_6001rs_10003935", "Перейти")</f>
        <v>Перейти</v>
      </c>
      <c r="F5753" s="2">
        <v>10003935</v>
      </c>
      <c r="G5753" s="4" t="s">
        <v>5935</v>
      </c>
      <c r="H5753" s="1">
        <v>12</v>
      </c>
      <c r="I5753" s="1">
        <v>0</v>
      </c>
      <c r="J5753" s="1">
        <v>4</v>
      </c>
      <c r="K5753" s="2">
        <v>1.3</v>
      </c>
    </row>
    <row r="5754" spans="1:12">
      <c r="A5754" s="3" t="s">
        <v>5800</v>
      </c>
      <c r="B5754" s="3" t="s">
        <v>5889</v>
      </c>
      <c r="C5754" s="3"/>
      <c r="D5754" s="3"/>
      <c r="E5754" s="2" t="str">
        <f>HYPERLINK("https://old.ukr-mobil.com/index.php?route=product&amp;product_id=10004795", "Перейти")</f>
        <v>Перейти</v>
      </c>
      <c r="F5754" s="2">
        <v>10004795</v>
      </c>
      <c r="G5754" s="4" t="s">
        <v>5936</v>
      </c>
      <c r="H5754" s="1">
        <v>47</v>
      </c>
      <c r="I5754" s="1">
        <v>1</v>
      </c>
      <c r="J5754" s="1">
        <v>0</v>
      </c>
      <c r="K5754" s="2">
        <v>5.0</v>
      </c>
    </row>
    <row r="5755" spans="1:12">
      <c r="A5755" s="3" t="s">
        <v>5800</v>
      </c>
      <c r="B5755" s="3" t="s">
        <v>5889</v>
      </c>
      <c r="C5755" s="3"/>
      <c r="D5755" s="3"/>
      <c r="E5755" s="2" t="str">
        <f>HYPERLINK("https://old.ukr-mobil.com/index.php?route=product&amp;product_id=10004796", "Перейти")</f>
        <v>Перейти</v>
      </c>
      <c r="F5755" s="2">
        <v>10004796</v>
      </c>
      <c r="G5755" s="4" t="s">
        <v>5937</v>
      </c>
      <c r="H5755" s="1">
        <v>36</v>
      </c>
      <c r="I5755" s="1">
        <v>2</v>
      </c>
      <c r="J5755" s="1">
        <v>0</v>
      </c>
      <c r="K5755" s="2">
        <v>3.25</v>
      </c>
    </row>
    <row r="5756" spans="1:12">
      <c r="A5756" s="3" t="s">
        <v>5800</v>
      </c>
      <c r="B5756" s="3" t="s">
        <v>5889</v>
      </c>
      <c r="C5756" s="3"/>
      <c r="D5756" s="3"/>
      <c r="E5756" s="2" t="str">
        <f>HYPERLINK("https://old.ukr-mobil.com/index.php?route=product&amp;product_id=10004865", "Перейти")</f>
        <v>Перейти</v>
      </c>
      <c r="F5756" s="2">
        <v>10004865</v>
      </c>
      <c r="G5756" s="4" t="s">
        <v>5938</v>
      </c>
      <c r="H5756" s="1">
        <v>24</v>
      </c>
      <c r="I5756" s="1">
        <v>0</v>
      </c>
      <c r="J5756" s="1">
        <v>0</v>
      </c>
      <c r="K5756" s="2">
        <v>15.15</v>
      </c>
    </row>
    <row r="5757" spans="1:12">
      <c r="A5757" s="3" t="s">
        <v>5800</v>
      </c>
      <c r="B5757" s="3" t="s">
        <v>5889</v>
      </c>
      <c r="C5757" s="3"/>
      <c r="D5757" s="3"/>
      <c r="E5757" s="2" t="str">
        <f>HYPERLINK("https://old.ukr-mobil.com/pryazhka_mekhanizma_skladyvaniya_rulevoj_kolonki_dlya_ehlektrosamokata_xiaomi_m365_pro_1s_pro_2_10003936", "Перейти")</f>
        <v>Перейти</v>
      </c>
      <c r="F5757" s="2">
        <v>10003936</v>
      </c>
      <c r="G5757" s="4" t="s">
        <v>5939</v>
      </c>
      <c r="H5757" s="1">
        <v>16</v>
      </c>
      <c r="I5757" s="1">
        <v>0</v>
      </c>
      <c r="J5757" s="1">
        <v>2</v>
      </c>
      <c r="K5757" s="2">
        <v>5.0</v>
      </c>
    </row>
    <row r="5758" spans="1:12">
      <c r="A5758" s="3" t="s">
        <v>5800</v>
      </c>
      <c r="B5758" s="3" t="s">
        <v>5889</v>
      </c>
      <c r="C5758" s="3"/>
      <c r="D5758" s="3"/>
      <c r="E5758" s="2" t="str">
        <f>HYPERLINK("https://old.ukr-mobil.com/index.php?route=product&amp;product_id=10004799", "Перейти")</f>
        <v>Перейти</v>
      </c>
      <c r="F5758" s="2">
        <v>10004799</v>
      </c>
      <c r="G5758" s="4" t="s">
        <v>5940</v>
      </c>
      <c r="H5758" s="1">
        <v>45</v>
      </c>
      <c r="I5758" s="1">
        <v>0</v>
      </c>
      <c r="J5758" s="1">
        <v>0</v>
      </c>
      <c r="K5758" s="2">
        <v>7.5</v>
      </c>
    </row>
    <row r="5759" spans="1:12">
      <c r="A5759" s="3" t="s">
        <v>5800</v>
      </c>
      <c r="B5759" s="3" t="s">
        <v>5889</v>
      </c>
      <c r="C5759" s="3"/>
      <c r="D5759" s="3"/>
      <c r="E5759" s="2" t="str">
        <f>HYPERLINK("https://old.ukr-mobil.com/index.php?route=product&amp;product_id=10004800", "Перейти")</f>
        <v>Перейти</v>
      </c>
      <c r="F5759" s="2">
        <v>10004800</v>
      </c>
      <c r="G5759" s="4" t="s">
        <v>5941</v>
      </c>
      <c r="H5759" s="1">
        <v>48</v>
      </c>
      <c r="I5759" s="1">
        <v>0</v>
      </c>
      <c r="J5759" s="1">
        <v>0</v>
      </c>
      <c r="K5759" s="2">
        <v>7.5</v>
      </c>
    </row>
    <row r="5760" spans="1:12">
      <c r="A5760" s="3" t="s">
        <v>5800</v>
      </c>
      <c r="B5760" s="3" t="s">
        <v>5889</v>
      </c>
      <c r="C5760" s="3"/>
      <c r="D5760" s="3"/>
      <c r="E5760" s="2" t="str">
        <f>HYPERLINK("https://old.ukr-mobil.com/rulevaya_truba_stojka_dlya_ehlektrosamokata_xiaomi_m365_1s_66_4_sm_10003930", "Перейти")</f>
        <v>Перейти</v>
      </c>
      <c r="F5760" s="2">
        <v>10003930</v>
      </c>
      <c r="G5760" s="4" t="s">
        <v>5942</v>
      </c>
      <c r="H5760" s="1">
        <v>21</v>
      </c>
      <c r="I5760" s="1">
        <v>0</v>
      </c>
      <c r="J5760" s="1">
        <v>0</v>
      </c>
      <c r="K5760" s="2">
        <v>44.0</v>
      </c>
    </row>
    <row r="5761" spans="1:12">
      <c r="A5761" s="3" t="s">
        <v>5800</v>
      </c>
      <c r="B5761" s="3" t="s">
        <v>5889</v>
      </c>
      <c r="C5761" s="3"/>
      <c r="D5761" s="3"/>
      <c r="E5761" s="2" t="str">
        <f>HYPERLINK("https://old.ukr-mobil.com/rulevaya_truba_stojka_dlya_ehlektrosamokata_xiaomi_mi_pro_pro_2_70_sm_10003931", "Перейти")</f>
        <v>Перейти</v>
      </c>
      <c r="F5761" s="2">
        <v>10003931</v>
      </c>
      <c r="G5761" s="4" t="s">
        <v>5943</v>
      </c>
      <c r="H5761" s="1">
        <v>31</v>
      </c>
      <c r="I5761" s="1">
        <v>1</v>
      </c>
      <c r="J5761" s="1">
        <v>0</v>
      </c>
      <c r="K5761" s="2">
        <v>49.0</v>
      </c>
    </row>
    <row r="5762" spans="1:12">
      <c r="A5762" s="3" t="s">
        <v>5800</v>
      </c>
      <c r="B5762" s="3" t="s">
        <v>5889</v>
      </c>
      <c r="C5762" s="3"/>
      <c r="D5762" s="3"/>
      <c r="E5762" s="2" t="str">
        <f>HYPERLINK("https://old.ukr-mobil.com/ruchka_gaza_uskoritel_dlya_ehlektrosamokata_xiaomi_mi_3_10003873", "Перейти")</f>
        <v>Перейти</v>
      </c>
      <c r="F5762" s="2">
        <v>10003873</v>
      </c>
      <c r="G5762" s="4" t="s">
        <v>5944</v>
      </c>
      <c r="H5762" s="1">
        <v>0</v>
      </c>
      <c r="I5762" s="1">
        <v>0</v>
      </c>
      <c r="J5762" s="1">
        <v>0</v>
      </c>
      <c r="K5762" s="2">
        <v>5.0</v>
      </c>
    </row>
    <row r="5763" spans="1:12">
      <c r="A5763" s="3" t="s">
        <v>5800</v>
      </c>
      <c r="B5763" s="3" t="s">
        <v>5889</v>
      </c>
      <c r="C5763" s="3"/>
      <c r="D5763" s="3"/>
      <c r="E5763" s="2" t="str">
        <f>HYPERLINK("https://old.ukr-mobil.com/ruchka_gaza_uskoritel_dlya_ehlektrosamokatov_xiaomi_m365_1s_10003871", "Перейти")</f>
        <v>Перейти</v>
      </c>
      <c r="F5763" s="2">
        <v>10003871</v>
      </c>
      <c r="G5763" s="4" t="s">
        <v>5945</v>
      </c>
      <c r="H5763" s="1">
        <v>0</v>
      </c>
      <c r="I5763" s="1">
        <v>0</v>
      </c>
      <c r="J5763" s="1">
        <v>0</v>
      </c>
      <c r="K5763" s="2">
        <v>7.0</v>
      </c>
    </row>
    <row r="5764" spans="1:12">
      <c r="A5764" s="3" t="s">
        <v>5800</v>
      </c>
      <c r="B5764" s="3" t="s">
        <v>5889</v>
      </c>
      <c r="C5764" s="3"/>
      <c r="D5764" s="3"/>
      <c r="E5764" s="2" t="str">
        <f>HYPERLINK("https://old.ukr-mobil.com/ruchka_gaza_uskoritel_dlya_ehlektrosamokatov_xiaomi_mi_pro_pro_2_10003872", "Перейти")</f>
        <v>Перейти</v>
      </c>
      <c r="F5764" s="2">
        <v>10003872</v>
      </c>
      <c r="G5764" s="4" t="s">
        <v>5946</v>
      </c>
      <c r="H5764" s="1">
        <v>0</v>
      </c>
      <c r="I5764" s="1">
        <v>0</v>
      </c>
      <c r="J5764" s="1">
        <v>0</v>
      </c>
      <c r="K5764" s="2">
        <v>7.0</v>
      </c>
    </row>
    <row r="5765" spans="1:12">
      <c r="A5765" s="3" t="s">
        <v>5800</v>
      </c>
      <c r="B5765" s="3" t="s">
        <v>5889</v>
      </c>
      <c r="C5765" s="3"/>
      <c r="D5765" s="3"/>
      <c r="E5765" s="2" t="str">
        <f>HYPERLINK("https://old.ukr-mobil.com/ruchka_tormoza_dlya_ehlektrosamokata_xiaomi_mi_m365_shirokaya_fishka_10004403", "Перейти")</f>
        <v>Перейти</v>
      </c>
      <c r="F5765" s="2">
        <v>10004403</v>
      </c>
      <c r="G5765" s="4" t="s">
        <v>5947</v>
      </c>
      <c r="H5765" s="1">
        <v>176</v>
      </c>
      <c r="I5765" s="1">
        <v>0</v>
      </c>
      <c r="J5765" s="1">
        <v>9</v>
      </c>
      <c r="K5765" s="2">
        <v>7.0</v>
      </c>
    </row>
    <row r="5766" spans="1:12">
      <c r="A5766" s="3" t="s">
        <v>5800</v>
      </c>
      <c r="B5766" s="3" t="s">
        <v>5889</v>
      </c>
      <c r="C5766" s="3"/>
      <c r="D5766" s="3"/>
      <c r="E5766" s="2" t="str">
        <f>HYPERLINK("https://old.ukr-mobil.com/ruchka_tormoza_dlya_ehlektrosamokata_xiaomi_mi_m365_m365_pro_uzkaya_fishka_10003870", "Перейти")</f>
        <v>Перейти</v>
      </c>
      <c r="F5766" s="2">
        <v>10003870</v>
      </c>
      <c r="G5766" s="4" t="s">
        <v>5948</v>
      </c>
      <c r="H5766" s="1">
        <v>66</v>
      </c>
      <c r="I5766" s="1">
        <v>0</v>
      </c>
      <c r="J5766" s="1">
        <v>0</v>
      </c>
      <c r="K5766" s="2">
        <v>7.0</v>
      </c>
    </row>
    <row r="5767" spans="1:12">
      <c r="A5767" s="3" t="s">
        <v>5800</v>
      </c>
      <c r="B5767" s="3" t="s">
        <v>5889</v>
      </c>
      <c r="C5767" s="3"/>
      <c r="D5767" s="3"/>
      <c r="E5767" s="2" t="str">
        <f>HYPERLINK("https://old.ukr-mobil.com/svetodiodnaya_indikatornaya_panel_dlya_ehlektrosamokata_xiaomi_m365_10003949", "Перейти")</f>
        <v>Перейти</v>
      </c>
      <c r="F5767" s="2">
        <v>10003949</v>
      </c>
      <c r="G5767" s="4" t="s">
        <v>5949</v>
      </c>
      <c r="H5767" s="1">
        <v>5</v>
      </c>
      <c r="I5767" s="1">
        <v>0</v>
      </c>
      <c r="J5767" s="1">
        <v>4</v>
      </c>
      <c r="K5767" s="2">
        <v>5.0</v>
      </c>
    </row>
    <row r="5768" spans="1:12">
      <c r="A5768" s="3" t="s">
        <v>5800</v>
      </c>
      <c r="B5768" s="3" t="s">
        <v>5889</v>
      </c>
      <c r="C5768" s="3"/>
      <c r="D5768" s="3"/>
      <c r="E5768" s="2" t="str">
        <f>HYPERLINK("https://old.ukr-mobil.com/stopornyj_vint_vilki_dlya_xiaomi_m365_pro_1s_pro_2_10003934", "Перейти")</f>
        <v>Перейти</v>
      </c>
      <c r="F5768" s="2">
        <v>10003934</v>
      </c>
      <c r="G5768" s="4" t="s">
        <v>5950</v>
      </c>
      <c r="H5768" s="1">
        <v>11</v>
      </c>
      <c r="I5768" s="1">
        <v>0</v>
      </c>
      <c r="J5768" s="1">
        <v>0</v>
      </c>
      <c r="K5768" s="2">
        <v>4.0</v>
      </c>
    </row>
    <row r="5769" spans="1:12">
      <c r="A5769" s="3" t="s">
        <v>5800</v>
      </c>
      <c r="B5769" s="3" t="s">
        <v>5889</v>
      </c>
      <c r="C5769" s="3"/>
      <c r="D5769" s="3"/>
      <c r="E5769" s="2" t="str">
        <f>HYPERLINK("https://old.ukr-mobil.com/tormoznoj_disk_110_mm_dlya_xiaomi_m365_1s_10003940", "Перейти")</f>
        <v>Перейти</v>
      </c>
      <c r="F5769" s="2">
        <v>10003940</v>
      </c>
      <c r="G5769" s="4" t="s">
        <v>5951</v>
      </c>
      <c r="H5769" s="1">
        <v>0</v>
      </c>
      <c r="I5769" s="1">
        <v>0</v>
      </c>
      <c r="J5769" s="1">
        <v>0</v>
      </c>
      <c r="K5769" s="2">
        <v>3.9</v>
      </c>
    </row>
    <row r="5770" spans="1:12">
      <c r="A5770" s="3" t="s">
        <v>5800</v>
      </c>
      <c r="B5770" s="3" t="s">
        <v>5889</v>
      </c>
      <c r="C5770" s="3"/>
      <c r="D5770" s="3"/>
      <c r="E5770" s="2" t="str">
        <f>HYPERLINK("https://old.ukr-mobil.com/tormoznoj_support_dlya_xiaomi_m365_pro_1s_pro_2_10003938", "Перейти")</f>
        <v>Перейти</v>
      </c>
      <c r="F5770" s="2">
        <v>10003938</v>
      </c>
      <c r="G5770" s="4" t="s">
        <v>5952</v>
      </c>
      <c r="H5770" s="1">
        <v>6</v>
      </c>
      <c r="I5770" s="1">
        <v>0</v>
      </c>
      <c r="J5770" s="1">
        <v>3</v>
      </c>
      <c r="K5770" s="2">
        <v>12.0</v>
      </c>
    </row>
    <row r="5771" spans="1:12">
      <c r="A5771" s="3" t="s">
        <v>5800</v>
      </c>
      <c r="B5771" s="3" t="s">
        <v>5889</v>
      </c>
      <c r="C5771" s="3"/>
      <c r="D5771" s="3"/>
      <c r="E5771" s="2" t="str">
        <f>HYPERLINK("https://old.ukr-mobil.com/tormoznoj_tros_dlya_ehlektrosamokata_xiaomi_m365_pro_pro_2_1s_10003939", "Перейти")</f>
        <v>Перейти</v>
      </c>
      <c r="F5771" s="2">
        <v>10003939</v>
      </c>
      <c r="G5771" s="4" t="s">
        <v>5953</v>
      </c>
      <c r="H5771" s="1">
        <v>21</v>
      </c>
      <c r="I5771" s="1">
        <v>0</v>
      </c>
      <c r="J5771" s="1">
        <v>0</v>
      </c>
      <c r="K5771" s="2">
        <v>4.0</v>
      </c>
    </row>
    <row r="5772" spans="1:12">
      <c r="A5772" s="3" t="s">
        <v>5800</v>
      </c>
      <c r="B5772" s="3" t="s">
        <v>5889</v>
      </c>
      <c r="C5772" s="3"/>
      <c r="D5772" s="3"/>
      <c r="E5772" s="2" t="str">
        <f>HYPERLINK("https://old.ukr-mobil.com/tormoznoj_tros_dlya_ehlektrosamokata_xiaomi_mi_pro_pro_2_10003941", "Перейти")</f>
        <v>Перейти</v>
      </c>
      <c r="F5772" s="2">
        <v>10003941</v>
      </c>
      <c r="G5772" s="4" t="s">
        <v>5954</v>
      </c>
      <c r="H5772" s="1">
        <v>2</v>
      </c>
      <c r="I5772" s="1">
        <v>0</v>
      </c>
      <c r="J5772" s="1">
        <v>0</v>
      </c>
      <c r="K5772" s="2">
        <v>3.1</v>
      </c>
    </row>
    <row r="5773" spans="1:12">
      <c r="A5773" s="3" t="s">
        <v>5800</v>
      </c>
      <c r="B5773" s="3" t="s">
        <v>5889</v>
      </c>
      <c r="C5773" s="3"/>
      <c r="D5773" s="3"/>
      <c r="E5773" s="2" t="str">
        <f>HYPERLINK("https://old.ukr-mobil.com/tormoznye_kolodki_dlya_xiaomi_m365_1s_para_10003942", "Перейти")</f>
        <v>Перейти</v>
      </c>
      <c r="F5773" s="2">
        <v>10003942</v>
      </c>
      <c r="G5773" s="4" t="s">
        <v>5955</v>
      </c>
      <c r="H5773" s="1">
        <v>12</v>
      </c>
      <c r="I5773" s="1">
        <v>2</v>
      </c>
      <c r="J5773" s="1">
        <v>2</v>
      </c>
      <c r="K5773" s="2">
        <v>2.0</v>
      </c>
    </row>
    <row r="5774" spans="1:12">
      <c r="A5774" s="3" t="s">
        <v>5800</v>
      </c>
      <c r="B5774" s="3" t="s">
        <v>5889</v>
      </c>
      <c r="C5774" s="3"/>
      <c r="D5774" s="3"/>
      <c r="E5774" s="2" t="str">
        <f>HYPERLINK("https://old.ukr-mobil.com/tormoznye_kolodki_dlya_xiaomi_mi_pro_pro_2_para_10003943", "Перейти")</f>
        <v>Перейти</v>
      </c>
      <c r="F5774" s="2">
        <v>10003943</v>
      </c>
      <c r="G5774" s="4" t="s">
        <v>5956</v>
      </c>
      <c r="H5774" s="1">
        <v>10</v>
      </c>
      <c r="I5774" s="1">
        <v>0</v>
      </c>
      <c r="J5774" s="1">
        <v>10</v>
      </c>
      <c r="K5774" s="2">
        <v>2.0</v>
      </c>
    </row>
    <row r="5775" spans="1:12">
      <c r="A5775" s="3" t="s">
        <v>5800</v>
      </c>
      <c r="B5775" s="3" t="s">
        <v>5889</v>
      </c>
      <c r="C5775" s="3"/>
      <c r="D5775" s="3"/>
      <c r="E5775" s="2" t="str">
        <f>HYPERLINK("https://old.ukr-mobil.com/holder_akkumulyatora_dlya_xiaomi_m365_pod_18650_10003692", "Перейти")</f>
        <v>Перейти</v>
      </c>
      <c r="F5775" s="2">
        <v>10003692</v>
      </c>
      <c r="G5775" s="4" t="s">
        <v>5957</v>
      </c>
      <c r="H5775" s="1">
        <v>4</v>
      </c>
      <c r="I5775" s="1">
        <v>0</v>
      </c>
      <c r="J5775" s="1">
        <v>0</v>
      </c>
      <c r="K5775" s="2">
        <v>6.0</v>
      </c>
    </row>
    <row r="5776" spans="1:12">
      <c r="A5776" s="3" t="s">
        <v>5800</v>
      </c>
      <c r="B5776" s="3" t="s">
        <v>5889</v>
      </c>
      <c r="C5776" s="3"/>
      <c r="D5776" s="3"/>
      <c r="E5776" s="2" t="str">
        <f>HYPERLINK("https://old.ukr-mobil.com/shipovannaya_beskamernaya_shina_10x2_5_dlya_ehlektrosamokata_xiaomi_m365_10004805", "Перейти")</f>
        <v>Перейти</v>
      </c>
      <c r="F5776" s="2">
        <v>10004805</v>
      </c>
      <c r="G5776" s="4" t="s">
        <v>5958</v>
      </c>
      <c r="H5776" s="1">
        <v>62</v>
      </c>
      <c r="I5776" s="1">
        <v>0</v>
      </c>
      <c r="J5776" s="1">
        <v>0</v>
      </c>
      <c r="K5776" s="2">
        <v>14.0</v>
      </c>
    </row>
    <row r="5777" spans="1:12">
      <c r="A5777" s="3" t="s">
        <v>5800</v>
      </c>
      <c r="B5777" s="3" t="s">
        <v>5959</v>
      </c>
      <c r="C5777" s="3"/>
      <c r="D5777" s="3"/>
      <c r="E5777" s="2" t="str">
        <f>HYPERLINK("https://old.ukr-mobil.com/komplekt_iz_kontrollera_i_lcd_displeya_22a_350w_kugoo_10003648", "Перейти")</f>
        <v>Перейти</v>
      </c>
      <c r="F5777" s="2">
        <v>10003648</v>
      </c>
      <c r="G5777" s="4" t="s">
        <v>5960</v>
      </c>
      <c r="H5777" s="1">
        <v>0</v>
      </c>
      <c r="I5777" s="1">
        <v>0</v>
      </c>
      <c r="J5777" s="1">
        <v>5</v>
      </c>
      <c r="K5777" s="2">
        <v>66.0</v>
      </c>
    </row>
    <row r="5778" spans="1:12">
      <c r="A5778" s="3" t="s">
        <v>5800</v>
      </c>
      <c r="B5778" s="3" t="s">
        <v>5959</v>
      </c>
      <c r="C5778" s="3"/>
      <c r="D5778" s="3"/>
      <c r="E5778" s="2" t="str">
        <f>HYPERLINK("https://old.ukr-mobil.com/komplekt_s_kontrollerom_i_lcd_displeem_17a_10003651", "Перейти")</f>
        <v>Перейти</v>
      </c>
      <c r="F5778" s="2">
        <v>10003651</v>
      </c>
      <c r="G5778" s="4" t="s">
        <v>5961</v>
      </c>
      <c r="H5778" s="1">
        <v>0</v>
      </c>
      <c r="I5778" s="1">
        <v>2</v>
      </c>
      <c r="J5778" s="1">
        <v>1</v>
      </c>
      <c r="K5778" s="2">
        <v>68.0</v>
      </c>
    </row>
    <row r="5779" spans="1:12">
      <c r="A5779" s="3" t="s">
        <v>5800</v>
      </c>
      <c r="B5779" s="3" t="s">
        <v>5959</v>
      </c>
      <c r="C5779" s="3"/>
      <c r="D5779" s="3"/>
      <c r="E5779" s="2" t="str">
        <f>HYPERLINK("https://old.ukr-mobil.com/komplekt_s_kontrollerom_i_lcd_displeem_17a_350w_10003653", "Перейти")</f>
        <v>Перейти</v>
      </c>
      <c r="F5779" s="2">
        <v>10003653</v>
      </c>
      <c r="G5779" s="4" t="s">
        <v>5962</v>
      </c>
      <c r="H5779" s="1">
        <v>0</v>
      </c>
      <c r="I5779" s="1">
        <v>0</v>
      </c>
      <c r="J5779" s="1">
        <v>5</v>
      </c>
      <c r="K5779" s="2">
        <v>83.0</v>
      </c>
    </row>
    <row r="5780" spans="1:12">
      <c r="A5780" s="3" t="s">
        <v>5800</v>
      </c>
      <c r="B5780" s="3" t="s">
        <v>5959</v>
      </c>
      <c r="C5780" s="3"/>
      <c r="D5780" s="3"/>
      <c r="E5780" s="2" t="str">
        <f>HYPERLINK("https://old.ukr-mobil.com/komplekt_s_kontrollerom_i_lcd_displeem_26a_10003652", "Перейти")</f>
        <v>Перейти</v>
      </c>
      <c r="F5780" s="2">
        <v>10003652</v>
      </c>
      <c r="G5780" s="4" t="s">
        <v>5963</v>
      </c>
      <c r="H5780" s="1">
        <v>0</v>
      </c>
      <c r="I5780" s="1">
        <v>0</v>
      </c>
      <c r="J5780" s="1">
        <v>1</v>
      </c>
      <c r="K5780" s="2">
        <v>76.0</v>
      </c>
    </row>
    <row r="5781" spans="1:12">
      <c r="A5781" s="3" t="s">
        <v>5800</v>
      </c>
      <c r="B5781" s="3" t="s">
        <v>5959</v>
      </c>
      <c r="C5781" s="3"/>
      <c r="D5781" s="3"/>
      <c r="E5781" s="2" t="str">
        <f>HYPERLINK("https://old.ukr-mobil.com/komplekt_s_kontrollerom_i_lcd_displeem_36v-48v_15a_350w_10003649", "Перейти")</f>
        <v>Перейти</v>
      </c>
      <c r="F5781" s="2">
        <v>10003649</v>
      </c>
      <c r="G5781" s="4" t="s">
        <v>5964</v>
      </c>
      <c r="H5781" s="1">
        <v>0</v>
      </c>
      <c r="I5781" s="1">
        <v>0</v>
      </c>
      <c r="J5781" s="1">
        <v>5</v>
      </c>
      <c r="K5781" s="2">
        <v>60.0</v>
      </c>
    </row>
    <row r="5782" spans="1:12">
      <c r="A5782" s="3" t="s">
        <v>5800</v>
      </c>
      <c r="B5782" s="3" t="s">
        <v>5959</v>
      </c>
      <c r="C5782" s="3"/>
      <c r="D5782" s="3"/>
      <c r="E5782" s="2" t="str">
        <f>HYPERLINK("https://old.ukr-mobil.com/komplekt_s_kontrollerom_i_lcd_displeem_36v-48v_22a_500w_10003654", "Перейти")</f>
        <v>Перейти</v>
      </c>
      <c r="F5782" s="2">
        <v>10003654</v>
      </c>
      <c r="G5782" s="4" t="s">
        <v>5965</v>
      </c>
      <c r="H5782" s="1">
        <v>0</v>
      </c>
      <c r="I5782" s="1">
        <v>0</v>
      </c>
      <c r="J5782" s="1">
        <v>5</v>
      </c>
      <c r="K5782" s="2">
        <v>96.0</v>
      </c>
    </row>
    <row r="5783" spans="1:12">
      <c r="A5783" s="3" t="s">
        <v>5800</v>
      </c>
      <c r="B5783" s="3" t="s">
        <v>5959</v>
      </c>
      <c r="C5783" s="3"/>
      <c r="D5783" s="3"/>
      <c r="E5783" s="2" t="str">
        <f>HYPERLINK("https://old.ukr-mobil.com/komplekt_s_kontrollerom_i_led_displeem_17a_350w_10003650", "Перейти")</f>
        <v>Перейти</v>
      </c>
      <c r="F5783" s="2">
        <v>10003650</v>
      </c>
      <c r="G5783" s="4" t="s">
        <v>5966</v>
      </c>
      <c r="H5783" s="1">
        <v>0</v>
      </c>
      <c r="I5783" s="1">
        <v>0</v>
      </c>
      <c r="J5783" s="1">
        <v>5</v>
      </c>
      <c r="K5783" s="2">
        <v>66.0</v>
      </c>
    </row>
    <row r="5784" spans="1:12">
      <c r="A5784" s="3" t="s">
        <v>5800</v>
      </c>
      <c r="B5784" s="3" t="s">
        <v>5967</v>
      </c>
      <c r="C5784" s="3"/>
      <c r="D5784" s="3"/>
      <c r="E5784" s="2" t="str">
        <f>HYPERLINK("https://old.ukr-mobil.com/kabel_usb_dlya_programmirovaniya_kontrollerov_votol_10003253", "Перейти")</f>
        <v>Перейти</v>
      </c>
      <c r="F5784" s="2">
        <v>10003253</v>
      </c>
      <c r="G5784" s="4" t="s">
        <v>5968</v>
      </c>
      <c r="H5784" s="1">
        <v>0</v>
      </c>
      <c r="I5784" s="1">
        <v>0</v>
      </c>
      <c r="J5784" s="1">
        <v>0</v>
      </c>
      <c r="K5784" s="2">
        <v>10.0</v>
      </c>
    </row>
    <row r="5785" spans="1:12">
      <c r="A5785" s="3" t="s">
        <v>5800</v>
      </c>
      <c r="B5785" s="3" t="s">
        <v>5967</v>
      </c>
      <c r="C5785" s="3"/>
      <c r="D5785" s="3"/>
      <c r="E5785" s="2" t="str">
        <f>HYPERLINK("https://old.ukr-mobil.com/kontroller_dlya_elektrotransporta_votol_em-100-4_max_150a_sinusnyj_programmiruemyj_s_funkciej_samoobucheniya_10003246", "Перейти")</f>
        <v>Перейти</v>
      </c>
      <c r="F5785" s="2">
        <v>10003246</v>
      </c>
      <c r="G5785" s="4" t="s">
        <v>5969</v>
      </c>
      <c r="H5785" s="1">
        <v>0</v>
      </c>
      <c r="I5785" s="1">
        <v>0</v>
      </c>
      <c r="J5785" s="1">
        <v>0</v>
      </c>
      <c r="K5785" s="2">
        <v>195.0</v>
      </c>
    </row>
    <row r="5786" spans="1:12">
      <c r="A5786" s="3" t="s">
        <v>5800</v>
      </c>
      <c r="B5786" s="3" t="s">
        <v>5967</v>
      </c>
      <c r="C5786" s="3"/>
      <c r="D5786" s="3"/>
      <c r="E5786" s="2" t="str">
        <f>HYPERLINK("https://old.ukr-mobil.com/index.php?route=product&amp;product_id=10004724", "Перейти")</f>
        <v>Перейти</v>
      </c>
      <c r="F5786" s="2">
        <v>10004724</v>
      </c>
      <c r="G5786" s="4" t="s">
        <v>5970</v>
      </c>
      <c r="H5786" s="1">
        <v>0</v>
      </c>
      <c r="I5786" s="1">
        <v>0</v>
      </c>
      <c r="J5786" s="1">
        <v>0</v>
      </c>
      <c r="K5786" s="2">
        <v>330.0</v>
      </c>
    </row>
    <row r="5787" spans="1:12">
      <c r="A5787" s="3" t="s">
        <v>5800</v>
      </c>
      <c r="B5787" s="3" t="s">
        <v>5967</v>
      </c>
      <c r="C5787" s="3"/>
      <c r="D5787" s="3"/>
      <c r="E5787" s="2" t="str">
        <f>HYPERLINK("https://old.ukr-mobil.com/kontroller_dlya_elektrotransporta_votol_em-50-4_max_75a_sinusnyj_programmiruemyj_s_funkciej_samoobucheniya_10003245", "Перейти")</f>
        <v>Перейти</v>
      </c>
      <c r="F5787" s="2">
        <v>10003245</v>
      </c>
      <c r="G5787" s="4" t="s">
        <v>5971</v>
      </c>
      <c r="H5787" s="1">
        <v>0</v>
      </c>
      <c r="I5787" s="1">
        <v>0</v>
      </c>
      <c r="J5787" s="1">
        <v>0</v>
      </c>
      <c r="K5787" s="2">
        <v>110.0</v>
      </c>
    </row>
    <row r="5788" spans="1:12">
      <c r="A5788" s="3" t="s">
        <v>5800</v>
      </c>
      <c r="B5788" s="3" t="s">
        <v>5967</v>
      </c>
      <c r="C5788" s="3"/>
      <c r="D5788" s="3"/>
      <c r="E5788" s="2" t="str">
        <f>HYPERLINK("https://old.ukr-mobil.com/kontroller_dlya_elektrotransporta_votol_em-50s_sinusnyj_programmiruemyj_10003252", "Перейти")</f>
        <v>Перейти</v>
      </c>
      <c r="F5788" s="2">
        <v>10003252</v>
      </c>
      <c r="G5788" s="4" t="s">
        <v>5972</v>
      </c>
      <c r="H5788" s="1">
        <v>0</v>
      </c>
      <c r="I5788" s="1">
        <v>0</v>
      </c>
      <c r="J5788" s="1">
        <v>0</v>
      </c>
      <c r="K5788" s="2">
        <v>93.0</v>
      </c>
    </row>
    <row r="5789" spans="1:12">
      <c r="A5789" s="3" t="s">
        <v>5800</v>
      </c>
      <c r="B5789" s="3" t="s">
        <v>5967</v>
      </c>
      <c r="C5789" s="3"/>
      <c r="D5789" s="3"/>
      <c r="E5789" s="2" t="str">
        <f>HYPERLINK("https://old.ukr-mobil.com/kontroller_dlya_elektrotransporta_votol_em-70_sinusnyj_programmiruemyj_10003251", "Перейти")</f>
        <v>Перейти</v>
      </c>
      <c r="F5789" s="2">
        <v>10003251</v>
      </c>
      <c r="G5789" s="4" t="s">
        <v>5973</v>
      </c>
      <c r="H5789" s="1">
        <v>0</v>
      </c>
      <c r="I5789" s="1">
        <v>0</v>
      </c>
      <c r="J5789" s="1">
        <v>0</v>
      </c>
      <c r="K5789" s="2">
        <v>122.0</v>
      </c>
    </row>
    <row r="5790" spans="1:12">
      <c r="A5790" s="3" t="s">
        <v>5800</v>
      </c>
      <c r="B5790" s="3" t="s">
        <v>5967</v>
      </c>
      <c r="C5790" s="3"/>
      <c r="D5790" s="3"/>
      <c r="E5790" s="2" t="str">
        <f>HYPERLINK("https://old.ukr-mobil.com/kontroller_dlya_ehlektrotransporta_s_napryazheniem_36v-48v_15a_720w_10003618", "Перейти")</f>
        <v>Перейти</v>
      </c>
      <c r="F5790" s="2">
        <v>10003618</v>
      </c>
      <c r="G5790" s="4" t="s">
        <v>5974</v>
      </c>
      <c r="H5790" s="1">
        <v>0</v>
      </c>
      <c r="I5790" s="1">
        <v>0</v>
      </c>
      <c r="J5790" s="1">
        <v>4</v>
      </c>
      <c r="K5790" s="2">
        <v>34.0</v>
      </c>
    </row>
    <row r="5791" spans="1:12">
      <c r="A5791" s="3" t="s">
        <v>5800</v>
      </c>
      <c r="B5791" s="3" t="s">
        <v>5967</v>
      </c>
      <c r="C5791" s="3"/>
      <c r="D5791" s="3"/>
      <c r="E5791" s="2" t="str">
        <f>HYPERLINK("https://old.ukr-mobil.com/kontroller_dlya_ehlektrotransporta_s_napryazheniem_36v-48v_17a_816w_10003619", "Перейти")</f>
        <v>Перейти</v>
      </c>
      <c r="F5791" s="2">
        <v>10003619</v>
      </c>
      <c r="G5791" s="4" t="s">
        <v>5975</v>
      </c>
      <c r="H5791" s="1">
        <v>0</v>
      </c>
      <c r="I5791" s="1">
        <v>0</v>
      </c>
      <c r="J5791" s="1">
        <v>5</v>
      </c>
      <c r="K5791" s="2">
        <v>38.0</v>
      </c>
    </row>
    <row r="5792" spans="1:12">
      <c r="A5792" s="3" t="s">
        <v>5800</v>
      </c>
      <c r="B5792" s="3" t="s">
        <v>5967</v>
      </c>
      <c r="C5792" s="3"/>
      <c r="D5792" s="3"/>
      <c r="E5792" s="2" t="str">
        <f>HYPERLINK("https://old.ukr-mobil.com/kontroller_dlya_ehlektrotransporta_s_napryazheniem_36v-48v_22a_1056w_10003615", "Перейти")</f>
        <v>Перейти</v>
      </c>
      <c r="F5792" s="2">
        <v>10003615</v>
      </c>
      <c r="G5792" s="4" t="s">
        <v>5976</v>
      </c>
      <c r="H5792" s="1">
        <v>0</v>
      </c>
      <c r="I5792" s="1">
        <v>0</v>
      </c>
      <c r="J5792" s="1">
        <v>5</v>
      </c>
      <c r="K5792" s="2">
        <v>42.0</v>
      </c>
    </row>
    <row r="5793" spans="1:12">
      <c r="A5793" s="3" t="s">
        <v>5800</v>
      </c>
      <c r="B5793" s="3" t="s">
        <v>5967</v>
      </c>
      <c r="C5793" s="3"/>
      <c r="D5793" s="3"/>
      <c r="E5793" s="2" t="str">
        <f>HYPERLINK("https://old.ukr-mobil.com/kontroller_universalnyj_dlya_ehlektrotransporta_36v-48v_17a_816w_sm_10003614", "Перейти")</f>
        <v>Перейти</v>
      </c>
      <c r="F5793" s="2">
        <v>10003614</v>
      </c>
      <c r="G5793" s="4" t="s">
        <v>5977</v>
      </c>
      <c r="H5793" s="1">
        <v>0</v>
      </c>
      <c r="I5793" s="1">
        <v>0</v>
      </c>
      <c r="J5793" s="1">
        <v>5</v>
      </c>
      <c r="K5793" s="2">
        <v>36.0</v>
      </c>
    </row>
    <row r="5794" spans="1:12">
      <c r="A5794" s="3" t="s">
        <v>5800</v>
      </c>
      <c r="B5794" s="3" t="s">
        <v>5967</v>
      </c>
      <c r="C5794" s="3"/>
      <c r="D5794" s="3"/>
      <c r="E5794" s="2" t="str">
        <f>HYPERLINK("https://old.ukr-mobil.com/kontroller_universalnyj_dlya_ehlektrotransporta_s_napryazheniem_36v-48v_15a_720w_sm_10003613", "Перейти")</f>
        <v>Перейти</v>
      </c>
      <c r="F5794" s="2">
        <v>10003613</v>
      </c>
      <c r="G5794" s="4" t="s">
        <v>5978</v>
      </c>
      <c r="H5794" s="1">
        <v>0</v>
      </c>
      <c r="I5794" s="1">
        <v>0</v>
      </c>
      <c r="J5794" s="1">
        <v>0</v>
      </c>
      <c r="K5794" s="2">
        <v>34.0</v>
      </c>
    </row>
    <row r="5795" spans="1:12">
      <c r="A5795" s="3" t="s">
        <v>5800</v>
      </c>
      <c r="B5795" s="3" t="s">
        <v>5967</v>
      </c>
      <c r="C5795" s="3"/>
      <c r="D5795" s="3"/>
      <c r="E5795" s="2" t="str">
        <f>HYPERLINK("https://old.ukr-mobil.com/kontroller_universalnyj_36v_48v_17a_350w_10003104", "Перейти")</f>
        <v>Перейти</v>
      </c>
      <c r="F5795" s="2">
        <v>10003104</v>
      </c>
      <c r="G5795" s="4" t="s">
        <v>5979</v>
      </c>
      <c r="H5795" s="1">
        <v>0</v>
      </c>
      <c r="I5795" s="1">
        <v>0</v>
      </c>
      <c r="J5795" s="1">
        <v>0</v>
      </c>
      <c r="K5795" s="2">
        <v>10.85</v>
      </c>
    </row>
    <row r="5796" spans="1:12">
      <c r="A5796" s="3" t="s">
        <v>5800</v>
      </c>
      <c r="B5796" s="3" t="s">
        <v>5967</v>
      </c>
      <c r="C5796" s="3"/>
      <c r="D5796" s="3"/>
      <c r="E5796" s="2" t="str">
        <f>HYPERLINK("https://old.ukr-mobil.com/kontroller_universalnyj_36v_48v_17a_350w_sinusoidalnyj_10003103", "Перейти")</f>
        <v>Перейти</v>
      </c>
      <c r="F5796" s="2">
        <v>10003103</v>
      </c>
      <c r="G5796" s="4" t="s">
        <v>5980</v>
      </c>
      <c r="H5796" s="1">
        <v>27</v>
      </c>
      <c r="I5796" s="1">
        <v>0</v>
      </c>
      <c r="J5796" s="1">
        <v>10</v>
      </c>
      <c r="K5796" s="2">
        <v>16.0</v>
      </c>
    </row>
    <row r="5797" spans="1:12">
      <c r="A5797" s="3" t="s">
        <v>5800</v>
      </c>
      <c r="B5797" s="3" t="s">
        <v>5967</v>
      </c>
      <c r="C5797" s="3"/>
      <c r="D5797" s="3"/>
      <c r="E5797" s="2" t="str">
        <f>HYPERLINK("https://old.ukr-mobil.com/kontroller_universalnyj_48v_64v_45a_1200w_sinusoidalnyj_10003113", "Перейти")</f>
        <v>Перейти</v>
      </c>
      <c r="F5797" s="2">
        <v>10003113</v>
      </c>
      <c r="G5797" s="4" t="s">
        <v>5981</v>
      </c>
      <c r="H5797" s="1">
        <v>0</v>
      </c>
      <c r="I5797" s="1">
        <v>0</v>
      </c>
      <c r="J5797" s="1">
        <v>0</v>
      </c>
      <c r="K5797" s="2">
        <v>40.0</v>
      </c>
    </row>
    <row r="5798" spans="1:12">
      <c r="A5798" s="3" t="s">
        <v>5800</v>
      </c>
      <c r="B5798" s="3" t="s">
        <v>5967</v>
      </c>
      <c r="C5798" s="3"/>
      <c r="D5798" s="3"/>
      <c r="E5798" s="2" t="str">
        <f>HYPERLINK("https://old.ukr-mobil.com/kontroller_universalnyj_48v_60v_60a_2500w_sinusoidalnyj_10003117", "Перейти")</f>
        <v>Перейти</v>
      </c>
      <c r="F5798" s="2">
        <v>10003117</v>
      </c>
      <c r="G5798" s="4" t="s">
        <v>5982</v>
      </c>
      <c r="H5798" s="1">
        <v>0</v>
      </c>
      <c r="I5798" s="1">
        <v>0</v>
      </c>
      <c r="J5798" s="1">
        <v>0</v>
      </c>
      <c r="K5798" s="2">
        <v>64.0</v>
      </c>
    </row>
    <row r="5799" spans="1:12">
      <c r="A5799" s="3" t="s">
        <v>5800</v>
      </c>
      <c r="B5799" s="3" t="s">
        <v>5967</v>
      </c>
      <c r="C5799" s="3"/>
      <c r="D5799" s="3"/>
      <c r="E5799" s="2" t="str">
        <f>HYPERLINK("https://old.ukr-mobil.com/kontroller_universalnyj_48v_64v_30a_500w_sinusoidalnyj_10003107", "Перейти")</f>
        <v>Перейти</v>
      </c>
      <c r="F5799" s="2">
        <v>10003107</v>
      </c>
      <c r="G5799" s="4" t="s">
        <v>5983</v>
      </c>
      <c r="H5799" s="1">
        <v>0</v>
      </c>
      <c r="I5799" s="1">
        <v>0</v>
      </c>
      <c r="J5799" s="1">
        <v>0</v>
      </c>
      <c r="K5799" s="2">
        <v>26.0</v>
      </c>
    </row>
    <row r="5800" spans="1:12">
      <c r="A5800" s="3" t="s">
        <v>5800</v>
      </c>
      <c r="B5800" s="3" t="s">
        <v>5967</v>
      </c>
      <c r="C5800" s="3"/>
      <c r="D5800" s="3"/>
      <c r="E5800" s="2" t="str">
        <f>HYPERLINK("https://old.ukr-mobil.com/kontroller_universalnyj_48v_64v_35a_800w_10003109", "Перейти")</f>
        <v>Перейти</v>
      </c>
      <c r="F5800" s="2">
        <v>10003109</v>
      </c>
      <c r="G5800" s="4" t="s">
        <v>5984</v>
      </c>
      <c r="H5800" s="1">
        <v>0</v>
      </c>
      <c r="I5800" s="1">
        <v>0</v>
      </c>
      <c r="J5800" s="1">
        <v>0</v>
      </c>
      <c r="K5800" s="2">
        <v>23.0</v>
      </c>
    </row>
    <row r="5801" spans="1:12">
      <c r="A5801" s="3" t="s">
        <v>5800</v>
      </c>
      <c r="B5801" s="3" t="s">
        <v>5967</v>
      </c>
      <c r="C5801" s="3"/>
      <c r="D5801" s="3"/>
      <c r="E5801" s="2" t="str">
        <f>HYPERLINK("https://old.ukr-mobil.com/kontroller_universalnyj_48v_64v_35a_800w_sinusoidalnyj_10003110", "Перейти")</f>
        <v>Перейти</v>
      </c>
      <c r="F5801" s="2">
        <v>10003110</v>
      </c>
      <c r="G5801" s="4" t="s">
        <v>5985</v>
      </c>
      <c r="H5801" s="1">
        <v>0</v>
      </c>
      <c r="I5801" s="1">
        <v>0</v>
      </c>
      <c r="J5801" s="1">
        <v>0</v>
      </c>
      <c r="K5801" s="2">
        <v>36.0</v>
      </c>
    </row>
    <row r="5802" spans="1:12">
      <c r="A5802" s="3" t="s">
        <v>5800</v>
      </c>
      <c r="B5802" s="3" t="s">
        <v>5967</v>
      </c>
      <c r="C5802" s="3"/>
      <c r="D5802" s="3"/>
      <c r="E5802" s="2" t="str">
        <f>HYPERLINK("https://old.ukr-mobil.com/kontroller_universalnyj_48v_64v_40a_1000w_10003112", "Перейти")</f>
        <v>Перейти</v>
      </c>
      <c r="F5802" s="2">
        <v>10003112</v>
      </c>
      <c r="G5802" s="4" t="s">
        <v>5986</v>
      </c>
      <c r="H5802" s="1">
        <v>0</v>
      </c>
      <c r="I5802" s="1">
        <v>0</v>
      </c>
      <c r="J5802" s="1">
        <v>0</v>
      </c>
      <c r="K5802" s="2">
        <v>26.0</v>
      </c>
    </row>
    <row r="5803" spans="1:12">
      <c r="A5803" s="3" t="s">
        <v>5800</v>
      </c>
      <c r="B5803" s="3" t="s">
        <v>5967</v>
      </c>
      <c r="C5803" s="3"/>
      <c r="D5803" s="3"/>
      <c r="E5803" s="2" t="str">
        <f>HYPERLINK("https://old.ukr-mobil.com/kontroller_universalnyj_48v_64v_40a_1000w_sinusoidalnyj_10003111", "Перейти")</f>
        <v>Перейти</v>
      </c>
      <c r="F5803" s="2">
        <v>10003111</v>
      </c>
      <c r="G5803" s="4" t="s">
        <v>5987</v>
      </c>
      <c r="H5803" s="1">
        <v>0</v>
      </c>
      <c r="I5803" s="1">
        <v>0</v>
      </c>
      <c r="J5803" s="1">
        <v>0</v>
      </c>
      <c r="K5803" s="2">
        <v>39.0</v>
      </c>
    </row>
    <row r="5804" spans="1:12">
      <c r="A5804" s="3" t="s">
        <v>5800</v>
      </c>
      <c r="B5804" s="3" t="s">
        <v>5967</v>
      </c>
      <c r="C5804" s="3"/>
      <c r="D5804" s="3"/>
      <c r="E5804" s="2" t="str">
        <f>HYPERLINK("https://old.ukr-mobil.com/kontroller_universalnyj_48v_64v_45a_1200w_10003114", "Перейти")</f>
        <v>Перейти</v>
      </c>
      <c r="F5804" s="2">
        <v>10003114</v>
      </c>
      <c r="G5804" s="4" t="s">
        <v>5988</v>
      </c>
      <c r="H5804" s="1">
        <v>0</v>
      </c>
      <c r="I5804" s="1">
        <v>0</v>
      </c>
      <c r="J5804" s="1">
        <v>0</v>
      </c>
      <c r="K5804" s="2">
        <v>33.0</v>
      </c>
    </row>
    <row r="5805" spans="1:12">
      <c r="A5805" s="3" t="s">
        <v>5800</v>
      </c>
      <c r="B5805" s="3" t="s">
        <v>5967</v>
      </c>
      <c r="C5805" s="3"/>
      <c r="D5805" s="3"/>
      <c r="E5805" s="2" t="str">
        <f>HYPERLINK("https://old.ukr-mobil.com/kontroller_universalnyj_48v_60v_60a_2500w_10003118", "Перейти")</f>
        <v>Перейти</v>
      </c>
      <c r="F5805" s="2">
        <v>10003118</v>
      </c>
      <c r="G5805" s="4" t="s">
        <v>5989</v>
      </c>
      <c r="H5805" s="1">
        <v>0</v>
      </c>
      <c r="I5805" s="1">
        <v>0</v>
      </c>
      <c r="J5805" s="1">
        <v>0</v>
      </c>
      <c r="K5805" s="2">
        <v>48.0</v>
      </c>
    </row>
    <row r="5806" spans="1:12">
      <c r="A5806" s="3" t="s">
        <v>5800</v>
      </c>
      <c r="B5806" s="3" t="s">
        <v>5967</v>
      </c>
      <c r="C5806" s="3"/>
      <c r="D5806" s="3"/>
      <c r="E5806" s="2" t="str">
        <f>HYPERLINK("https://old.ukr-mobil.com/kontroller_universalnyj_48v_64v_25a_450w_10003106", "Перейти")</f>
        <v>Перейти</v>
      </c>
      <c r="F5806" s="2">
        <v>10003106</v>
      </c>
      <c r="G5806" s="4" t="s">
        <v>5990</v>
      </c>
      <c r="H5806" s="1">
        <v>3</v>
      </c>
      <c r="I5806" s="1">
        <v>0</v>
      </c>
      <c r="J5806" s="1">
        <v>0</v>
      </c>
      <c r="K5806" s="2">
        <v>15.0</v>
      </c>
    </row>
    <row r="5807" spans="1:12">
      <c r="A5807" s="3" t="s">
        <v>5800</v>
      </c>
      <c r="B5807" s="3" t="s">
        <v>5967</v>
      </c>
      <c r="C5807" s="3"/>
      <c r="D5807" s="3"/>
      <c r="E5807" s="2" t="str">
        <f>HYPERLINK("https://old.ukr-mobil.com/kontroller_universalnyj_48v_64v_25a_450w_sinusoidalnyj_10003105", "Перейти")</f>
        <v>Перейти</v>
      </c>
      <c r="F5807" s="2">
        <v>10003105</v>
      </c>
      <c r="G5807" s="4" t="s">
        <v>5991</v>
      </c>
      <c r="H5807" s="1">
        <v>7</v>
      </c>
      <c r="I5807" s="1">
        <v>0</v>
      </c>
      <c r="J5807" s="1">
        <v>0</v>
      </c>
      <c r="K5807" s="2">
        <v>23.0</v>
      </c>
    </row>
    <row r="5808" spans="1:12">
      <c r="A5808" s="3" t="s">
        <v>5800</v>
      </c>
      <c r="B5808" s="3" t="s">
        <v>5967</v>
      </c>
      <c r="C5808" s="3"/>
      <c r="D5808" s="3"/>
      <c r="E5808" s="2" t="str">
        <f>HYPERLINK("https://old.ukr-mobil.com/kontroller_universalnyj_48v_64v_30a_600w_10003108", "Перейти")</f>
        <v>Перейти</v>
      </c>
      <c r="F5808" s="2">
        <v>10003108</v>
      </c>
      <c r="G5808" s="4" t="s">
        <v>5992</v>
      </c>
      <c r="H5808" s="1">
        <v>0</v>
      </c>
      <c r="I5808" s="1">
        <v>0</v>
      </c>
      <c r="J5808" s="1">
        <v>0</v>
      </c>
      <c r="K5808" s="2">
        <v>18.0</v>
      </c>
    </row>
    <row r="5809" spans="1:12">
      <c r="A5809" s="3" t="s">
        <v>5800</v>
      </c>
      <c r="B5809" s="3" t="s">
        <v>5967</v>
      </c>
      <c r="C5809" s="3"/>
      <c r="D5809" s="3"/>
      <c r="E5809" s="2" t="str">
        <f>HYPERLINK("https://old.ukr-mobil.com/kontroller_universalnyj_72v_50a_1500w_10003116", "Перейти")</f>
        <v>Перейти</v>
      </c>
      <c r="F5809" s="2">
        <v>10003116</v>
      </c>
      <c r="G5809" s="4" t="s">
        <v>5993</v>
      </c>
      <c r="H5809" s="1">
        <v>0</v>
      </c>
      <c r="I5809" s="1">
        <v>0</v>
      </c>
      <c r="J5809" s="1">
        <v>0</v>
      </c>
      <c r="K5809" s="2">
        <v>36.0</v>
      </c>
    </row>
    <row r="5810" spans="1:12">
      <c r="A5810" s="3" t="s">
        <v>5800</v>
      </c>
      <c r="B5810" s="3" t="s">
        <v>5967</v>
      </c>
      <c r="C5810" s="3"/>
      <c r="D5810" s="3"/>
      <c r="E5810" s="2" t="str">
        <f>HYPERLINK("https://old.ukr-mobil.com/kontroller_universalnyj_72v_50a_1500w_sinusoidalnyj_10003115", "Перейти")</f>
        <v>Перейти</v>
      </c>
      <c r="F5810" s="2">
        <v>10003115</v>
      </c>
      <c r="G5810" s="4" t="s">
        <v>5994</v>
      </c>
      <c r="H5810" s="1">
        <v>0</v>
      </c>
      <c r="I5810" s="1">
        <v>0</v>
      </c>
      <c r="J5810" s="1">
        <v>0</v>
      </c>
      <c r="K5810" s="2">
        <v>44.0</v>
      </c>
    </row>
    <row r="5811" spans="1:12">
      <c r="A5811" s="3" t="s">
        <v>5800</v>
      </c>
      <c r="B5811" s="3" t="s">
        <v>5967</v>
      </c>
      <c r="C5811" s="3"/>
      <c r="D5811" s="3"/>
      <c r="E5811" s="2" t="str">
        <f>HYPERLINK("https://old.ukr-mobil.com/modul_bluetooth_dlya_nastrojki_kontrollerov_votol_10003254", "Перейти")</f>
        <v>Перейти</v>
      </c>
      <c r="F5811" s="2">
        <v>10003254</v>
      </c>
      <c r="G5811" s="4" t="s">
        <v>5995</v>
      </c>
      <c r="H5811" s="1">
        <v>0</v>
      </c>
      <c r="I5811" s="1">
        <v>0</v>
      </c>
      <c r="J5811" s="1">
        <v>0</v>
      </c>
      <c r="K5811" s="2">
        <v>26.0</v>
      </c>
    </row>
    <row r="5812" spans="1:12">
      <c r="A5812" s="3" t="s">
        <v>5800</v>
      </c>
      <c r="B5812" s="3" t="s">
        <v>5996</v>
      </c>
      <c r="C5812" s="3" t="s">
        <v>5997</v>
      </c>
      <c r="D5812" s="3"/>
      <c r="E5812" s="2" t="str">
        <f>HYPERLINK("https://old.ukr-mobil.com/motor_koleso_zadnee_v_sbore_s_obodom_26_36v_350w_dlya_velosipeda_vtulka_10004715", "Перейти")</f>
        <v>Перейти</v>
      </c>
      <c r="F5812" s="2">
        <v>10004715</v>
      </c>
      <c r="G5812" s="4" t="s">
        <v>5998</v>
      </c>
      <c r="H5812" s="1">
        <v>2</v>
      </c>
      <c r="I5812" s="1">
        <v>0</v>
      </c>
      <c r="J5812" s="1">
        <v>0</v>
      </c>
      <c r="K5812" s="2">
        <v>120.0</v>
      </c>
    </row>
    <row r="5813" spans="1:12">
      <c r="A5813" s="3" t="s">
        <v>5800</v>
      </c>
      <c r="B5813" s="3" t="s">
        <v>5996</v>
      </c>
      <c r="C5813" s="3" t="s">
        <v>5997</v>
      </c>
      <c r="D5813" s="3"/>
      <c r="E5813" s="2" t="str">
        <f>HYPERLINK("https://old.ukr-mobil.com/motor_koleso_zadnee_v_sbore_s_obodom_26_36v_350w_dlya_velosipeda_rezba_10004709", "Перейти")</f>
        <v>Перейти</v>
      </c>
      <c r="F5813" s="2">
        <v>10004709</v>
      </c>
      <c r="G5813" s="4" t="s">
        <v>5999</v>
      </c>
      <c r="H5813" s="1">
        <v>0</v>
      </c>
      <c r="I5813" s="1">
        <v>0</v>
      </c>
      <c r="J5813" s="1">
        <v>0</v>
      </c>
      <c r="K5813" s="2">
        <v>110.0</v>
      </c>
    </row>
    <row r="5814" spans="1:12">
      <c r="A5814" s="3" t="s">
        <v>5800</v>
      </c>
      <c r="B5814" s="3" t="s">
        <v>5996</v>
      </c>
      <c r="C5814" s="3" t="s">
        <v>5997</v>
      </c>
      <c r="D5814" s="3"/>
      <c r="E5814" s="2" t="str">
        <f>HYPERLINK("https://old.ukr-mobil.com/motor_koleso_zadnee_v_sbore_s_obodom_26_36v_500w_dlya_velosipeda_vtulka_10004717", "Перейти")</f>
        <v>Перейти</v>
      </c>
      <c r="F5814" s="2">
        <v>10004717</v>
      </c>
      <c r="G5814" s="4" t="s">
        <v>6000</v>
      </c>
      <c r="H5814" s="1">
        <v>0</v>
      </c>
      <c r="I5814" s="1">
        <v>0</v>
      </c>
      <c r="J5814" s="1">
        <v>0</v>
      </c>
      <c r="K5814" s="2">
        <v>120.0</v>
      </c>
    </row>
    <row r="5815" spans="1:12">
      <c r="A5815" s="3" t="s">
        <v>5800</v>
      </c>
      <c r="B5815" s="3" t="s">
        <v>5996</v>
      </c>
      <c r="C5815" s="3" t="s">
        <v>5997</v>
      </c>
      <c r="D5815" s="3"/>
      <c r="E5815" s="2" t="str">
        <f>HYPERLINK("https://old.ukr-mobil.com/motor_koleso_zadnee_v_sbore_s_obodom_26_36v_500w_dlya_velosipeda_rezba_10004713", "Перейти")</f>
        <v>Перейти</v>
      </c>
      <c r="F5815" s="2">
        <v>10004713</v>
      </c>
      <c r="G5815" s="4" t="s">
        <v>6001</v>
      </c>
      <c r="H5815" s="1">
        <v>0</v>
      </c>
      <c r="I5815" s="1">
        <v>0</v>
      </c>
      <c r="J5815" s="1">
        <v>0</v>
      </c>
      <c r="K5815" s="2">
        <v>131.0</v>
      </c>
    </row>
    <row r="5816" spans="1:12">
      <c r="A5816" s="3" t="s">
        <v>5800</v>
      </c>
      <c r="B5816" s="3" t="s">
        <v>5996</v>
      </c>
      <c r="C5816" s="3" t="s">
        <v>5997</v>
      </c>
      <c r="D5816" s="3"/>
      <c r="E5816" s="2" t="str">
        <f>HYPERLINK("https://old.ukr-mobil.com/motor_koleso_zadnee_v_sbore_s_obodom_28_36v_350w_dlya_velosipeda_vtulka_10004716", "Перейти")</f>
        <v>Перейти</v>
      </c>
      <c r="F5816" s="2">
        <v>10004716</v>
      </c>
      <c r="G5816" s="4" t="s">
        <v>6002</v>
      </c>
      <c r="H5816" s="1">
        <v>2</v>
      </c>
      <c r="I5816" s="1">
        <v>0</v>
      </c>
      <c r="J5816" s="1">
        <v>0</v>
      </c>
      <c r="K5816" s="2">
        <v>120.0</v>
      </c>
    </row>
    <row r="5817" spans="1:12">
      <c r="A5817" s="3" t="s">
        <v>5800</v>
      </c>
      <c r="B5817" s="3" t="s">
        <v>5996</v>
      </c>
      <c r="C5817" s="3" t="s">
        <v>5997</v>
      </c>
      <c r="D5817" s="3"/>
      <c r="E5817" s="2" t="str">
        <f>HYPERLINK("https://old.ukr-mobil.com/motor_koleso_zadnee_v_sbore_s_obodom_28_36v_350w_dlya_velosipeda_rezba_10004712", "Перейти")</f>
        <v>Перейти</v>
      </c>
      <c r="F5817" s="2">
        <v>10004712</v>
      </c>
      <c r="G5817" s="4" t="s">
        <v>6003</v>
      </c>
      <c r="H5817" s="1">
        <v>0</v>
      </c>
      <c r="I5817" s="1">
        <v>0</v>
      </c>
      <c r="J5817" s="1">
        <v>0</v>
      </c>
      <c r="K5817" s="2">
        <v>120.0</v>
      </c>
    </row>
    <row r="5818" spans="1:12">
      <c r="A5818" s="3" t="s">
        <v>5800</v>
      </c>
      <c r="B5818" s="3" t="s">
        <v>5996</v>
      </c>
      <c r="C5818" s="3" t="s">
        <v>5997</v>
      </c>
      <c r="D5818" s="3"/>
      <c r="E5818" s="2" t="str">
        <f>HYPERLINK("https://old.ukr-mobil.com/motor_koleso_zadnee_v_sbore_s_obodom_28_36v_500w_dlya_velosipeda_vtulka_10004714", "Перейти")</f>
        <v>Перейти</v>
      </c>
      <c r="F5818" s="2">
        <v>10004714</v>
      </c>
      <c r="G5818" s="4" t="s">
        <v>6004</v>
      </c>
      <c r="H5818" s="1">
        <v>2</v>
      </c>
      <c r="I5818" s="1">
        <v>0</v>
      </c>
      <c r="J5818" s="1">
        <v>0</v>
      </c>
      <c r="K5818" s="2">
        <v>130.0</v>
      </c>
    </row>
    <row r="5819" spans="1:12">
      <c r="A5819" s="3" t="s">
        <v>5800</v>
      </c>
      <c r="B5819" s="3" t="s">
        <v>5996</v>
      </c>
      <c r="C5819" s="3" t="s">
        <v>5997</v>
      </c>
      <c r="D5819" s="3"/>
      <c r="E5819" s="2" t="str">
        <f>HYPERLINK("https://old.ukr-mobil.com/motor_koleso_zadnee_v_sbore_s_obodom_28_36v_500w_dlya_velosipeda_rezba_10004718", "Перейти")</f>
        <v>Перейти</v>
      </c>
      <c r="F5819" s="2">
        <v>10004718</v>
      </c>
      <c r="G5819" s="4" t="s">
        <v>6005</v>
      </c>
      <c r="H5819" s="1">
        <v>0</v>
      </c>
      <c r="I5819" s="1">
        <v>0</v>
      </c>
      <c r="J5819" s="1">
        <v>0</v>
      </c>
      <c r="K5819" s="2">
        <v>115.0</v>
      </c>
    </row>
    <row r="5820" spans="1:12">
      <c r="A5820" s="3" t="s">
        <v>5800</v>
      </c>
      <c r="B5820" s="3" t="s">
        <v>5996</v>
      </c>
      <c r="C5820" s="3" t="s">
        <v>5997</v>
      </c>
      <c r="D5820" s="3"/>
      <c r="E5820" s="2" t="str">
        <f>HYPERLINK("https://old.ukr-mobil.com/motor_koleso_zadnee_36v_350w_dlya_velosipeda_vtulka_10004721", "Перейти")</f>
        <v>Перейти</v>
      </c>
      <c r="F5820" s="2">
        <v>10004721</v>
      </c>
      <c r="G5820" s="4" t="s">
        <v>6006</v>
      </c>
      <c r="H5820" s="1">
        <v>3</v>
      </c>
      <c r="I5820" s="1">
        <v>0</v>
      </c>
      <c r="J5820" s="1">
        <v>0</v>
      </c>
      <c r="K5820" s="2">
        <v>95.0</v>
      </c>
    </row>
    <row r="5821" spans="1:12">
      <c r="A5821" s="3" t="s">
        <v>5800</v>
      </c>
      <c r="B5821" s="3" t="s">
        <v>5996</v>
      </c>
      <c r="C5821" s="3" t="s">
        <v>5997</v>
      </c>
      <c r="D5821" s="3"/>
      <c r="E5821" s="2" t="str">
        <f>HYPERLINK("https://old.ukr-mobil.com/motor_koleso_zadnee_36v_350w_dlya_velosipeda_rezba_10004720", "Перейти")</f>
        <v>Перейти</v>
      </c>
      <c r="F5821" s="2">
        <v>10004720</v>
      </c>
      <c r="G5821" s="4" t="s">
        <v>6007</v>
      </c>
      <c r="H5821" s="1">
        <v>0</v>
      </c>
      <c r="I5821" s="1">
        <v>0</v>
      </c>
      <c r="J5821" s="1">
        <v>0</v>
      </c>
      <c r="K5821" s="2">
        <v>90.0</v>
      </c>
    </row>
    <row r="5822" spans="1:12">
      <c r="A5822" s="3" t="s">
        <v>5800</v>
      </c>
      <c r="B5822" s="3" t="s">
        <v>5996</v>
      </c>
      <c r="C5822" s="3" t="s">
        <v>5997</v>
      </c>
      <c r="D5822" s="3"/>
      <c r="E5822" s="2" t="str">
        <f>HYPERLINK("https://old.ukr-mobil.com/motor_koleso_zadnee_48v_500w_dlya_velosipeda_vtulka_10004723", "Перейти")</f>
        <v>Перейти</v>
      </c>
      <c r="F5822" s="2">
        <v>10004723</v>
      </c>
      <c r="G5822" s="4" t="s">
        <v>6008</v>
      </c>
      <c r="H5822" s="1">
        <v>0</v>
      </c>
      <c r="I5822" s="1">
        <v>0</v>
      </c>
      <c r="J5822" s="1">
        <v>0</v>
      </c>
      <c r="K5822" s="2">
        <v>110.0</v>
      </c>
    </row>
    <row r="5823" spans="1:12">
      <c r="A5823" s="3" t="s">
        <v>5800</v>
      </c>
      <c r="B5823" s="3" t="s">
        <v>5996</v>
      </c>
      <c r="C5823" s="3" t="s">
        <v>5997</v>
      </c>
      <c r="D5823" s="3"/>
      <c r="E5823" s="2" t="str">
        <f>HYPERLINK("https://old.ukr-mobil.com/motor_koleso_zadnee_48v_500w_dlya_velosipeda_rezba_10004722", "Перейти")</f>
        <v>Перейти</v>
      </c>
      <c r="F5823" s="2">
        <v>10004722</v>
      </c>
      <c r="G5823" s="4" t="s">
        <v>6009</v>
      </c>
      <c r="H5823" s="1">
        <v>0</v>
      </c>
      <c r="I5823" s="1">
        <v>0</v>
      </c>
      <c r="J5823" s="1">
        <v>0</v>
      </c>
      <c r="K5823" s="2">
        <v>130.0</v>
      </c>
    </row>
    <row r="5824" spans="1:12">
      <c r="A5824" s="3" t="s">
        <v>5800</v>
      </c>
      <c r="B5824" s="3" t="s">
        <v>5996</v>
      </c>
      <c r="C5824" s="3" t="s">
        <v>6010</v>
      </c>
      <c r="D5824" s="3"/>
      <c r="E5824" s="2" t="str">
        <f>HYPERLINK("https://old.ukr-mobil.com/motor_koleso_perednee_v_sbore_s_obodom_26_36v_350w_dlya_velosipeda_10004707", "Перейти")</f>
        <v>Перейти</v>
      </c>
      <c r="F5824" s="2">
        <v>10004707</v>
      </c>
      <c r="G5824" s="4" t="s">
        <v>6011</v>
      </c>
      <c r="H5824" s="1">
        <v>0</v>
      </c>
      <c r="I5824" s="1">
        <v>0</v>
      </c>
      <c r="J5824" s="1">
        <v>0</v>
      </c>
      <c r="K5824" s="2">
        <v>118.0</v>
      </c>
    </row>
    <row r="5825" spans="1:12">
      <c r="A5825" s="3" t="s">
        <v>5800</v>
      </c>
      <c r="B5825" s="3" t="s">
        <v>5996</v>
      </c>
      <c r="C5825" s="3" t="s">
        <v>6010</v>
      </c>
      <c r="D5825" s="3"/>
      <c r="E5825" s="2" t="str">
        <f>HYPERLINK("https://old.ukr-mobil.com/motor_koleso_perednee_v_sbore_s_obodom_28_36v_350w_dlya_velosipeda_10004708", "Перейти")</f>
        <v>Перейти</v>
      </c>
      <c r="F5825" s="2">
        <v>10004708</v>
      </c>
      <c r="G5825" s="4" t="s">
        <v>6012</v>
      </c>
      <c r="H5825" s="1">
        <v>0</v>
      </c>
      <c r="I5825" s="1">
        <v>0</v>
      </c>
      <c r="J5825" s="1">
        <v>0</v>
      </c>
      <c r="K5825" s="2">
        <v>118.0</v>
      </c>
    </row>
    <row r="5826" spans="1:12">
      <c r="A5826" s="3" t="s">
        <v>5800</v>
      </c>
      <c r="B5826" s="3" t="s">
        <v>5996</v>
      </c>
      <c r="C5826" s="3" t="s">
        <v>6010</v>
      </c>
      <c r="D5826" s="3"/>
      <c r="E5826" s="2" t="str">
        <f>HYPERLINK("https://old.ukr-mobil.com/motor_koleso_perednee_36v_350w_dlya_velosipeda_10004719", "Перейти")</f>
        <v>Перейти</v>
      </c>
      <c r="F5826" s="2">
        <v>10004719</v>
      </c>
      <c r="G5826" s="4" t="s">
        <v>6013</v>
      </c>
      <c r="H5826" s="1">
        <v>2</v>
      </c>
      <c r="I5826" s="1">
        <v>0</v>
      </c>
      <c r="J5826" s="1">
        <v>0</v>
      </c>
      <c r="K5826" s="2">
        <v>90.0</v>
      </c>
    </row>
    <row r="5827" spans="1:12">
      <c r="A5827" s="3" t="s">
        <v>5800</v>
      </c>
      <c r="B5827" s="3" t="s">
        <v>6014</v>
      </c>
      <c r="C5827" s="3"/>
      <c r="D5827" s="3"/>
      <c r="E5827" s="2" t="str">
        <f>HYPERLINK("https://old.ukr-mobil.com/akselerator_dlya_ehlektrotransporta_s_knopkoj_vklyucheniya_10003640", "Перейти")</f>
        <v>Перейти</v>
      </c>
      <c r="F5827" s="2">
        <v>10003640</v>
      </c>
      <c r="G5827" s="4" t="s">
        <v>6015</v>
      </c>
      <c r="H5827" s="1">
        <v>0</v>
      </c>
      <c r="I5827" s="1">
        <v>0</v>
      </c>
      <c r="J5827" s="1">
        <v>0</v>
      </c>
      <c r="K5827" s="2">
        <v>4.0</v>
      </c>
    </row>
    <row r="5828" spans="1:12">
      <c r="A5828" s="3" t="s">
        <v>5800</v>
      </c>
      <c r="B5828" s="3" t="s">
        <v>6014</v>
      </c>
      <c r="C5828" s="3"/>
      <c r="D5828" s="3"/>
      <c r="E5828" s="2" t="str">
        <f>HYPERLINK("https://old.ukr-mobil.com/voltmetr_dlya_ehlektrotransporta_s_zelenoj_led_podsvetkoj_10003639", "Перейти")</f>
        <v>Перейти</v>
      </c>
      <c r="F5828" s="2">
        <v>10003639</v>
      </c>
      <c r="G5828" s="4" t="s">
        <v>6016</v>
      </c>
      <c r="H5828" s="1">
        <v>0</v>
      </c>
      <c r="I5828" s="1">
        <v>0</v>
      </c>
      <c r="J5828" s="1">
        <v>0</v>
      </c>
      <c r="K5828" s="2">
        <v>6.1</v>
      </c>
    </row>
    <row r="5829" spans="1:12">
      <c r="A5829" s="3" t="s">
        <v>5800</v>
      </c>
      <c r="B5829" s="3" t="s">
        <v>6014</v>
      </c>
      <c r="C5829" s="3"/>
      <c r="D5829" s="3"/>
      <c r="E5829" s="2" t="str">
        <f>HYPERLINK("https://old.ukr-mobil.com/voltmetr_dlya_ehlektrotransporta_s_sinej_led_podsvetkoj_10003638", "Перейти")</f>
        <v>Перейти</v>
      </c>
      <c r="F5829" s="2">
        <v>10003638</v>
      </c>
      <c r="G5829" s="4" t="s">
        <v>6017</v>
      </c>
      <c r="H5829" s="1">
        <v>0</v>
      </c>
      <c r="I5829" s="1">
        <v>0</v>
      </c>
      <c r="J5829" s="1">
        <v>0</v>
      </c>
      <c r="K5829" s="2">
        <v>5.8</v>
      </c>
    </row>
    <row r="5830" spans="1:12">
      <c r="A5830" s="3" t="s">
        <v>5800</v>
      </c>
      <c r="B5830" s="3" t="s">
        <v>6014</v>
      </c>
      <c r="C5830" s="3"/>
      <c r="D5830" s="3"/>
      <c r="E5830" s="2" t="str">
        <f>HYPERLINK("https://old.ukr-mobil.com/zamok_vklyucheniya_dlya_ehlektricheskogo_transporta_10003627", "Перейти")</f>
        <v>Перейти</v>
      </c>
      <c r="F5830" s="2">
        <v>10003627</v>
      </c>
      <c r="G5830" s="4" t="s">
        <v>6018</v>
      </c>
      <c r="H5830" s="1">
        <v>0</v>
      </c>
      <c r="I5830" s="1">
        <v>0</v>
      </c>
      <c r="J5830" s="1">
        <v>0</v>
      </c>
      <c r="K5830" s="2">
        <v>3.3</v>
      </c>
    </row>
    <row r="5831" spans="1:12">
      <c r="A5831" s="3" t="s">
        <v>5800</v>
      </c>
      <c r="B5831" s="3" t="s">
        <v>6014</v>
      </c>
      <c r="C5831" s="3"/>
      <c r="D5831" s="3"/>
      <c r="E5831" s="2" t="str">
        <f>HYPERLINK("https://old.ukr-mobil.com/zamok_vklyucheniya_dlya_ehlektricheskogo_transporta_s_trekhstadijnoj_knopkoj_10003626", "Перейти")</f>
        <v>Перейти</v>
      </c>
      <c r="F5831" s="2">
        <v>10003626</v>
      </c>
      <c r="G5831" s="4" t="s">
        <v>6019</v>
      </c>
      <c r="H5831" s="1">
        <v>0</v>
      </c>
      <c r="I5831" s="1">
        <v>0</v>
      </c>
      <c r="J5831" s="1">
        <v>1</v>
      </c>
      <c r="K5831" s="2">
        <v>2.9</v>
      </c>
    </row>
    <row r="5832" spans="1:12">
      <c r="A5832" s="3" t="s">
        <v>5800</v>
      </c>
      <c r="B5832" s="3" t="s">
        <v>6014</v>
      </c>
      <c r="C5832" s="3"/>
      <c r="D5832" s="3"/>
      <c r="E5832" s="2" t="str">
        <f>HYPERLINK("https://old.ukr-mobil.com/zaryadnoe_ustrojstvo_dlya_usb_2a_10003663", "Перейти")</f>
        <v>Перейти</v>
      </c>
      <c r="F5832" s="2">
        <v>10003663</v>
      </c>
      <c r="G5832" s="4" t="s">
        <v>6020</v>
      </c>
      <c r="H5832" s="1">
        <v>0</v>
      </c>
      <c r="I5832" s="1">
        <v>0</v>
      </c>
      <c r="J5832" s="1">
        <v>4</v>
      </c>
      <c r="K5832" s="2">
        <v>5.6</v>
      </c>
    </row>
    <row r="5833" spans="1:12">
      <c r="A5833" s="3" t="s">
        <v>5800</v>
      </c>
      <c r="B5833" s="3" t="s">
        <v>6014</v>
      </c>
      <c r="C5833" s="3"/>
      <c r="D5833" s="3"/>
      <c r="E5833" s="2" t="str">
        <f>HYPERLINK("https://old.ukr-mobil.com/komplekt_kurka_gaza_dlya_ehlektrotransporta_s_zamkom_zazhiganiya_i_voltmetrom_10003629", "Перейти")</f>
        <v>Перейти</v>
      </c>
      <c r="F5833" s="2">
        <v>10003629</v>
      </c>
      <c r="G5833" s="4" t="s">
        <v>6021</v>
      </c>
      <c r="H5833" s="1">
        <v>0</v>
      </c>
      <c r="I5833" s="1">
        <v>0</v>
      </c>
      <c r="J5833" s="1">
        <v>0</v>
      </c>
      <c r="K5833" s="2">
        <v>8.7</v>
      </c>
    </row>
    <row r="5834" spans="1:12">
      <c r="A5834" s="3" t="s">
        <v>5800</v>
      </c>
      <c r="B5834" s="3" t="s">
        <v>6014</v>
      </c>
      <c r="C5834" s="3"/>
      <c r="D5834" s="3"/>
      <c r="E5834" s="2" t="str">
        <f>HYPERLINK("https://old.ukr-mobil.com/komplekt_ruchki_gaza_dlya_ehlektrotransporta_s_zamkom_zazhiganiya_i_voltmetrom_10003628", "Перейти")</f>
        <v>Перейти</v>
      </c>
      <c r="F5834" s="2">
        <v>10003628</v>
      </c>
      <c r="G5834" s="4" t="s">
        <v>6022</v>
      </c>
      <c r="H5834" s="1">
        <v>0</v>
      </c>
      <c r="I5834" s="1">
        <v>0</v>
      </c>
      <c r="J5834" s="1">
        <v>0</v>
      </c>
      <c r="K5834" s="2">
        <v>9.5</v>
      </c>
    </row>
    <row r="5835" spans="1:12">
      <c r="A5835" s="3" t="s">
        <v>5800</v>
      </c>
      <c r="B5835" s="3" t="s">
        <v>6014</v>
      </c>
      <c r="C5835" s="3"/>
      <c r="D5835" s="3"/>
      <c r="E5835" s="2" t="str">
        <f>HYPERLINK("https://old.ukr-mobil.com/komplekt_ruchki_gaza_s_zamkom_vklyucheniya_i_voltmetrom_krasnym_dlya_ehlektrotransporta_10003645", "Перейти")</f>
        <v>Перейти</v>
      </c>
      <c r="F5835" s="2">
        <v>10003645</v>
      </c>
      <c r="G5835" s="4" t="s">
        <v>6023</v>
      </c>
      <c r="H5835" s="1">
        <v>0</v>
      </c>
      <c r="I5835" s="1">
        <v>0</v>
      </c>
      <c r="J5835" s="1">
        <v>0</v>
      </c>
      <c r="K5835" s="2">
        <v>10.6</v>
      </c>
    </row>
    <row r="5836" spans="1:12">
      <c r="A5836" s="3" t="s">
        <v>5800</v>
      </c>
      <c r="B5836" s="3" t="s">
        <v>6014</v>
      </c>
      <c r="C5836" s="3"/>
      <c r="D5836" s="3"/>
      <c r="E5836" s="2" t="str">
        <f>HYPERLINK("https://old.ukr-mobil.com/komplekt_ruchki_gaza_s_zamkom_vklyucheniya_i_voltmetrom_sinim_dlya_ehlektrotransporta_10003644", "Перейти")</f>
        <v>Перейти</v>
      </c>
      <c r="F5836" s="2">
        <v>10003644</v>
      </c>
      <c r="G5836" s="4" t="s">
        <v>6024</v>
      </c>
      <c r="H5836" s="1">
        <v>0</v>
      </c>
      <c r="I5836" s="1">
        <v>0</v>
      </c>
      <c r="J5836" s="1">
        <v>0</v>
      </c>
      <c r="K5836" s="2">
        <v>11.7</v>
      </c>
    </row>
    <row r="5837" spans="1:12">
      <c r="A5837" s="3" t="s">
        <v>5800</v>
      </c>
      <c r="B5837" s="3" t="s">
        <v>6014</v>
      </c>
      <c r="C5837" s="3"/>
      <c r="D5837" s="3"/>
      <c r="E5837" s="2" t="str">
        <f>HYPERLINK("https://old.ukr-mobil.com/komplekt_ruchki_gaza_s_zamkom_vklyucheniya_i_voltmetrom_dlya_ehlektrotransporta_10003647", "Перейти")</f>
        <v>Перейти</v>
      </c>
      <c r="F5837" s="2">
        <v>10003647</v>
      </c>
      <c r="G5837" s="4" t="s">
        <v>6025</v>
      </c>
      <c r="H5837" s="1">
        <v>0</v>
      </c>
      <c r="I5837" s="1">
        <v>0</v>
      </c>
      <c r="J5837" s="1">
        <v>0</v>
      </c>
      <c r="K5837" s="2">
        <v>9.9</v>
      </c>
    </row>
    <row r="5838" spans="1:12">
      <c r="A5838" s="3" t="s">
        <v>5800</v>
      </c>
      <c r="B5838" s="3" t="s">
        <v>6014</v>
      </c>
      <c r="C5838" s="3"/>
      <c r="D5838" s="3"/>
      <c r="E5838" s="2" t="str">
        <f>HYPERLINK("https://old.ukr-mobil.com/komplekt_ruchki_gaza_s_zamkom_vklyucheniya_voltmetrom_i_knopkoj_na_3_polozheniya_dlya_ehlektrotransporta_10003646", "Перейти")</f>
        <v>Перейти</v>
      </c>
      <c r="F5838" s="2">
        <v>10003646</v>
      </c>
      <c r="G5838" s="4" t="s">
        <v>6026</v>
      </c>
      <c r="H5838" s="1">
        <v>0</v>
      </c>
      <c r="I5838" s="1">
        <v>0</v>
      </c>
      <c r="J5838" s="1">
        <v>0</v>
      </c>
      <c r="K5838" s="2">
        <v>10.5</v>
      </c>
    </row>
    <row r="5839" spans="1:12">
      <c r="A5839" s="3" t="s">
        <v>5800</v>
      </c>
      <c r="B5839" s="3" t="s">
        <v>6014</v>
      </c>
      <c r="C5839" s="3"/>
      <c r="D5839" s="3"/>
      <c r="E5839" s="2" t="str">
        <f>HYPERLINK("https://old.ukr-mobil.com/komplekt_ruchki_gaza_s_knopkoj_vklyucheniya_dlya_ehlektrotransporta_10003641", "Перейти")</f>
        <v>Перейти</v>
      </c>
      <c r="F5839" s="2">
        <v>10003641</v>
      </c>
      <c r="G5839" s="4" t="s">
        <v>6027</v>
      </c>
      <c r="H5839" s="1">
        <v>0</v>
      </c>
      <c r="I5839" s="1">
        <v>0</v>
      </c>
      <c r="J5839" s="1">
        <v>0</v>
      </c>
      <c r="K5839" s="2">
        <v>4.5</v>
      </c>
    </row>
    <row r="5840" spans="1:12">
      <c r="A5840" s="3" t="s">
        <v>5800</v>
      </c>
      <c r="B5840" s="3" t="s">
        <v>6014</v>
      </c>
      <c r="C5840" s="3"/>
      <c r="D5840" s="3"/>
      <c r="E5840" s="2" t="str">
        <f>HYPERLINK("https://old.ukr-mobil.com/komplekt_ruchki_gaza_s_knopkoj_vklyucheniya_i_knopkoj_bez_fiksacii_dlya_ehlektrotransporta_10003643", "Перейти")</f>
        <v>Перейти</v>
      </c>
      <c r="F5840" s="2">
        <v>10003643</v>
      </c>
      <c r="G5840" s="4" t="s">
        <v>6028</v>
      </c>
      <c r="H5840" s="1">
        <v>0</v>
      </c>
      <c r="I5840" s="1">
        <v>0</v>
      </c>
      <c r="J5840" s="1">
        <v>0</v>
      </c>
      <c r="K5840" s="2">
        <v>4.8</v>
      </c>
    </row>
    <row r="5841" spans="1:12">
      <c r="A5841" s="3" t="s">
        <v>5800</v>
      </c>
      <c r="B5841" s="3" t="s">
        <v>6014</v>
      </c>
      <c r="C5841" s="3"/>
      <c r="D5841" s="3"/>
      <c r="E5841" s="2" t="str">
        <f>HYPERLINK("https://old.ukr-mobil.com/komplekt_ruchki_gaza_s_knopkoj_vklyucheniya_na_3_polozheniya_i_knopkoj_bez_fiksacii_dlya_ehlektrotransporta_10003642", "Перейти")</f>
        <v>Перейти</v>
      </c>
      <c r="F5841" s="2">
        <v>10003642</v>
      </c>
      <c r="G5841" s="4" t="s">
        <v>6029</v>
      </c>
      <c r="H5841" s="1">
        <v>0</v>
      </c>
      <c r="I5841" s="1">
        <v>0</v>
      </c>
      <c r="J5841" s="1">
        <v>0</v>
      </c>
      <c r="K5841" s="2">
        <v>6.0</v>
      </c>
    </row>
    <row r="5842" spans="1:12">
      <c r="A5842" s="3" t="s">
        <v>5800</v>
      </c>
      <c r="B5842" s="3" t="s">
        <v>6014</v>
      </c>
      <c r="C5842" s="3"/>
      <c r="D5842" s="3"/>
      <c r="E5842" s="2" t="str">
        <f>HYPERLINK("https://old.ukr-mobil.com/kurok_akseleratora_300h_dlya_ehlektrotransporta_10003660", "Перейти")</f>
        <v>Перейти</v>
      </c>
      <c r="F5842" s="2">
        <v>10003660</v>
      </c>
      <c r="G5842" s="4" t="s">
        <v>6030</v>
      </c>
      <c r="H5842" s="1">
        <v>0</v>
      </c>
      <c r="I5842" s="1">
        <v>0</v>
      </c>
      <c r="J5842" s="1">
        <v>2</v>
      </c>
      <c r="K5842" s="2">
        <v>15.7</v>
      </c>
    </row>
    <row r="5843" spans="1:12">
      <c r="A5843" s="3" t="s">
        <v>5800</v>
      </c>
      <c r="B5843" s="3" t="s">
        <v>6014</v>
      </c>
      <c r="C5843" s="3"/>
      <c r="D5843" s="3"/>
      <c r="E5843" s="2" t="str">
        <f>HYPERLINK("https://old.ukr-mobil.com/kurok_akseleratora_lh_108x_dlya_ehlektrotransporta_10003661", "Перейти")</f>
        <v>Перейти</v>
      </c>
      <c r="F5843" s="2">
        <v>10003661</v>
      </c>
      <c r="G5843" s="4" t="s">
        <v>6031</v>
      </c>
      <c r="H5843" s="1">
        <v>0</v>
      </c>
      <c r="I5843" s="1">
        <v>0</v>
      </c>
      <c r="J5843" s="1">
        <v>5</v>
      </c>
      <c r="K5843" s="2">
        <v>12.9</v>
      </c>
    </row>
    <row r="5844" spans="1:12">
      <c r="A5844" s="3" t="s">
        <v>5800</v>
      </c>
      <c r="B5844" s="3" t="s">
        <v>6014</v>
      </c>
      <c r="C5844" s="3"/>
      <c r="D5844" s="3"/>
      <c r="E5844" s="2" t="str">
        <f>HYPERLINK("https://old.ukr-mobil.com/kurok_akseleratora_rh_108x_dlya_ehlektrotransporta_10003662", "Перейти")</f>
        <v>Перейти</v>
      </c>
      <c r="F5844" s="2">
        <v>10003662</v>
      </c>
      <c r="G5844" s="4" t="s">
        <v>6032</v>
      </c>
      <c r="H5844" s="1">
        <v>0</v>
      </c>
      <c r="I5844" s="1">
        <v>0</v>
      </c>
      <c r="J5844" s="1">
        <v>4</v>
      </c>
      <c r="K5844" s="2">
        <v>12.9</v>
      </c>
    </row>
    <row r="5845" spans="1:12">
      <c r="A5845" s="3" t="s">
        <v>5800</v>
      </c>
      <c r="B5845" s="3" t="s">
        <v>6014</v>
      </c>
      <c r="C5845" s="3"/>
      <c r="D5845" s="3"/>
      <c r="E5845" s="2" t="str">
        <f>HYPERLINK("https://old.ukr-mobil.com/kurok_gaza_dlya_ehlektrotransporta_na_36v_osnashchen_zamkom_zapuska_indikatorom_sostoyaniya_i_knopkoj_10003631", "Перейти")</f>
        <v>Перейти</v>
      </c>
      <c r="F5845" s="2">
        <v>10003631</v>
      </c>
      <c r="G5845" s="4" t="s">
        <v>6033</v>
      </c>
      <c r="H5845" s="1">
        <v>0</v>
      </c>
      <c r="I5845" s="1">
        <v>0</v>
      </c>
      <c r="J5845" s="1">
        <v>0</v>
      </c>
      <c r="K5845" s="2">
        <v>7.8</v>
      </c>
    </row>
    <row r="5846" spans="1:12">
      <c r="A5846" s="3" t="s">
        <v>5800</v>
      </c>
      <c r="B5846" s="3" t="s">
        <v>6014</v>
      </c>
      <c r="C5846" s="3"/>
      <c r="D5846" s="3"/>
      <c r="E5846" s="2" t="str">
        <f>HYPERLINK("https://old.ukr-mobil.com/kurok_gaza_dlya_ehlektrotransporta_na_36v_osnashchen_indikatorom_i_knopkoj_bez_fiksacii_10003635", "Перейти")</f>
        <v>Перейти</v>
      </c>
      <c r="F5846" s="2">
        <v>10003635</v>
      </c>
      <c r="G5846" s="4" t="s">
        <v>6034</v>
      </c>
      <c r="H5846" s="1">
        <v>0</v>
      </c>
      <c r="I5846" s="1">
        <v>0</v>
      </c>
      <c r="J5846" s="1">
        <v>0</v>
      </c>
      <c r="K5846" s="2">
        <v>6.8</v>
      </c>
    </row>
    <row r="5847" spans="1:12">
      <c r="A5847" s="3" t="s">
        <v>5800</v>
      </c>
      <c r="B5847" s="3" t="s">
        <v>6014</v>
      </c>
      <c r="C5847" s="3"/>
      <c r="D5847" s="3"/>
      <c r="E5847" s="2" t="str">
        <f>HYPERLINK("https://old.ukr-mobil.com/kurok_gaza_dlya_ehlektrotransporta_na_36v_osnashchen_indikatorom_i_knopkoj_vklyucheniya_10003637", "Перейти")</f>
        <v>Перейти</v>
      </c>
      <c r="F5847" s="2">
        <v>10003637</v>
      </c>
      <c r="G5847" s="4" t="s">
        <v>6035</v>
      </c>
      <c r="H5847" s="1">
        <v>0</v>
      </c>
      <c r="I5847" s="1">
        <v>0</v>
      </c>
      <c r="J5847" s="1">
        <v>0</v>
      </c>
      <c r="K5847" s="2">
        <v>9.0</v>
      </c>
    </row>
    <row r="5848" spans="1:12">
      <c r="A5848" s="3" t="s">
        <v>5800</v>
      </c>
      <c r="B5848" s="3" t="s">
        <v>6014</v>
      </c>
      <c r="C5848" s="3"/>
      <c r="D5848" s="3"/>
      <c r="E5848" s="2" t="str">
        <f>HYPERLINK("https://old.ukr-mobil.com/kurok_gaza_dlya_ehlektrotransporta_na_48v_osnashchen_zamkom_zapuska_indikatorom_sostoyaniya_i_knopkoj_10003630", "Перейти")</f>
        <v>Перейти</v>
      </c>
      <c r="F5848" s="2">
        <v>10003630</v>
      </c>
      <c r="G5848" s="4" t="s">
        <v>6036</v>
      </c>
      <c r="H5848" s="1">
        <v>0</v>
      </c>
      <c r="I5848" s="1">
        <v>0</v>
      </c>
      <c r="J5848" s="1">
        <v>0</v>
      </c>
      <c r="K5848" s="2">
        <v>8.5</v>
      </c>
    </row>
    <row r="5849" spans="1:12">
      <c r="A5849" s="3" t="s">
        <v>5800</v>
      </c>
      <c r="B5849" s="3" t="s">
        <v>6014</v>
      </c>
      <c r="C5849" s="3"/>
      <c r="D5849" s="3"/>
      <c r="E5849" s="2" t="str">
        <f>HYPERLINK("https://old.ukr-mobil.com/kurok_gaza_dlya_ehlektrotransporta_na_48v_osnashchen_indikatorom_i_knopkoj_bez_fiksacii_10003634", "Перейти")</f>
        <v>Перейти</v>
      </c>
      <c r="F5849" s="2">
        <v>10003634</v>
      </c>
      <c r="G5849" s="4" t="s">
        <v>6037</v>
      </c>
      <c r="H5849" s="1">
        <v>0</v>
      </c>
      <c r="I5849" s="1">
        <v>0</v>
      </c>
      <c r="J5849" s="1">
        <v>0</v>
      </c>
      <c r="K5849" s="2">
        <v>6.8</v>
      </c>
    </row>
    <row r="5850" spans="1:12">
      <c r="A5850" s="3" t="s">
        <v>5800</v>
      </c>
      <c r="B5850" s="3" t="s">
        <v>6014</v>
      </c>
      <c r="C5850" s="3"/>
      <c r="D5850" s="3"/>
      <c r="E5850" s="2" t="str">
        <f>HYPERLINK("https://old.ukr-mobil.com/kurok_gaza_dlya_ehlektrotransporta_na_48v_osnashchen_indikatorom_i_knopkoj_vklyucheniya_10003636", "Перейти")</f>
        <v>Перейти</v>
      </c>
      <c r="F5850" s="2">
        <v>10003636</v>
      </c>
      <c r="G5850" s="4" t="s">
        <v>6038</v>
      </c>
      <c r="H5850" s="1">
        <v>0</v>
      </c>
      <c r="I5850" s="1">
        <v>0</v>
      </c>
      <c r="J5850" s="1">
        <v>0</v>
      </c>
      <c r="K5850" s="2">
        <v>6.6</v>
      </c>
    </row>
    <row r="5851" spans="1:12">
      <c r="A5851" s="3" t="s">
        <v>5800</v>
      </c>
      <c r="B5851" s="3" t="s">
        <v>6014</v>
      </c>
      <c r="C5851" s="3"/>
      <c r="D5851" s="3"/>
      <c r="E5851" s="2" t="str">
        <f>HYPERLINK("https://old.ukr-mobil.com/mnogofunkcionalnaya_knopka_vklyucheniya_s_trekhpozicionnym_regulyatorom_10003624", "Перейти")</f>
        <v>Перейти</v>
      </c>
      <c r="F5851" s="2">
        <v>10003624</v>
      </c>
      <c r="G5851" s="4" t="s">
        <v>6039</v>
      </c>
      <c r="H5851" s="1">
        <v>0</v>
      </c>
      <c r="I5851" s="1">
        <v>0</v>
      </c>
      <c r="J5851" s="1">
        <v>0</v>
      </c>
      <c r="K5851" s="2">
        <v>2.0</v>
      </c>
    </row>
    <row r="5852" spans="1:12">
      <c r="A5852" s="3" t="s">
        <v>5800</v>
      </c>
      <c r="B5852" s="3" t="s">
        <v>6014</v>
      </c>
      <c r="C5852" s="3"/>
      <c r="D5852" s="3"/>
      <c r="E5852" s="2" t="str">
        <f>HYPERLINK("https://old.ukr-mobil.com/ruchka_gaza_dlya_ehlektrotransporta_na_36v_osnashchen_zamkom_zapuska_indikatorom_sostoyaniya_10003633", "Перейти")</f>
        <v>Перейти</v>
      </c>
      <c r="F5852" s="2">
        <v>10003633</v>
      </c>
      <c r="G5852" s="4" t="s">
        <v>6040</v>
      </c>
      <c r="H5852" s="1">
        <v>0</v>
      </c>
      <c r="I5852" s="1">
        <v>0</v>
      </c>
      <c r="J5852" s="1">
        <v>0</v>
      </c>
      <c r="K5852" s="2">
        <v>8.0</v>
      </c>
    </row>
    <row r="5853" spans="1:12">
      <c r="A5853" s="3" t="s">
        <v>5800</v>
      </c>
      <c r="B5853" s="3" t="s">
        <v>6014</v>
      </c>
      <c r="C5853" s="3"/>
      <c r="D5853" s="3"/>
      <c r="E5853" s="2" t="str">
        <f>HYPERLINK("https://old.ukr-mobil.com/ruchka_gaza_dlya_ehlektrotransporta_na_48v_osnashchen_zamkom_zapuska_indikatorom_sostoyaniya_10003632", "Перейти")</f>
        <v>Перейти</v>
      </c>
      <c r="F5853" s="2">
        <v>10003632</v>
      </c>
      <c r="G5853" s="4" t="s">
        <v>6041</v>
      </c>
      <c r="H5853" s="1">
        <v>0</v>
      </c>
      <c r="I5853" s="1">
        <v>0</v>
      </c>
      <c r="J5853" s="1">
        <v>0</v>
      </c>
      <c r="K5853" s="2">
        <v>7.6</v>
      </c>
    </row>
    <row r="5854" spans="1:12">
      <c r="A5854" s="3" t="s">
        <v>5800</v>
      </c>
      <c r="B5854" s="3" t="s">
        <v>6014</v>
      </c>
      <c r="C5854" s="3"/>
      <c r="D5854" s="3"/>
      <c r="E5854" s="2" t="str">
        <f>HYPERLINK("https://old.ukr-mobil.com/tormoznoj_datchik_dlya_ehlektrotransporta_10003655", "Перейти")</f>
        <v>Перейти</v>
      </c>
      <c r="F5854" s="2">
        <v>10003655</v>
      </c>
      <c r="G5854" s="4" t="s">
        <v>6042</v>
      </c>
      <c r="H5854" s="1">
        <v>0</v>
      </c>
      <c r="I5854" s="1">
        <v>0</v>
      </c>
      <c r="J5854" s="1">
        <v>0</v>
      </c>
      <c r="K5854" s="2">
        <v>15.0</v>
      </c>
    </row>
    <row r="5855" spans="1:12">
      <c r="A5855" s="3" t="s">
        <v>5800</v>
      </c>
      <c r="B5855" s="3" t="s">
        <v>6014</v>
      </c>
      <c r="C5855" s="3"/>
      <c r="D5855" s="3"/>
      <c r="E5855" s="2" t="str">
        <f>HYPERLINK("https://old.ukr-mobil.com/index.php?route=product&amp;product_id=10004868", "Перейти")</f>
        <v>Перейти</v>
      </c>
      <c r="F5855" s="2">
        <v>10004868</v>
      </c>
      <c r="G5855" s="4" t="s">
        <v>6043</v>
      </c>
      <c r="H5855" s="1">
        <v>10</v>
      </c>
      <c r="I5855" s="1">
        <v>0</v>
      </c>
      <c r="J5855" s="1">
        <v>4</v>
      </c>
      <c r="K5855" s="2">
        <v>3.53</v>
      </c>
    </row>
    <row r="5856" spans="1:12">
      <c r="A5856" s="3" t="s">
        <v>5800</v>
      </c>
      <c r="B5856" s="3" t="s">
        <v>6014</v>
      </c>
      <c r="C5856" s="3"/>
      <c r="D5856" s="3"/>
      <c r="E5856" s="2" t="str">
        <f>HYPERLINK("https://old.ukr-mobil.com/usilitel_dropautov_12-14_mm_10003664", "Перейти")</f>
        <v>Перейти</v>
      </c>
      <c r="F5856" s="2">
        <v>10003664</v>
      </c>
      <c r="G5856" s="4" t="s">
        <v>6044</v>
      </c>
      <c r="H5856" s="1">
        <v>0</v>
      </c>
      <c r="I5856" s="1">
        <v>0</v>
      </c>
      <c r="J5856" s="1">
        <v>0</v>
      </c>
      <c r="K5856" s="2">
        <v>6.9</v>
      </c>
    </row>
    <row r="5857" spans="1:12">
      <c r="A5857" s="3" t="s">
        <v>5800</v>
      </c>
      <c r="B5857" s="3" t="s">
        <v>6014</v>
      </c>
      <c r="C5857" s="3"/>
      <c r="D5857" s="3"/>
      <c r="E5857" s="2" t="str">
        <f>HYPERLINK("https://old.ukr-mobil.com/usilitel_dropautov_16_mm_10003665", "Перейти")</f>
        <v>Перейти</v>
      </c>
      <c r="F5857" s="2">
        <v>10003665</v>
      </c>
      <c r="G5857" s="4" t="s">
        <v>6045</v>
      </c>
      <c r="H5857" s="1">
        <v>0</v>
      </c>
      <c r="I5857" s="1">
        <v>0</v>
      </c>
      <c r="J5857" s="1">
        <v>0</v>
      </c>
      <c r="K5857" s="2">
        <v>6.9</v>
      </c>
    </row>
    <row r="5858" spans="1:12">
      <c r="A5858" s="3" t="s">
        <v>6046</v>
      </c>
      <c r="B5858" s="3"/>
      <c r="C5858" s="3"/>
      <c r="D5858" s="3"/>
      <c r="E5858" s="2" t="str">
        <f>HYPERLINK("https://old.ukr-mobil.com/index.php?route=product&amp;product_id=10006183", "Перейти")</f>
        <v>Перейти</v>
      </c>
      <c r="F5858" s="2">
        <v>10006183</v>
      </c>
      <c r="G5858" s="4" t="s">
        <v>6047</v>
      </c>
      <c r="H5858" s="1">
        <v>84</v>
      </c>
      <c r="I5858" s="1">
        <v>0</v>
      </c>
      <c r="J5858" s="1">
        <v>0</v>
      </c>
      <c r="K5858" s="2">
        <v>6.0</v>
      </c>
    </row>
    <row r="5859" spans="1:12">
      <c r="A5859" s="3" t="s">
        <v>6046</v>
      </c>
      <c r="B5859" s="3"/>
      <c r="C5859" s="3"/>
      <c r="D5859" s="3"/>
      <c r="E5859" s="2" t="str">
        <f>HYPERLINK("https://old.ukr-mobil.com/analizator_spektra_chastot_tinysa_ultra_0_1_mhz_5_3_ghz_10005638", "Перейти")</f>
        <v>Перейти</v>
      </c>
      <c r="F5859" s="2">
        <v>10005638</v>
      </c>
      <c r="G5859" s="4" t="s">
        <v>6048</v>
      </c>
      <c r="H5859" s="1">
        <v>4</v>
      </c>
      <c r="I5859" s="1">
        <v>3</v>
      </c>
      <c r="J5859" s="1">
        <v>0</v>
      </c>
      <c r="K5859" s="2">
        <v>135.0</v>
      </c>
    </row>
    <row r="5860" spans="1:12">
      <c r="A5860" s="3" t="s">
        <v>6046</v>
      </c>
      <c r="B5860" s="3"/>
      <c r="C5860" s="3"/>
      <c r="D5860" s="3"/>
      <c r="E5860" s="2" t="str">
        <f>HYPERLINK("https://old.ukr-mobil.com/index.php?route=product&amp;product_id=10005856", "Перейти")</f>
        <v>Перейти</v>
      </c>
      <c r="F5860" s="2">
        <v>10005856</v>
      </c>
      <c r="G5860" s="4" t="s">
        <v>6049</v>
      </c>
      <c r="H5860" s="1">
        <v>4</v>
      </c>
      <c r="I5860" s="1">
        <v>0</v>
      </c>
      <c r="J5860" s="1">
        <v>0</v>
      </c>
      <c r="K5860" s="2">
        <v>205.0</v>
      </c>
    </row>
    <row r="5861" spans="1:12">
      <c r="A5861" s="3" t="s">
        <v>6046</v>
      </c>
      <c r="B5861" s="3"/>
      <c r="C5861" s="3"/>
      <c r="D5861" s="3"/>
      <c r="E5861" s="2" t="str">
        <f>HYPERLINK("https://old.ukr-mobil.com/vektornyj_analizator_litevna_64_50_khz_6_3_ghz_10005093", "Перейти")</f>
        <v>Перейти</v>
      </c>
      <c r="F5861" s="2">
        <v>10005093</v>
      </c>
      <c r="G5861" s="4" t="s">
        <v>6050</v>
      </c>
      <c r="H5861" s="1">
        <v>0</v>
      </c>
      <c r="I5861" s="1">
        <v>0</v>
      </c>
      <c r="J5861" s="1">
        <v>0</v>
      </c>
      <c r="K5861" s="2">
        <v>220.0</v>
      </c>
    </row>
    <row r="5862" spans="1:12">
      <c r="A5862" s="3" t="s">
        <v>6046</v>
      </c>
      <c r="B5862" s="3"/>
      <c r="C5862" s="3"/>
      <c r="D5862" s="3"/>
      <c r="E5862" s="2" t="str">
        <f>HYPERLINK("https://old.ukr-mobil.com/vektornyj_analizator_nano_vna-fv3_1_mgc-6_ggc_10005094", "Перейти")</f>
        <v>Перейти</v>
      </c>
      <c r="F5862" s="2">
        <v>10005094</v>
      </c>
      <c r="G5862" s="4" t="s">
        <v>6051</v>
      </c>
      <c r="H5862" s="1">
        <v>0</v>
      </c>
      <c r="I5862" s="1">
        <v>0</v>
      </c>
      <c r="J5862" s="1">
        <v>0</v>
      </c>
      <c r="K5862" s="2">
        <v>300.0</v>
      </c>
    </row>
    <row r="5863" spans="1:12">
      <c r="A5863" s="3" t="s">
        <v>6046</v>
      </c>
      <c r="B5863" s="3"/>
      <c r="C5863" s="3"/>
      <c r="D5863" s="3"/>
      <c r="E5863" s="2" t="str">
        <f>HYPERLINK("https://old.ukr-mobil.com/index.php?route=product&amp;product_id=10005801", "Перейти")</f>
        <v>Перейти</v>
      </c>
      <c r="F5863" s="2">
        <v>10005801</v>
      </c>
      <c r="G5863" s="4" t="s">
        <v>6052</v>
      </c>
      <c r="H5863" s="1">
        <v>94</v>
      </c>
      <c r="I5863" s="1">
        <v>16</v>
      </c>
      <c r="J5863" s="1">
        <v>14</v>
      </c>
      <c r="K5863" s="2">
        <v>2.95</v>
      </c>
    </row>
    <row r="5864" spans="1:12">
      <c r="A5864" s="3" t="s">
        <v>6046</v>
      </c>
      <c r="B5864" s="3"/>
      <c r="C5864" s="3"/>
      <c r="D5864" s="3"/>
      <c r="E5864" s="2" t="str">
        <f>HYPERLINK("https://old.ukr-mobil.com/index.php?route=product&amp;product_id=10006181", "Перейти")</f>
        <v>Перейти</v>
      </c>
      <c r="F5864" s="2">
        <v>10006181</v>
      </c>
      <c r="G5864" s="4" t="s">
        <v>6053</v>
      </c>
      <c r="H5864" s="1">
        <v>0</v>
      </c>
      <c r="I5864" s="1">
        <v>0</v>
      </c>
      <c r="J5864" s="1">
        <v>0</v>
      </c>
      <c r="K5864" s="2">
        <v>3.35</v>
      </c>
    </row>
    <row r="5865" spans="1:12">
      <c r="A5865" s="3" t="s">
        <v>6046</v>
      </c>
      <c r="B5865" s="3"/>
      <c r="C5865" s="3"/>
      <c r="D5865" s="3"/>
      <c r="E5865" s="2" t="str">
        <f>HYPERLINK("https://old.ukr-mobil.com/index.php?route=product&amp;product_id=10005897", "Перейти")</f>
        <v>Перейти</v>
      </c>
      <c r="F5865" s="2">
        <v>10005897</v>
      </c>
      <c r="G5865" s="4" t="s">
        <v>6054</v>
      </c>
      <c r="H5865" s="1">
        <v>0</v>
      </c>
      <c r="I5865" s="1">
        <v>0</v>
      </c>
      <c r="J5865" s="1">
        <v>0</v>
      </c>
      <c r="K5865" s="2">
        <v>24.0</v>
      </c>
    </row>
    <row r="5866" spans="1:12">
      <c r="A5866" s="3" t="s">
        <v>6046</v>
      </c>
      <c r="B5866" s="3"/>
      <c r="C5866" s="3"/>
      <c r="D5866" s="3"/>
      <c r="E5866" s="2" t="str">
        <f>HYPERLINK("https://old.ukr-mobil.com/index.php?route=product&amp;product_id=10005099", "Перейти")</f>
        <v>Перейти</v>
      </c>
      <c r="F5866" s="2">
        <v>10005099</v>
      </c>
      <c r="G5866" s="4" t="s">
        <v>6055</v>
      </c>
      <c r="H5866" s="1">
        <v>0</v>
      </c>
      <c r="I5866" s="1">
        <v>0</v>
      </c>
      <c r="J5866" s="1">
        <v>0</v>
      </c>
      <c r="K5866" s="2">
        <v>6.0</v>
      </c>
    </row>
    <row r="5867" spans="1:12">
      <c r="A5867" s="3" t="s">
        <v>6046</v>
      </c>
      <c r="B5867" s="3"/>
      <c r="C5867" s="3"/>
      <c r="D5867" s="3"/>
      <c r="E5867" s="2" t="str">
        <f>HYPERLINK("https://old.ukr-mobil.com/index.php?route=product&amp;product_id=10005100", "Перейти")</f>
        <v>Перейти</v>
      </c>
      <c r="F5867" s="2">
        <v>10005100</v>
      </c>
      <c r="G5867" s="4" t="s">
        <v>6056</v>
      </c>
      <c r="H5867" s="1">
        <v>1</v>
      </c>
      <c r="I5867" s="1">
        <v>2</v>
      </c>
      <c r="J5867" s="1">
        <v>0</v>
      </c>
      <c r="K5867" s="2">
        <v>6.5</v>
      </c>
    </row>
    <row r="5868" spans="1:12">
      <c r="A5868" s="3" t="s">
        <v>6046</v>
      </c>
      <c r="B5868" s="3"/>
      <c r="C5868" s="3"/>
      <c r="D5868" s="3"/>
      <c r="E5868" s="2" t="str">
        <f>HYPERLINK("https://old.ukr-mobil.com/index.php?route=product&amp;product_id=10005491", "Перейти")</f>
        <v>Перейти</v>
      </c>
      <c r="F5868" s="2">
        <v>10005491</v>
      </c>
      <c r="G5868" s="4" t="s">
        <v>6057</v>
      </c>
      <c r="H5868" s="1">
        <v>0</v>
      </c>
      <c r="I5868" s="1">
        <v>0</v>
      </c>
      <c r="J5868" s="1">
        <v>0</v>
      </c>
      <c r="K5868" s="2">
        <v>4.5</v>
      </c>
    </row>
    <row r="5869" spans="1:12">
      <c r="A5869" s="3" t="s">
        <v>6046</v>
      </c>
      <c r="B5869" s="3"/>
      <c r="C5869" s="3"/>
      <c r="D5869" s="3"/>
      <c r="E5869" s="2" t="str">
        <f>HYPERLINK("https://old.ukr-mobil.com/index.php?route=product&amp;product_id=10005902", "Перейти")</f>
        <v>Перейти</v>
      </c>
      <c r="F5869" s="2">
        <v>10005902</v>
      </c>
      <c r="G5869" s="4" t="s">
        <v>6058</v>
      </c>
      <c r="H5869" s="1">
        <v>339</v>
      </c>
      <c r="I5869" s="1">
        <v>18</v>
      </c>
      <c r="J5869" s="1">
        <v>11</v>
      </c>
      <c r="K5869" s="2">
        <v>4.5</v>
      </c>
    </row>
    <row r="5870" spans="1:12">
      <c r="A5870" s="3" t="s">
        <v>6046</v>
      </c>
      <c r="B5870" s="3"/>
      <c r="C5870" s="3"/>
      <c r="D5870" s="3"/>
      <c r="E5870" s="2" t="str">
        <f>HYPERLINK("https://old.ukr-mobil.com/preobrazovatel_napryazheniya_povyshayushchij_dc-dc_8-32v_na_50-390v_10005085", "Перейти")</f>
        <v>Перейти</v>
      </c>
      <c r="F5870" s="2">
        <v>10005085</v>
      </c>
      <c r="G5870" s="4" t="s">
        <v>6059</v>
      </c>
      <c r="H5870" s="1">
        <v>0</v>
      </c>
      <c r="I5870" s="1">
        <v>0</v>
      </c>
      <c r="J5870" s="1">
        <v>0</v>
      </c>
      <c r="K5870" s="2">
        <v>5.0</v>
      </c>
    </row>
    <row r="5871" spans="1:12">
      <c r="A5871" s="3" t="s">
        <v>6046</v>
      </c>
      <c r="B5871" s="3"/>
      <c r="C5871" s="3"/>
      <c r="D5871" s="3"/>
      <c r="E5871" s="2" t="str">
        <f>HYPERLINK("https://old.ukr-mobil.com/index.php?route=product&amp;product_id=10006182", "Перейти")</f>
        <v>Перейти</v>
      </c>
      <c r="F5871" s="2">
        <v>10006182</v>
      </c>
      <c r="G5871" s="4" t="s">
        <v>6060</v>
      </c>
      <c r="H5871" s="1">
        <v>34</v>
      </c>
      <c r="I5871" s="1">
        <v>0</v>
      </c>
      <c r="J5871" s="1">
        <v>0</v>
      </c>
      <c r="K5871" s="2">
        <v>3.6</v>
      </c>
    </row>
    <row r="5872" spans="1:12">
      <c r="A5872" s="3" t="s">
        <v>6046</v>
      </c>
      <c r="B5872" s="3"/>
      <c r="C5872" s="3"/>
      <c r="D5872" s="3"/>
      <c r="E5872" s="2" t="str">
        <f>HYPERLINK("https://old.ukr-mobil.com/index.php?route=product&amp;product_id=10005720", "Перейти")</f>
        <v>Перейти</v>
      </c>
      <c r="F5872" s="2">
        <v>10005720</v>
      </c>
      <c r="G5872" s="4" t="s">
        <v>6061</v>
      </c>
      <c r="H5872" s="1">
        <v>0</v>
      </c>
      <c r="I5872" s="1">
        <v>1</v>
      </c>
      <c r="J5872" s="1">
        <v>0</v>
      </c>
      <c r="K5872" s="2">
        <v>4116.22</v>
      </c>
    </row>
    <row r="5873" spans="1:12">
      <c r="A5873" s="3" t="s">
        <v>6046</v>
      </c>
      <c r="B5873" s="3" t="s">
        <v>6062</v>
      </c>
      <c r="C5873" s="3"/>
      <c r="D5873" s="3"/>
      <c r="E5873" s="2" t="str">
        <f>HYPERLINK("https://old.ukr-mobil.com/index.php?route=product&amp;product_id=10005684", "Перейти")</f>
        <v>Перейти</v>
      </c>
      <c r="F5873" s="2">
        <v>10005684</v>
      </c>
      <c r="G5873" s="4" t="s">
        <v>6063</v>
      </c>
      <c r="H5873" s="1">
        <v>0</v>
      </c>
      <c r="I5873" s="1">
        <v>0</v>
      </c>
      <c r="J5873" s="1">
        <v>0</v>
      </c>
      <c r="K5873" s="2">
        <v>38.0</v>
      </c>
    </row>
    <row r="5874" spans="1:12">
      <c r="A5874" s="3" t="s">
        <v>6046</v>
      </c>
      <c r="B5874" s="3" t="s">
        <v>6062</v>
      </c>
      <c r="C5874" s="3"/>
      <c r="D5874" s="3"/>
      <c r="E5874" s="2" t="str">
        <f>HYPERLINK("https://old.ukr-mobil.com/index.php?route=product&amp;product_id=10005682", "Перейти")</f>
        <v>Перейти</v>
      </c>
      <c r="F5874" s="2">
        <v>10005682</v>
      </c>
      <c r="G5874" s="4" t="s">
        <v>6064</v>
      </c>
      <c r="H5874" s="1">
        <v>0</v>
      </c>
      <c r="I5874" s="1">
        <v>0</v>
      </c>
      <c r="J5874" s="1">
        <v>0</v>
      </c>
      <c r="K5874" s="2">
        <v>43.0</v>
      </c>
    </row>
    <row r="5875" spans="1:12">
      <c r="A5875" s="3" t="s">
        <v>6046</v>
      </c>
      <c r="B5875" s="3" t="s">
        <v>6062</v>
      </c>
      <c r="C5875" s="3"/>
      <c r="D5875" s="3"/>
      <c r="E5875" s="2" t="str">
        <f>HYPERLINK("https://old.ukr-mobil.com/index.php?route=product&amp;product_id=10005681", "Перейти")</f>
        <v>Перейти</v>
      </c>
      <c r="F5875" s="2">
        <v>10005681</v>
      </c>
      <c r="G5875" s="4" t="s">
        <v>6065</v>
      </c>
      <c r="H5875" s="1">
        <v>0</v>
      </c>
      <c r="I5875" s="1">
        <v>0</v>
      </c>
      <c r="J5875" s="1">
        <v>0</v>
      </c>
      <c r="K5875" s="2">
        <v>43.0</v>
      </c>
    </row>
    <row r="5876" spans="1:12">
      <c r="A5876" s="3" t="s">
        <v>6046</v>
      </c>
      <c r="B5876" s="3" t="s">
        <v>6062</v>
      </c>
      <c r="C5876" s="3"/>
      <c r="D5876" s="3"/>
      <c r="E5876" s="2" t="str">
        <f>HYPERLINK("https://old.ukr-mobil.com/index.php?route=product&amp;product_id=10005686", "Перейти")</f>
        <v>Перейти</v>
      </c>
      <c r="F5876" s="2">
        <v>10005686</v>
      </c>
      <c r="G5876" s="4" t="s">
        <v>6066</v>
      </c>
      <c r="H5876" s="1">
        <v>0</v>
      </c>
      <c r="I5876" s="1">
        <v>0</v>
      </c>
      <c r="J5876" s="1">
        <v>0</v>
      </c>
      <c r="K5876" s="2">
        <v>38.0</v>
      </c>
    </row>
    <row r="5877" spans="1:12">
      <c r="A5877" s="3" t="s">
        <v>6046</v>
      </c>
      <c r="B5877" s="3" t="s">
        <v>6062</v>
      </c>
      <c r="C5877" s="3"/>
      <c r="D5877" s="3"/>
      <c r="E5877" s="2" t="str">
        <f>HYPERLINK("https://old.ukr-mobil.com/index.php?route=product&amp;product_id=10005679", "Перейти")</f>
        <v>Перейти</v>
      </c>
      <c r="F5877" s="2">
        <v>10005679</v>
      </c>
      <c r="G5877" s="4" t="s">
        <v>6067</v>
      </c>
      <c r="H5877" s="1">
        <v>1</v>
      </c>
      <c r="I5877" s="1">
        <v>1</v>
      </c>
      <c r="J5877" s="1">
        <v>0</v>
      </c>
      <c r="K5877" s="2">
        <v>43.0</v>
      </c>
    </row>
    <row r="5878" spans="1:12">
      <c r="A5878" s="3" t="s">
        <v>6046</v>
      </c>
      <c r="B5878" s="3" t="s">
        <v>6062</v>
      </c>
      <c r="C5878" s="3"/>
      <c r="D5878" s="3"/>
      <c r="E5878" s="2" t="str">
        <f>HYPERLINK("https://old.ukr-mobil.com/index.php?route=product&amp;product_id=10005680", "Перейти")</f>
        <v>Перейти</v>
      </c>
      <c r="F5878" s="2">
        <v>10005680</v>
      </c>
      <c r="G5878" s="4" t="s">
        <v>6068</v>
      </c>
      <c r="H5878" s="1">
        <v>0</v>
      </c>
      <c r="I5878" s="1">
        <v>0</v>
      </c>
      <c r="J5878" s="1">
        <v>0</v>
      </c>
      <c r="K5878" s="2">
        <v>43.0</v>
      </c>
    </row>
    <row r="5879" spans="1:12">
      <c r="A5879" s="3" t="s">
        <v>6046</v>
      </c>
      <c r="B5879" s="3" t="s">
        <v>6062</v>
      </c>
      <c r="C5879" s="3"/>
      <c r="D5879" s="3"/>
      <c r="E5879" s="2" t="str">
        <f>HYPERLINK("https://old.ukr-mobil.com/index.php?route=product&amp;product_id=10005683", "Перейти")</f>
        <v>Перейти</v>
      </c>
      <c r="F5879" s="2">
        <v>10005683</v>
      </c>
      <c r="G5879" s="4" t="s">
        <v>6069</v>
      </c>
      <c r="H5879" s="1">
        <v>0</v>
      </c>
      <c r="I5879" s="1">
        <v>1</v>
      </c>
      <c r="J5879" s="1">
        <v>1</v>
      </c>
      <c r="K5879" s="2">
        <v>43.0</v>
      </c>
    </row>
    <row r="5880" spans="1:12">
      <c r="A5880" s="3" t="s">
        <v>6046</v>
      </c>
      <c r="B5880" s="3" t="s">
        <v>6062</v>
      </c>
      <c r="C5880" s="3"/>
      <c r="D5880" s="3"/>
      <c r="E5880" s="2" t="str">
        <f>HYPERLINK("https://old.ukr-mobil.com/index.php?route=product&amp;product_id=10005685", "Перейти")</f>
        <v>Перейти</v>
      </c>
      <c r="F5880" s="2">
        <v>10005685</v>
      </c>
      <c r="G5880" s="4" t="s">
        <v>6070</v>
      </c>
      <c r="H5880" s="1">
        <v>2</v>
      </c>
      <c r="I5880" s="1">
        <v>1</v>
      </c>
      <c r="J5880" s="1">
        <v>0</v>
      </c>
      <c r="K5880" s="2">
        <v>64.0</v>
      </c>
    </row>
    <row r="5881" spans="1:12">
      <c r="A5881" s="3" t="s">
        <v>6046</v>
      </c>
      <c r="B5881" s="3" t="s">
        <v>6062</v>
      </c>
      <c r="C5881" s="3"/>
      <c r="D5881" s="3"/>
      <c r="E5881" s="2" t="str">
        <f>HYPERLINK("https://old.ukr-mobil.com/index.php?route=product&amp;product_id=10005670", "Перейти")</f>
        <v>Перейти</v>
      </c>
      <c r="F5881" s="2">
        <v>10005670</v>
      </c>
      <c r="G5881" s="4" t="s">
        <v>6071</v>
      </c>
      <c r="H5881" s="1">
        <v>3</v>
      </c>
      <c r="I5881" s="1">
        <v>1</v>
      </c>
      <c r="J5881" s="1">
        <v>1</v>
      </c>
      <c r="K5881" s="2">
        <v>43.0</v>
      </c>
    </row>
    <row r="5882" spans="1:12">
      <c r="A5882" s="3" t="s">
        <v>6046</v>
      </c>
      <c r="B5882" s="3" t="s">
        <v>6062</v>
      </c>
      <c r="C5882" s="3"/>
      <c r="D5882" s="3"/>
      <c r="E5882" s="2" t="str">
        <f>HYPERLINK("https://old.ukr-mobil.com/index.php?route=product&amp;product_id=10005687", "Перейти")</f>
        <v>Перейти</v>
      </c>
      <c r="F5882" s="2">
        <v>10005687</v>
      </c>
      <c r="G5882" s="4" t="s">
        <v>6072</v>
      </c>
      <c r="H5882" s="1">
        <v>0</v>
      </c>
      <c r="I5882" s="1">
        <v>0</v>
      </c>
      <c r="J5882" s="1">
        <v>0</v>
      </c>
      <c r="K5882" s="2">
        <v>88.0</v>
      </c>
    </row>
    <row r="5883" spans="1:12">
      <c r="A5883" s="3" t="s">
        <v>6046</v>
      </c>
      <c r="B5883" s="3" t="s">
        <v>6062</v>
      </c>
      <c r="C5883" s="3"/>
      <c r="D5883" s="3"/>
      <c r="E5883" s="2" t="str">
        <f>HYPERLINK("https://old.ukr-mobil.com/index.php?route=product&amp;product_id=10005689", "Перейти")</f>
        <v>Перейти</v>
      </c>
      <c r="F5883" s="2">
        <v>10005689</v>
      </c>
      <c r="G5883" s="4" t="s">
        <v>6073</v>
      </c>
      <c r="H5883" s="1">
        <v>0</v>
      </c>
      <c r="I5883" s="1">
        <v>0</v>
      </c>
      <c r="J5883" s="1">
        <v>0</v>
      </c>
      <c r="K5883" s="2">
        <v>155.0</v>
      </c>
    </row>
    <row r="5884" spans="1:12">
      <c r="A5884" s="3" t="s">
        <v>6046</v>
      </c>
      <c r="B5884" s="3" t="s">
        <v>6062</v>
      </c>
      <c r="C5884" s="3"/>
      <c r="D5884" s="3"/>
      <c r="E5884" s="2" t="str">
        <f>HYPERLINK("https://old.ukr-mobil.com/index.php?route=product&amp;product_id=10005688", "Перейти")</f>
        <v>Перейти</v>
      </c>
      <c r="F5884" s="2">
        <v>10005688</v>
      </c>
      <c r="G5884" s="4" t="s">
        <v>6074</v>
      </c>
      <c r="H5884" s="1">
        <v>0</v>
      </c>
      <c r="I5884" s="1">
        <v>0</v>
      </c>
      <c r="J5884" s="1">
        <v>0</v>
      </c>
      <c r="K5884" s="2">
        <v>112.0</v>
      </c>
    </row>
    <row r="5885" spans="1:12">
      <c r="A5885" s="3" t="s">
        <v>6046</v>
      </c>
      <c r="B5885" s="3" t="s">
        <v>6062</v>
      </c>
      <c r="C5885" s="3"/>
      <c r="D5885" s="3"/>
      <c r="E5885" s="2" t="str">
        <f>HYPERLINK("https://old.ukr-mobil.com/index.php?route=product&amp;product_id=10005690", "Перейти")</f>
        <v>Перейти</v>
      </c>
      <c r="F5885" s="2">
        <v>10005690</v>
      </c>
      <c r="G5885" s="4" t="s">
        <v>6075</v>
      </c>
      <c r="H5885" s="1">
        <v>0</v>
      </c>
      <c r="I5885" s="1">
        <v>0</v>
      </c>
      <c r="J5885" s="1">
        <v>0</v>
      </c>
      <c r="K5885" s="2">
        <v>135.0</v>
      </c>
    </row>
    <row r="5886" spans="1:12">
      <c r="A5886" s="3" t="s">
        <v>6046</v>
      </c>
      <c r="B5886" s="3" t="s">
        <v>6076</v>
      </c>
      <c r="C5886" s="3"/>
      <c r="D5886" s="3"/>
      <c r="E5886" s="2" t="str">
        <f>HYPERLINK("https://old.ukr-mobil.com/index.php?route=product&amp;product_id=10005603", "Перейти")</f>
        <v>Перейти</v>
      </c>
      <c r="F5886" s="2">
        <v>10005603</v>
      </c>
      <c r="G5886" s="4" t="s">
        <v>6077</v>
      </c>
      <c r="H5886" s="1">
        <v>0</v>
      </c>
      <c r="I5886" s="1">
        <v>0</v>
      </c>
      <c r="J5886" s="1">
        <v>0</v>
      </c>
      <c r="K5886" s="2">
        <v>235.0</v>
      </c>
    </row>
    <row r="5887" spans="1:12">
      <c r="A5887" s="3" t="s">
        <v>6046</v>
      </c>
      <c r="B5887" s="3" t="s">
        <v>6076</v>
      </c>
      <c r="C5887" s="3"/>
      <c r="D5887" s="3"/>
      <c r="E5887" s="2" t="str">
        <f>HYPERLINK("https://old.ukr-mobil.com/index.php?route=product&amp;product_id=10005098", "Перейти")</f>
        <v>Перейти</v>
      </c>
      <c r="F5887" s="2">
        <v>10005098</v>
      </c>
      <c r="G5887" s="4" t="s">
        <v>6078</v>
      </c>
      <c r="H5887" s="1">
        <v>0</v>
      </c>
      <c r="I5887" s="1">
        <v>0</v>
      </c>
      <c r="J5887" s="1">
        <v>0</v>
      </c>
      <c r="K5887" s="2">
        <v>140.0</v>
      </c>
    </row>
    <row r="5888" spans="1:12">
      <c r="A5888" s="3" t="s">
        <v>6046</v>
      </c>
      <c r="B5888" s="3" t="s">
        <v>6076</v>
      </c>
      <c r="C5888" s="3"/>
      <c r="D5888" s="3"/>
      <c r="E5888" s="2" t="str">
        <f>HYPERLINK("https://old.ukr-mobil.com/index.php?route=product&amp;product_id=10005596", "Перейти")</f>
        <v>Перейти</v>
      </c>
      <c r="F5888" s="2">
        <v>10005596</v>
      </c>
      <c r="G5888" s="4" t="s">
        <v>6079</v>
      </c>
      <c r="H5888" s="1">
        <v>0</v>
      </c>
      <c r="I5888" s="1">
        <v>0</v>
      </c>
      <c r="J5888" s="1">
        <v>0</v>
      </c>
      <c r="K5888" s="2">
        <v>40.0</v>
      </c>
    </row>
    <row r="5889" spans="1:12">
      <c r="A5889" s="3" t="s">
        <v>6046</v>
      </c>
      <c r="B5889" s="3" t="s">
        <v>6076</v>
      </c>
      <c r="C5889" s="3"/>
      <c r="D5889" s="3"/>
      <c r="E5889" s="2" t="str">
        <f>HYPERLINK("https://old.ukr-mobil.com/antenna_vsenapravlennaya_1_2_ghz_1170-1280_mhz_100w_3-8_dbi_25_mm_60_sm_n-j_dlya_jamming_oborudovaniya_10005453", "Перейти")</f>
        <v>Перейти</v>
      </c>
      <c r="F5889" s="2">
        <v>10005453</v>
      </c>
      <c r="G5889" s="4" t="s">
        <v>6080</v>
      </c>
      <c r="H5889" s="1">
        <v>0</v>
      </c>
      <c r="I5889" s="1">
        <v>0</v>
      </c>
      <c r="J5889" s="1">
        <v>0</v>
      </c>
      <c r="K5889" s="2">
        <v>40.0</v>
      </c>
    </row>
    <row r="5890" spans="1:12">
      <c r="A5890" s="3" t="s">
        <v>6046</v>
      </c>
      <c r="B5890" s="3" t="s">
        <v>6076</v>
      </c>
      <c r="C5890" s="3"/>
      <c r="D5890" s="3"/>
      <c r="E5890" s="2" t="str">
        <f>HYPERLINK("https://old.ukr-mobil.com/index.php?route=product&amp;product_id=10005620", "Перейти")</f>
        <v>Перейти</v>
      </c>
      <c r="F5890" s="2">
        <v>10005620</v>
      </c>
      <c r="G5890" s="4" t="s">
        <v>6081</v>
      </c>
      <c r="H5890" s="1">
        <v>0</v>
      </c>
      <c r="I5890" s="1">
        <v>0</v>
      </c>
      <c r="J5890" s="1">
        <v>0</v>
      </c>
      <c r="K5890" s="2">
        <v>40.0</v>
      </c>
    </row>
    <row r="5891" spans="1:12">
      <c r="A5891" s="3" t="s">
        <v>6046</v>
      </c>
      <c r="B5891" s="3" t="s">
        <v>6076</v>
      </c>
      <c r="C5891" s="3"/>
      <c r="D5891" s="3"/>
      <c r="E5891" s="2" t="str">
        <f>HYPERLINK("https://old.ukr-mobil.com/antenna_vsenapravlennaya_1_5_ghz_1550-1620_mhz_100w_3-6_dbi_20_mm_60_sm_n-j_dlya_jamming_oborudovaniya_10005316", "Перейти")</f>
        <v>Перейти</v>
      </c>
      <c r="F5891" s="2">
        <v>10005316</v>
      </c>
      <c r="G5891" s="4" t="s">
        <v>6082</v>
      </c>
      <c r="H5891" s="1">
        <v>0</v>
      </c>
      <c r="I5891" s="1">
        <v>1</v>
      </c>
      <c r="J5891" s="1">
        <v>9</v>
      </c>
      <c r="K5891" s="2">
        <v>40.0</v>
      </c>
    </row>
    <row r="5892" spans="1:12">
      <c r="A5892" s="3" t="s">
        <v>6046</v>
      </c>
      <c r="B5892" s="3" t="s">
        <v>6076</v>
      </c>
      <c r="C5892" s="3"/>
      <c r="D5892" s="3"/>
      <c r="E5892" s="2" t="str">
        <f>HYPERLINK("https://old.ukr-mobil.com/index.php?route=product&amp;product_id=10005597", "Перейти")</f>
        <v>Перейти</v>
      </c>
      <c r="F5892" s="2">
        <v>10005597</v>
      </c>
      <c r="G5892" s="4" t="s">
        <v>6083</v>
      </c>
      <c r="H5892" s="1">
        <v>0</v>
      </c>
      <c r="I5892" s="1">
        <v>0</v>
      </c>
      <c r="J5892" s="1">
        <v>0</v>
      </c>
      <c r="K5892" s="2">
        <v>40.0</v>
      </c>
    </row>
    <row r="5893" spans="1:12">
      <c r="A5893" s="3" t="s">
        <v>6046</v>
      </c>
      <c r="B5893" s="3" t="s">
        <v>6076</v>
      </c>
      <c r="C5893" s="3"/>
      <c r="D5893" s="3"/>
      <c r="E5893" s="2" t="str">
        <f>HYPERLINK("https://old.ukr-mobil.com/antenna_vsenapravlennaya_1_5_ghz_1550-1620_mhz_100w_3-8_dbi_25_mm_60_sm_n-j_dlya_jamming_oborudovaniya_10005095", "Перейти")</f>
        <v>Перейти</v>
      </c>
      <c r="F5893" s="2">
        <v>10005095</v>
      </c>
      <c r="G5893" s="4" t="s">
        <v>6084</v>
      </c>
      <c r="H5893" s="1">
        <v>0</v>
      </c>
      <c r="I5893" s="1">
        <v>2</v>
      </c>
      <c r="J5893" s="1">
        <v>0</v>
      </c>
      <c r="K5893" s="2">
        <v>40.0</v>
      </c>
    </row>
    <row r="5894" spans="1:12">
      <c r="A5894" s="3" t="s">
        <v>6046</v>
      </c>
      <c r="B5894" s="3" t="s">
        <v>6076</v>
      </c>
      <c r="C5894" s="3"/>
      <c r="D5894" s="3"/>
      <c r="E5894" s="2" t="str">
        <f>HYPERLINK("https://old.ukr-mobil.com/antenna_vsenapravlennaya_1_5_ghz_1550-1620_mhz_100w_5-7_dbi_32_mm_60_sm_n-j_dlya_jamming_oborudovaniya_10005433", "Перейти")</f>
        <v>Перейти</v>
      </c>
      <c r="F5894" s="2">
        <v>10005433</v>
      </c>
      <c r="G5894" s="4" t="s">
        <v>6085</v>
      </c>
      <c r="H5894" s="1">
        <v>3</v>
      </c>
      <c r="I5894" s="1">
        <v>0</v>
      </c>
      <c r="J5894" s="1">
        <v>0</v>
      </c>
      <c r="K5894" s="2">
        <v>44.0</v>
      </c>
    </row>
    <row r="5895" spans="1:12">
      <c r="A5895" s="3" t="s">
        <v>6046</v>
      </c>
      <c r="B5895" s="3" t="s">
        <v>6076</v>
      </c>
      <c r="C5895" s="3"/>
      <c r="D5895" s="3"/>
      <c r="E5895" s="2" t="str">
        <f>HYPERLINK("https://old.ukr-mobil.com/index.php?route=product&amp;product_id=10005616", "Перейти")</f>
        <v>Перейти</v>
      </c>
      <c r="F5895" s="2">
        <v>10005616</v>
      </c>
      <c r="G5895" s="4" t="s">
        <v>6086</v>
      </c>
      <c r="H5895" s="1">
        <v>0</v>
      </c>
      <c r="I5895" s="1">
        <v>0</v>
      </c>
      <c r="J5895" s="1">
        <v>0</v>
      </c>
      <c r="K5895" s="2">
        <v>40.0</v>
      </c>
    </row>
    <row r="5896" spans="1:12">
      <c r="A5896" s="3" t="s">
        <v>6046</v>
      </c>
      <c r="B5896" s="3" t="s">
        <v>6076</v>
      </c>
      <c r="C5896" s="3"/>
      <c r="D5896" s="3"/>
      <c r="E5896" s="2" t="str">
        <f>HYPERLINK("https://old.ukr-mobil.com/antenna_vsenapravlennaya_1_5_ghz_1550-1620_mhz_50w_3-5_dbi_20_mm_60_sm_n-j_dlya_jamming_oborudovaniya_10005311", "Перейти")</f>
        <v>Перейти</v>
      </c>
      <c r="F5896" s="2">
        <v>10005311</v>
      </c>
      <c r="G5896" s="4" t="s">
        <v>6087</v>
      </c>
      <c r="H5896" s="1">
        <v>9</v>
      </c>
      <c r="I5896" s="1">
        <v>3</v>
      </c>
      <c r="J5896" s="1">
        <v>3</v>
      </c>
      <c r="K5896" s="2">
        <v>30.0</v>
      </c>
    </row>
    <row r="5897" spans="1:12">
      <c r="A5897" s="3" t="s">
        <v>6046</v>
      </c>
      <c r="B5897" s="3" t="s">
        <v>6076</v>
      </c>
      <c r="C5897" s="3"/>
      <c r="D5897" s="3"/>
      <c r="E5897" s="2" t="str">
        <f>HYPERLINK("https://old.ukr-mobil.com/antenna_vsenapravlennaya_1_5_ghz_1550-1620_mhz_50w_3-7_dbi_25_mm_60_sm_n-j_dlya_jamming_oborudovaniya_10005313", "Перейти")</f>
        <v>Перейти</v>
      </c>
      <c r="F5897" s="2">
        <v>10005313</v>
      </c>
      <c r="G5897" s="4" t="s">
        <v>6088</v>
      </c>
      <c r="H5897" s="1">
        <v>0</v>
      </c>
      <c r="I5897" s="1">
        <v>0</v>
      </c>
      <c r="J5897" s="1">
        <v>0</v>
      </c>
      <c r="K5897" s="2">
        <v>40.0</v>
      </c>
    </row>
    <row r="5898" spans="1:12">
      <c r="A5898" s="3" t="s">
        <v>6046</v>
      </c>
      <c r="B5898" s="3" t="s">
        <v>6076</v>
      </c>
      <c r="C5898" s="3"/>
      <c r="D5898" s="3"/>
      <c r="E5898" s="2" t="str">
        <f>HYPERLINK("https://old.ukr-mobil.com/antenna_vsenapravlennaya_1_5_ghz_1550-1620_mhz_50w_5-7_dbi_32_mm_60_sm_n-j_dlya_jamming_oborudovaniya_10005428", "Перейти")</f>
        <v>Перейти</v>
      </c>
      <c r="F5898" s="2">
        <v>10005428</v>
      </c>
      <c r="G5898" s="4" t="s">
        <v>6089</v>
      </c>
      <c r="H5898" s="1">
        <v>1</v>
      </c>
      <c r="I5898" s="1">
        <v>0</v>
      </c>
      <c r="J5898" s="1">
        <v>0</v>
      </c>
      <c r="K5898" s="2">
        <v>40.0</v>
      </c>
    </row>
    <row r="5899" spans="1:12">
      <c r="A5899" s="3" t="s">
        <v>6046</v>
      </c>
      <c r="B5899" s="3" t="s">
        <v>6076</v>
      </c>
      <c r="C5899" s="3"/>
      <c r="D5899" s="3"/>
      <c r="E5899" s="2" t="str">
        <f>HYPERLINK("https://old.ukr-mobil.com/antenna_vsenapravlennaya_2_4_ghz_2400-2500_mhz_100w_3-6_dbi_20_mm_60_sm_n-j_dlya_jamming_oborudovaniya_10005028", "Перейти")</f>
        <v>Перейти</v>
      </c>
      <c r="F5899" s="2">
        <v>10005028</v>
      </c>
      <c r="G5899" s="4" t="s">
        <v>6090</v>
      </c>
      <c r="H5899" s="1">
        <v>0</v>
      </c>
      <c r="I5899" s="1">
        <v>0</v>
      </c>
      <c r="J5899" s="1">
        <v>0</v>
      </c>
      <c r="K5899" s="2">
        <v>40.0</v>
      </c>
    </row>
    <row r="5900" spans="1:12">
      <c r="A5900" s="3" t="s">
        <v>6046</v>
      </c>
      <c r="B5900" s="3" t="s">
        <v>6076</v>
      </c>
      <c r="C5900" s="3"/>
      <c r="D5900" s="3"/>
      <c r="E5900" s="2" t="str">
        <f>HYPERLINK("https://old.ukr-mobil.com/index.php?route=product&amp;product_id=10005598", "Перейти")</f>
        <v>Перейти</v>
      </c>
      <c r="F5900" s="2">
        <v>10005598</v>
      </c>
      <c r="G5900" s="4" t="s">
        <v>6091</v>
      </c>
      <c r="H5900" s="1">
        <v>0</v>
      </c>
      <c r="I5900" s="1">
        <v>0</v>
      </c>
      <c r="J5900" s="1">
        <v>0</v>
      </c>
      <c r="K5900" s="2">
        <v>40.0</v>
      </c>
    </row>
    <row r="5901" spans="1:12">
      <c r="A5901" s="3" t="s">
        <v>6046</v>
      </c>
      <c r="B5901" s="3" t="s">
        <v>6076</v>
      </c>
      <c r="C5901" s="3"/>
      <c r="D5901" s="3"/>
      <c r="E5901" s="2" t="str">
        <f>HYPERLINK("https://old.ukr-mobil.com/antenna_vsenapravlennaya_2_4_ghz_2400-2500_mhz_100w_3-8_dbi_25_mm_60_sm_n-j_dlya_jamming_oborudovaniya_10005024", "Перейти")</f>
        <v>Перейти</v>
      </c>
      <c r="F5901" s="2">
        <v>10005024</v>
      </c>
      <c r="G5901" s="4" t="s">
        <v>6092</v>
      </c>
      <c r="H5901" s="1">
        <v>0</v>
      </c>
      <c r="I5901" s="1">
        <v>0</v>
      </c>
      <c r="J5901" s="1">
        <v>0</v>
      </c>
      <c r="K5901" s="2">
        <v>82.0</v>
      </c>
    </row>
    <row r="5902" spans="1:12">
      <c r="A5902" s="3" t="s">
        <v>6046</v>
      </c>
      <c r="B5902" s="3" t="s">
        <v>6076</v>
      </c>
      <c r="C5902" s="3"/>
      <c r="D5902" s="3"/>
      <c r="E5902" s="2" t="str">
        <f>HYPERLINK("https://old.ukr-mobil.com/index.php?route=product&amp;product_id=10005617", "Перейти")</f>
        <v>Перейти</v>
      </c>
      <c r="F5902" s="2">
        <v>10005617</v>
      </c>
      <c r="G5902" s="4" t="s">
        <v>6093</v>
      </c>
      <c r="H5902" s="1">
        <v>0</v>
      </c>
      <c r="I5902" s="1">
        <v>0</v>
      </c>
      <c r="J5902" s="1">
        <v>0</v>
      </c>
      <c r="K5902" s="2">
        <v>29.0</v>
      </c>
    </row>
    <row r="5903" spans="1:12">
      <c r="A5903" s="3" t="s">
        <v>6046</v>
      </c>
      <c r="B5903" s="3" t="s">
        <v>6076</v>
      </c>
      <c r="C5903" s="3"/>
      <c r="D5903" s="3"/>
      <c r="E5903" s="2" t="str">
        <f>HYPERLINK("https://old.ukr-mobil.com/antenna_vsenapravlennaya_2_4_ghz_2400-2500_mhz_100w_5-7_dbi_32_mm_60_sm_n-j_dlya_jamming_oborudovaniya_10005434", "Перейти")</f>
        <v>Перейти</v>
      </c>
      <c r="F5903" s="2">
        <v>10005434</v>
      </c>
      <c r="G5903" s="4" t="s">
        <v>6094</v>
      </c>
      <c r="H5903" s="1">
        <v>0</v>
      </c>
      <c r="I5903" s="1">
        <v>0</v>
      </c>
      <c r="J5903" s="1">
        <v>0</v>
      </c>
      <c r="K5903" s="2">
        <v>100.0</v>
      </c>
    </row>
    <row r="5904" spans="1:12">
      <c r="A5904" s="3" t="s">
        <v>6046</v>
      </c>
      <c r="B5904" s="3" t="s">
        <v>6076</v>
      </c>
      <c r="C5904" s="3"/>
      <c r="D5904" s="3"/>
      <c r="E5904" s="2" t="str">
        <f>HYPERLINK("https://old.ukr-mobil.com/index.php?route=product&amp;product_id=10005703", "Перейти")</f>
        <v>Перейти</v>
      </c>
      <c r="F5904" s="2">
        <v>10005703</v>
      </c>
      <c r="G5904" s="4" t="s">
        <v>6095</v>
      </c>
      <c r="H5904" s="1">
        <v>0</v>
      </c>
      <c r="I5904" s="1">
        <v>0</v>
      </c>
      <c r="J5904" s="1">
        <v>0</v>
      </c>
      <c r="K5904" s="2">
        <v>30.0</v>
      </c>
    </row>
    <row r="5905" spans="1:12">
      <c r="A5905" s="3" t="s">
        <v>6046</v>
      </c>
      <c r="B5905" s="3" t="s">
        <v>6076</v>
      </c>
      <c r="C5905" s="3"/>
      <c r="D5905" s="3"/>
      <c r="E5905" s="2" t="str">
        <f>HYPERLINK("https://old.ukr-mobil.com/antenna_vsenapravlennaya_2_4_ghz_2400-2500_mhz_50w_3-5_dbi_20_mm_60_sm_n-j_dlya_jamming_oborudovaniya_10005314", "Перейти")</f>
        <v>Перейти</v>
      </c>
      <c r="F5905" s="2">
        <v>10005314</v>
      </c>
      <c r="G5905" s="4" t="s">
        <v>6096</v>
      </c>
      <c r="H5905" s="1">
        <v>0</v>
      </c>
      <c r="I5905" s="1">
        <v>0</v>
      </c>
      <c r="J5905" s="1">
        <v>0</v>
      </c>
      <c r="K5905" s="2">
        <v>48.0</v>
      </c>
    </row>
    <row r="5906" spans="1:12">
      <c r="A5906" s="3" t="s">
        <v>6046</v>
      </c>
      <c r="B5906" s="3" t="s">
        <v>6076</v>
      </c>
      <c r="C5906" s="3"/>
      <c r="D5906" s="3"/>
      <c r="E5906" s="2" t="str">
        <f>HYPERLINK("https://old.ukr-mobil.com/antenna_vsenapravlennaya_2_4_ghz_2400-2500_mhz_50w_3-7_dbi_25_mm_60_sm_n-j_dlya_jamming_oborudovaniya_10005315", "Перейти")</f>
        <v>Перейти</v>
      </c>
      <c r="F5906" s="2">
        <v>10005315</v>
      </c>
      <c r="G5906" s="4" t="s">
        <v>6097</v>
      </c>
      <c r="H5906" s="1">
        <v>0</v>
      </c>
      <c r="I5906" s="1">
        <v>0</v>
      </c>
      <c r="J5906" s="1">
        <v>0</v>
      </c>
      <c r="K5906" s="2">
        <v>40.0</v>
      </c>
    </row>
    <row r="5907" spans="1:12">
      <c r="A5907" s="3" t="s">
        <v>6046</v>
      </c>
      <c r="B5907" s="3" t="s">
        <v>6076</v>
      </c>
      <c r="C5907" s="3"/>
      <c r="D5907" s="3"/>
      <c r="E5907" s="2" t="str">
        <f>HYPERLINK("https://old.ukr-mobil.com/antenna_vsenapravlennaya_2_4_ghz_2400-2500_mhz_50w_5-7_dbi_32_mm_60_sm_n-j_dlya_jamming_oborudovaniya_10005429", "Перейти")</f>
        <v>Перейти</v>
      </c>
      <c r="F5907" s="2">
        <v>10005429</v>
      </c>
      <c r="G5907" s="4" t="s">
        <v>6098</v>
      </c>
      <c r="H5907" s="1">
        <v>0</v>
      </c>
      <c r="I5907" s="1">
        <v>0</v>
      </c>
      <c r="J5907" s="1">
        <v>0</v>
      </c>
      <c r="K5907" s="2">
        <v>88.0</v>
      </c>
    </row>
    <row r="5908" spans="1:12">
      <c r="A5908" s="3" t="s">
        <v>6046</v>
      </c>
      <c r="B5908" s="3" t="s">
        <v>6076</v>
      </c>
      <c r="C5908" s="3"/>
      <c r="D5908" s="3"/>
      <c r="E5908" s="2" t="str">
        <f>HYPERLINK("https://old.ukr-mobil.com/index.php?route=product&amp;product_id=10006009", "Перейти")</f>
        <v>Перейти</v>
      </c>
      <c r="F5908" s="2">
        <v>10006009</v>
      </c>
      <c r="G5908" s="4" t="s">
        <v>6099</v>
      </c>
      <c r="H5908" s="1">
        <v>23</v>
      </c>
      <c r="I5908" s="1">
        <v>9</v>
      </c>
      <c r="J5908" s="1">
        <v>13</v>
      </c>
      <c r="K5908" s="2">
        <v>42.0</v>
      </c>
    </row>
    <row r="5909" spans="1:12">
      <c r="A5909" s="3" t="s">
        <v>6046</v>
      </c>
      <c r="B5909" s="3" t="s">
        <v>6076</v>
      </c>
      <c r="C5909" s="3"/>
      <c r="D5909" s="3"/>
      <c r="E5909" s="2" t="str">
        <f>HYPERLINK("https://old.ukr-mobil.com/index.php?route=product&amp;product_id=10005940", "Перейти")</f>
        <v>Перейти</v>
      </c>
      <c r="F5909" s="2">
        <v>10005940</v>
      </c>
      <c r="G5909" s="4" t="s">
        <v>6100</v>
      </c>
      <c r="H5909" s="1">
        <v>2</v>
      </c>
      <c r="I5909" s="1">
        <v>18</v>
      </c>
      <c r="J5909" s="1">
        <v>14</v>
      </c>
      <c r="K5909" s="2">
        <v>26.0</v>
      </c>
    </row>
    <row r="5910" spans="1:12">
      <c r="A5910" s="3" t="s">
        <v>6046</v>
      </c>
      <c r="B5910" s="3" t="s">
        <v>6076</v>
      </c>
      <c r="C5910" s="3"/>
      <c r="D5910" s="3"/>
      <c r="E5910" s="2" t="str">
        <f>HYPERLINK("https://old.ukr-mobil.com/index.php?route=product&amp;product_id=10006021", "Перейти")</f>
        <v>Перейти</v>
      </c>
      <c r="F5910" s="2">
        <v>10006021</v>
      </c>
      <c r="G5910" s="4" t="s">
        <v>6101</v>
      </c>
      <c r="H5910" s="1">
        <v>15</v>
      </c>
      <c r="I5910" s="1">
        <v>4</v>
      </c>
      <c r="J5910" s="1">
        <v>4</v>
      </c>
      <c r="K5910" s="2">
        <v>42.0</v>
      </c>
    </row>
    <row r="5911" spans="1:12">
      <c r="A5911" s="3" t="s">
        <v>6046</v>
      </c>
      <c r="B5911" s="3" t="s">
        <v>6076</v>
      </c>
      <c r="C5911" s="3"/>
      <c r="D5911" s="3"/>
      <c r="E5911" s="2" t="str">
        <f>HYPERLINK("https://old.ukr-mobil.com/index.php?route=product&amp;product_id=10005939", "Перейти")</f>
        <v>Перейти</v>
      </c>
      <c r="F5911" s="2">
        <v>10005939</v>
      </c>
      <c r="G5911" s="4" t="s">
        <v>6102</v>
      </c>
      <c r="H5911" s="1">
        <v>0</v>
      </c>
      <c r="I5911" s="1">
        <v>0</v>
      </c>
      <c r="J5911" s="1">
        <v>0</v>
      </c>
      <c r="K5911" s="2">
        <v>32.0</v>
      </c>
    </row>
    <row r="5912" spans="1:12">
      <c r="A5912" s="3" t="s">
        <v>6046</v>
      </c>
      <c r="B5912" s="3" t="s">
        <v>6076</v>
      </c>
      <c r="C5912" s="3"/>
      <c r="D5912" s="3"/>
      <c r="E5912" s="2" t="str">
        <f>HYPERLINK("https://old.ukr-mobil.com/index.php?route=product&amp;product_id=10006010", "Перейти")</f>
        <v>Перейти</v>
      </c>
      <c r="F5912" s="2">
        <v>10006010</v>
      </c>
      <c r="G5912" s="4" t="s">
        <v>6103</v>
      </c>
      <c r="H5912" s="1">
        <v>0</v>
      </c>
      <c r="I5912" s="1">
        <v>0</v>
      </c>
      <c r="J5912" s="1">
        <v>0</v>
      </c>
      <c r="K5912" s="2">
        <v>52.0</v>
      </c>
    </row>
    <row r="5913" spans="1:12">
      <c r="A5913" s="3" t="s">
        <v>6046</v>
      </c>
      <c r="B5913" s="3" t="s">
        <v>6076</v>
      </c>
      <c r="C5913" s="3"/>
      <c r="D5913" s="3"/>
      <c r="E5913" s="2" t="str">
        <f>HYPERLINK("https://old.ukr-mobil.com/index.php?route=product&amp;product_id=10005594", "Перейти")</f>
        <v>Перейти</v>
      </c>
      <c r="F5913" s="2">
        <v>10005594</v>
      </c>
      <c r="G5913" s="4" t="s">
        <v>6104</v>
      </c>
      <c r="H5913" s="1">
        <v>0</v>
      </c>
      <c r="I5913" s="1">
        <v>0</v>
      </c>
      <c r="J5913" s="1">
        <v>0</v>
      </c>
      <c r="K5913" s="2">
        <v>40.0</v>
      </c>
    </row>
    <row r="5914" spans="1:12">
      <c r="A5914" s="3" t="s">
        <v>6046</v>
      </c>
      <c r="B5914" s="3" t="s">
        <v>6076</v>
      </c>
      <c r="C5914" s="3"/>
      <c r="D5914" s="3"/>
      <c r="E5914" s="2" t="str">
        <f>HYPERLINK("https://old.ukr-mobil.com/index.php?route=product&amp;product_id=10005623", "Перейти")</f>
        <v>Перейти</v>
      </c>
      <c r="F5914" s="2">
        <v>10005623</v>
      </c>
      <c r="G5914" s="4" t="s">
        <v>6105</v>
      </c>
      <c r="H5914" s="1">
        <v>0</v>
      </c>
      <c r="I5914" s="1">
        <v>0</v>
      </c>
      <c r="J5914" s="1">
        <v>0</v>
      </c>
      <c r="K5914" s="2">
        <v>29.0</v>
      </c>
    </row>
    <row r="5915" spans="1:12">
      <c r="A5915" s="3" t="s">
        <v>6046</v>
      </c>
      <c r="B5915" s="3" t="s">
        <v>6076</v>
      </c>
      <c r="C5915" s="3"/>
      <c r="D5915" s="3"/>
      <c r="E5915" s="2" t="str">
        <f>HYPERLINK("https://old.ukr-mobil.com/index.php?route=product&amp;product_id=10005593", "Перейти")</f>
        <v>Перейти</v>
      </c>
      <c r="F5915" s="2">
        <v>10005593</v>
      </c>
      <c r="G5915" s="4" t="s">
        <v>6106</v>
      </c>
      <c r="H5915" s="1">
        <v>0</v>
      </c>
      <c r="I5915" s="1">
        <v>0</v>
      </c>
      <c r="J5915" s="1">
        <v>0</v>
      </c>
      <c r="K5915" s="2">
        <v>74.0</v>
      </c>
    </row>
    <row r="5916" spans="1:12">
      <c r="A5916" s="3" t="s">
        <v>6046</v>
      </c>
      <c r="B5916" s="3" t="s">
        <v>6076</v>
      </c>
      <c r="C5916" s="3"/>
      <c r="D5916" s="3"/>
      <c r="E5916" s="2" t="str">
        <f>HYPERLINK("https://old.ukr-mobil.com/antenna_vsenapravlennaya_5_2_ghz_5150-5350_mhz_100w_3-6_dbi_20_mm_60_sm_n-j_dlya_jamming_oborudovaniya_10005096", "Перейти")</f>
        <v>Перейти</v>
      </c>
      <c r="F5916" s="2">
        <v>10005096</v>
      </c>
      <c r="G5916" s="4" t="s">
        <v>6107</v>
      </c>
      <c r="H5916" s="1">
        <v>0</v>
      </c>
      <c r="I5916" s="1">
        <v>1</v>
      </c>
      <c r="J5916" s="1">
        <v>1</v>
      </c>
      <c r="K5916" s="2">
        <v>40.0</v>
      </c>
    </row>
    <row r="5917" spans="1:12">
      <c r="A5917" s="3" t="s">
        <v>6046</v>
      </c>
      <c r="B5917" s="3" t="s">
        <v>6076</v>
      </c>
      <c r="C5917" s="3"/>
      <c r="D5917" s="3"/>
      <c r="E5917" s="2" t="str">
        <f>HYPERLINK("https://old.ukr-mobil.com/index.php?route=product&amp;product_id=10005599", "Перейти")</f>
        <v>Перейти</v>
      </c>
      <c r="F5917" s="2">
        <v>10005599</v>
      </c>
      <c r="G5917" s="4" t="s">
        <v>6108</v>
      </c>
      <c r="H5917" s="1">
        <v>0</v>
      </c>
      <c r="I5917" s="1">
        <v>0</v>
      </c>
      <c r="J5917" s="1">
        <v>0</v>
      </c>
      <c r="K5917" s="2">
        <v>40.0</v>
      </c>
    </row>
    <row r="5918" spans="1:12">
      <c r="A5918" s="3" t="s">
        <v>6046</v>
      </c>
      <c r="B5918" s="3" t="s">
        <v>6076</v>
      </c>
      <c r="C5918" s="3"/>
      <c r="D5918" s="3"/>
      <c r="E5918" s="2" t="str">
        <f>HYPERLINK("https://old.ukr-mobil.com/antenna_vsenapravlennaya_5_2_ghz_5150-5350_mhz_100w_3-8_dbi_25_mm_60_sm_n-j_dlya_jamming_oborudovaniya_10005383", "Перейти")</f>
        <v>Перейти</v>
      </c>
      <c r="F5918" s="2">
        <v>10005383</v>
      </c>
      <c r="G5918" s="4" t="s">
        <v>6109</v>
      </c>
      <c r="H5918" s="1">
        <v>0</v>
      </c>
      <c r="I5918" s="1">
        <v>2</v>
      </c>
      <c r="J5918" s="1">
        <v>0</v>
      </c>
      <c r="K5918" s="2">
        <v>40.0</v>
      </c>
    </row>
    <row r="5919" spans="1:12">
      <c r="A5919" s="3" t="s">
        <v>6046</v>
      </c>
      <c r="B5919" s="3" t="s">
        <v>6076</v>
      </c>
      <c r="C5919" s="3"/>
      <c r="D5919" s="3"/>
      <c r="E5919" s="2" t="str">
        <f>HYPERLINK("https://old.ukr-mobil.com/antenna_vsenapravlennaya_5_2_ghz_5150-5350_mhz_100w_5-7_dbi_32_mm_60_sm_n-j_dlya_jamming_oborudovaniya_10005435", "Перейти")</f>
        <v>Перейти</v>
      </c>
      <c r="F5919" s="2">
        <v>10005435</v>
      </c>
      <c r="G5919" s="4" t="s">
        <v>6110</v>
      </c>
      <c r="H5919" s="1">
        <v>3</v>
      </c>
      <c r="I5919" s="1">
        <v>0</v>
      </c>
      <c r="J5919" s="1">
        <v>0</v>
      </c>
      <c r="K5919" s="2">
        <v>48.0</v>
      </c>
    </row>
    <row r="5920" spans="1:12">
      <c r="A5920" s="3" t="s">
        <v>6046</v>
      </c>
      <c r="B5920" s="3" t="s">
        <v>6076</v>
      </c>
      <c r="C5920" s="3"/>
      <c r="D5920" s="3"/>
      <c r="E5920" s="2" t="str">
        <f>HYPERLINK("https://old.ukr-mobil.com/index.php?route=product&amp;product_id=10005618", "Перейти")</f>
        <v>Перейти</v>
      </c>
      <c r="F5920" s="2">
        <v>10005618</v>
      </c>
      <c r="G5920" s="4" t="s">
        <v>6111</v>
      </c>
      <c r="H5920" s="1">
        <v>0</v>
      </c>
      <c r="I5920" s="1">
        <v>0</v>
      </c>
      <c r="J5920" s="1">
        <v>0</v>
      </c>
      <c r="K5920" s="2">
        <v>40.0</v>
      </c>
    </row>
    <row r="5921" spans="1:12">
      <c r="A5921" s="3" t="s">
        <v>6046</v>
      </c>
      <c r="B5921" s="3" t="s">
        <v>6076</v>
      </c>
      <c r="C5921" s="3"/>
      <c r="D5921" s="3"/>
      <c r="E5921" s="2" t="str">
        <f>HYPERLINK("https://old.ukr-mobil.com/antenna_vsenapravlennaya_5_2_ghz_5150-5350_mhz_50w_3-5_dbi_20_mm_60_sm_n-j_dlya_jamming_oborudovaniya_10005384", "Перейти")</f>
        <v>Перейти</v>
      </c>
      <c r="F5921" s="2">
        <v>10005384</v>
      </c>
      <c r="G5921" s="4" t="s">
        <v>6112</v>
      </c>
      <c r="H5921" s="1">
        <v>6</v>
      </c>
      <c r="I5921" s="1">
        <v>0</v>
      </c>
      <c r="J5921" s="1">
        <v>4</v>
      </c>
      <c r="K5921" s="2">
        <v>40.0</v>
      </c>
    </row>
    <row r="5922" spans="1:12">
      <c r="A5922" s="3" t="s">
        <v>6046</v>
      </c>
      <c r="B5922" s="3" t="s">
        <v>6076</v>
      </c>
      <c r="C5922" s="3"/>
      <c r="D5922" s="3"/>
      <c r="E5922" s="2" t="str">
        <f>HYPERLINK("https://old.ukr-mobil.com/antenna_vsenapravlennaya_5_2_ghz_5150-5350_mhz_50w_3-7_dbi_25_mm_60_sm_n-j_dlya_jamming_oborudovaniya_10005388", "Перейти")</f>
        <v>Перейти</v>
      </c>
      <c r="F5922" s="2">
        <v>10005388</v>
      </c>
      <c r="G5922" s="4" t="s">
        <v>6113</v>
      </c>
      <c r="H5922" s="1">
        <v>0</v>
      </c>
      <c r="I5922" s="1">
        <v>0</v>
      </c>
      <c r="J5922" s="1">
        <v>0</v>
      </c>
      <c r="K5922" s="2">
        <v>40.0</v>
      </c>
    </row>
    <row r="5923" spans="1:12">
      <c r="A5923" s="3" t="s">
        <v>6046</v>
      </c>
      <c r="B5923" s="3" t="s">
        <v>6076</v>
      </c>
      <c r="C5923" s="3"/>
      <c r="D5923" s="3"/>
      <c r="E5923" s="2" t="str">
        <f>HYPERLINK("https://old.ukr-mobil.com/antenna_vsenapravlennaya_5_2_ghz_5150-5350_mhz_50w_5-7_dbi_32_mm_60_sm_n-j_dlya_jamming_oborudovaniya_10005430", "Перейти")</f>
        <v>Перейти</v>
      </c>
      <c r="F5923" s="2">
        <v>10005430</v>
      </c>
      <c r="G5923" s="4" t="s">
        <v>6114</v>
      </c>
      <c r="H5923" s="1">
        <v>1</v>
      </c>
      <c r="I5923" s="1">
        <v>1</v>
      </c>
      <c r="J5923" s="1">
        <v>0</v>
      </c>
      <c r="K5923" s="2">
        <v>40.0</v>
      </c>
    </row>
    <row r="5924" spans="1:12">
      <c r="A5924" s="3" t="s">
        <v>6046</v>
      </c>
      <c r="B5924" s="3" t="s">
        <v>6076</v>
      </c>
      <c r="C5924" s="3"/>
      <c r="D5924" s="3"/>
      <c r="E5924" s="2" t="str">
        <f>HYPERLINK("https://old.ukr-mobil.com/antenna_vsenapravlennaya_5_8_ghz_5725-5850_mhz_100w_3-6_dbi_20_mm_60_sm_n-j_dlya_jamming_oborudovaniya_10005027", "Перейти")</f>
        <v>Перейти</v>
      </c>
      <c r="F5924" s="2">
        <v>10005027</v>
      </c>
      <c r="G5924" s="4" t="s">
        <v>6115</v>
      </c>
      <c r="H5924" s="1">
        <v>0</v>
      </c>
      <c r="I5924" s="1">
        <v>0</v>
      </c>
      <c r="J5924" s="1">
        <v>0</v>
      </c>
      <c r="K5924" s="2">
        <v>40.0</v>
      </c>
    </row>
    <row r="5925" spans="1:12">
      <c r="A5925" s="3" t="s">
        <v>6046</v>
      </c>
      <c r="B5925" s="3" t="s">
        <v>6076</v>
      </c>
      <c r="C5925" s="3"/>
      <c r="D5925" s="3"/>
      <c r="E5925" s="2" t="str">
        <f>HYPERLINK("https://old.ukr-mobil.com/index.php?route=product&amp;product_id=10005600", "Перейти")</f>
        <v>Перейти</v>
      </c>
      <c r="F5925" s="2">
        <v>10005600</v>
      </c>
      <c r="G5925" s="4" t="s">
        <v>6116</v>
      </c>
      <c r="H5925" s="1">
        <v>0</v>
      </c>
      <c r="I5925" s="1">
        <v>0</v>
      </c>
      <c r="J5925" s="1">
        <v>0</v>
      </c>
      <c r="K5925" s="2">
        <v>40.0</v>
      </c>
    </row>
    <row r="5926" spans="1:12">
      <c r="A5926" s="3" t="s">
        <v>6046</v>
      </c>
      <c r="B5926" s="3" t="s">
        <v>6076</v>
      </c>
      <c r="C5926" s="3"/>
      <c r="D5926" s="3"/>
      <c r="E5926" s="2" t="str">
        <f>HYPERLINK("https://old.ukr-mobil.com/antenna_vsenapravlennaya_5_8_ghz_5725-5850_mhz_100w_3-8_dbi_25_mm_60_sm_n-j_dlya_jamming_oborudovaniya_10005386", "Перейти")</f>
        <v>Перейти</v>
      </c>
      <c r="F5926" s="2">
        <v>10005386</v>
      </c>
      <c r="G5926" s="4" t="s">
        <v>6117</v>
      </c>
      <c r="H5926" s="1">
        <v>0</v>
      </c>
      <c r="I5926" s="1">
        <v>0</v>
      </c>
      <c r="J5926" s="1">
        <v>0</v>
      </c>
      <c r="K5926" s="2">
        <v>40.0</v>
      </c>
    </row>
    <row r="5927" spans="1:12">
      <c r="A5927" s="3" t="s">
        <v>6046</v>
      </c>
      <c r="B5927" s="3" t="s">
        <v>6076</v>
      </c>
      <c r="C5927" s="3"/>
      <c r="D5927" s="3"/>
      <c r="E5927" s="2" t="str">
        <f>HYPERLINK("https://old.ukr-mobil.com/antenna_vsenapravlennaya_5_8_ghz_5725-5850_mhz_100w_5-7_dbi_32_mm_60_sm_n-j_dlya_jamming_oborudovaniya_10005437", "Перейти")</f>
        <v>Перейти</v>
      </c>
      <c r="F5927" s="2">
        <v>10005437</v>
      </c>
      <c r="G5927" s="4" t="s">
        <v>6118</v>
      </c>
      <c r="H5927" s="1">
        <v>0</v>
      </c>
      <c r="I5927" s="1">
        <v>0</v>
      </c>
      <c r="J5927" s="1">
        <v>0</v>
      </c>
      <c r="K5927" s="2">
        <v>50.0</v>
      </c>
    </row>
    <row r="5928" spans="1:12">
      <c r="A5928" s="3" t="s">
        <v>6046</v>
      </c>
      <c r="B5928" s="3" t="s">
        <v>6076</v>
      </c>
      <c r="C5928" s="3"/>
      <c r="D5928" s="3"/>
      <c r="E5928" s="2" t="str">
        <f>HYPERLINK("https://old.ukr-mobil.com/index.php?route=product&amp;product_id=10005619", "Перейти")</f>
        <v>Перейти</v>
      </c>
      <c r="F5928" s="2">
        <v>10005619</v>
      </c>
      <c r="G5928" s="4" t="s">
        <v>6119</v>
      </c>
      <c r="H5928" s="1">
        <v>4</v>
      </c>
      <c r="I5928" s="1">
        <v>11</v>
      </c>
      <c r="J5928" s="1">
        <v>2</v>
      </c>
      <c r="K5928" s="2">
        <v>30.0</v>
      </c>
    </row>
    <row r="5929" spans="1:12">
      <c r="A5929" s="3" t="s">
        <v>6046</v>
      </c>
      <c r="B5929" s="3" t="s">
        <v>6076</v>
      </c>
      <c r="C5929" s="3"/>
      <c r="D5929" s="3"/>
      <c r="E5929" s="2" t="str">
        <f>HYPERLINK("https://old.ukr-mobil.com/index.php?route=product&amp;product_id=10005704", "Перейти")</f>
        <v>Перейти</v>
      </c>
      <c r="F5929" s="2">
        <v>10005704</v>
      </c>
      <c r="G5929" s="4" t="s">
        <v>6120</v>
      </c>
      <c r="H5929" s="1">
        <v>0</v>
      </c>
      <c r="I5929" s="1">
        <v>0</v>
      </c>
      <c r="J5929" s="1">
        <v>0</v>
      </c>
      <c r="K5929" s="2">
        <v>30.0</v>
      </c>
    </row>
    <row r="5930" spans="1:12">
      <c r="A5930" s="3" t="s">
        <v>6046</v>
      </c>
      <c r="B5930" s="3" t="s">
        <v>6076</v>
      </c>
      <c r="C5930" s="3"/>
      <c r="D5930" s="3"/>
      <c r="E5930" s="2" t="str">
        <f>HYPERLINK("https://old.ukr-mobil.com/antenna_vsenapravlennaya_5_8_ghz_5725-5850_mhz_50w_3-5_dbi_20_mm_60_sm_n-j_dlya_jamming_oborudovaniya_10005391", "Перейти")</f>
        <v>Перейти</v>
      </c>
      <c r="F5930" s="2">
        <v>10005391</v>
      </c>
      <c r="G5930" s="4" t="s">
        <v>6121</v>
      </c>
      <c r="H5930" s="1">
        <v>0</v>
      </c>
      <c r="I5930" s="1">
        <v>0</v>
      </c>
      <c r="J5930" s="1">
        <v>0</v>
      </c>
      <c r="K5930" s="2">
        <v>40.0</v>
      </c>
    </row>
    <row r="5931" spans="1:12">
      <c r="A5931" s="3" t="s">
        <v>6046</v>
      </c>
      <c r="B5931" s="3" t="s">
        <v>6076</v>
      </c>
      <c r="C5931" s="3"/>
      <c r="D5931" s="3"/>
      <c r="E5931" s="2" t="str">
        <f>HYPERLINK("https://old.ukr-mobil.com/antenna_vsenapravlennaya_5_8_ghz_5725-5850_mhz_50w_3-7_dbi_25_mm_60_sm_n-j_dlya_jamming_oborudovaniya_10005023", "Перейти")</f>
        <v>Перейти</v>
      </c>
      <c r="F5931" s="2">
        <v>10005023</v>
      </c>
      <c r="G5931" s="4" t="s">
        <v>6122</v>
      </c>
      <c r="H5931" s="1">
        <v>0</v>
      </c>
      <c r="I5931" s="1">
        <v>0</v>
      </c>
      <c r="J5931" s="1">
        <v>0</v>
      </c>
      <c r="K5931" s="2">
        <v>40.0</v>
      </c>
    </row>
    <row r="5932" spans="1:12">
      <c r="A5932" s="3" t="s">
        <v>6046</v>
      </c>
      <c r="B5932" s="3" t="s">
        <v>6076</v>
      </c>
      <c r="C5932" s="3"/>
      <c r="D5932" s="3"/>
      <c r="E5932" s="2" t="str">
        <f>HYPERLINK("https://old.ukr-mobil.com/antenna_vsenapravlennaya_5_8_ghz_5725-5850_mhz_50w_5-7_dbi_32_mm_60_sm_n-j_dlya_jamming_oborudovaniya_10005431", "Перейти")</f>
        <v>Перейти</v>
      </c>
      <c r="F5932" s="2">
        <v>10005431</v>
      </c>
      <c r="G5932" s="4" t="s">
        <v>6123</v>
      </c>
      <c r="H5932" s="1">
        <v>0</v>
      </c>
      <c r="I5932" s="1">
        <v>0</v>
      </c>
      <c r="J5932" s="1">
        <v>0</v>
      </c>
      <c r="K5932" s="2">
        <v>40.0</v>
      </c>
    </row>
    <row r="5933" spans="1:12">
      <c r="A5933" s="3" t="s">
        <v>6046</v>
      </c>
      <c r="B5933" s="3" t="s">
        <v>6076</v>
      </c>
      <c r="C5933" s="3"/>
      <c r="D5933" s="3"/>
      <c r="E5933" s="2" t="str">
        <f>HYPERLINK("https://old.ukr-mobil.com/index.php?route=product&amp;product_id=10005809", "Перейти")</f>
        <v>Перейти</v>
      </c>
      <c r="F5933" s="2">
        <v>10005809</v>
      </c>
      <c r="G5933" s="4" t="s">
        <v>6124</v>
      </c>
      <c r="H5933" s="1">
        <v>0</v>
      </c>
      <c r="I5933" s="1">
        <v>0</v>
      </c>
      <c r="J5933" s="1">
        <v>0</v>
      </c>
      <c r="K5933" s="2">
        <v>40.0</v>
      </c>
    </row>
    <row r="5934" spans="1:12">
      <c r="A5934" s="3" t="s">
        <v>6046</v>
      </c>
      <c r="B5934" s="3" t="s">
        <v>6076</v>
      </c>
      <c r="C5934" s="3"/>
      <c r="D5934" s="3"/>
      <c r="E5934" s="2" t="str">
        <f>HYPERLINK("https://old.ukr-mobil.com/index.php?route=product&amp;product_id=10005936", "Перейти")</f>
        <v>Перейти</v>
      </c>
      <c r="F5934" s="2">
        <v>10005936</v>
      </c>
      <c r="G5934" s="4" t="s">
        <v>6125</v>
      </c>
      <c r="H5934" s="1">
        <v>0</v>
      </c>
      <c r="I5934" s="1">
        <v>0</v>
      </c>
      <c r="J5934" s="1">
        <v>0</v>
      </c>
      <c r="K5934" s="2">
        <v>29.0</v>
      </c>
    </row>
    <row r="5935" spans="1:12">
      <c r="A5935" s="3" t="s">
        <v>6046</v>
      </c>
      <c r="B5935" s="3" t="s">
        <v>6076</v>
      </c>
      <c r="C5935" s="3"/>
      <c r="D5935" s="3"/>
      <c r="E5935" s="2" t="str">
        <f>HYPERLINK("https://old.ukr-mobil.com/index.php?route=product&amp;product_id=10005692", "Перейти")</f>
        <v>Перейти</v>
      </c>
      <c r="F5935" s="2">
        <v>10005692</v>
      </c>
      <c r="G5935" s="4" t="s">
        <v>6126</v>
      </c>
      <c r="H5935" s="1">
        <v>0</v>
      </c>
      <c r="I5935" s="1">
        <v>0</v>
      </c>
      <c r="J5935" s="1">
        <v>0</v>
      </c>
      <c r="K5935" s="2">
        <v>40.0</v>
      </c>
    </row>
    <row r="5936" spans="1:12">
      <c r="A5936" s="3" t="s">
        <v>6046</v>
      </c>
      <c r="B5936" s="3" t="s">
        <v>6076</v>
      </c>
      <c r="C5936" s="3"/>
      <c r="D5936" s="3"/>
      <c r="E5936" s="2" t="str">
        <f>HYPERLINK("https://old.ukr-mobil.com/index.php?route=product&amp;product_id=10005693", "Перейти")</f>
        <v>Перейти</v>
      </c>
      <c r="F5936" s="2">
        <v>10005693</v>
      </c>
      <c r="G5936" s="4" t="s">
        <v>6127</v>
      </c>
      <c r="H5936" s="1">
        <v>0</v>
      </c>
      <c r="I5936" s="1">
        <v>0</v>
      </c>
      <c r="J5936" s="1">
        <v>0</v>
      </c>
      <c r="K5936" s="2">
        <v>40.0</v>
      </c>
    </row>
    <row r="5937" spans="1:12">
      <c r="A5937" s="3" t="s">
        <v>6046</v>
      </c>
      <c r="B5937" s="3" t="s">
        <v>6076</v>
      </c>
      <c r="C5937" s="3"/>
      <c r="D5937" s="3"/>
      <c r="E5937" s="2" t="str">
        <f>HYPERLINK("https://old.ukr-mobil.com/index.php?route=product&amp;product_id=10005694", "Перейти")</f>
        <v>Перейти</v>
      </c>
      <c r="F5937" s="2">
        <v>10005694</v>
      </c>
      <c r="G5937" s="4" t="s">
        <v>6128</v>
      </c>
      <c r="H5937" s="1">
        <v>0</v>
      </c>
      <c r="I5937" s="1">
        <v>0</v>
      </c>
      <c r="J5937" s="1">
        <v>0</v>
      </c>
      <c r="K5937" s="2">
        <v>40.0</v>
      </c>
    </row>
    <row r="5938" spans="1:12">
      <c r="A5938" s="3" t="s">
        <v>6046</v>
      </c>
      <c r="B5938" s="3" t="s">
        <v>6076</v>
      </c>
      <c r="C5938" s="3"/>
      <c r="D5938" s="3"/>
      <c r="E5938" s="2" t="str">
        <f>HYPERLINK("https://old.ukr-mobil.com/antenna_vsenapravlennaya_700-800_mhz_100w_3-8_dbi_25_mm_60_sm_n-j_dlya_jamming_oborudovaniya_10005555", "Перейти")</f>
        <v>Перейти</v>
      </c>
      <c r="F5938" s="2">
        <v>10005555</v>
      </c>
      <c r="G5938" s="4" t="s">
        <v>6129</v>
      </c>
      <c r="H5938" s="1">
        <v>0</v>
      </c>
      <c r="I5938" s="1">
        <v>0</v>
      </c>
      <c r="J5938" s="1">
        <v>0</v>
      </c>
      <c r="K5938" s="2">
        <v>40.0</v>
      </c>
    </row>
    <row r="5939" spans="1:12">
      <c r="A5939" s="3" t="s">
        <v>6046</v>
      </c>
      <c r="B5939" s="3" t="s">
        <v>6076</v>
      </c>
      <c r="C5939" s="3"/>
      <c r="D5939" s="3"/>
      <c r="E5939" s="2" t="str">
        <f>HYPERLINK("https://old.ukr-mobil.com/antenna_vsenapravlennaya_700-800_mhz_50w_3-5_dbi_20_mm_60_sm_n-j_dlya_jamming_oborudovaniya_10005553", "Перейти")</f>
        <v>Перейти</v>
      </c>
      <c r="F5939" s="2">
        <v>10005553</v>
      </c>
      <c r="G5939" s="4" t="s">
        <v>6130</v>
      </c>
      <c r="H5939" s="1">
        <v>0</v>
      </c>
      <c r="I5939" s="1">
        <v>0</v>
      </c>
      <c r="J5939" s="1">
        <v>0</v>
      </c>
      <c r="K5939" s="2">
        <v>48.0</v>
      </c>
    </row>
    <row r="5940" spans="1:12">
      <c r="A5940" s="3" t="s">
        <v>6046</v>
      </c>
      <c r="B5940" s="3" t="s">
        <v>6076</v>
      </c>
      <c r="C5940" s="3"/>
      <c r="D5940" s="3"/>
      <c r="E5940" s="2" t="str">
        <f>HYPERLINK("https://old.ukr-mobil.com/index.php?route=product&amp;product_id=10005697", "Перейти")</f>
        <v>Перейти</v>
      </c>
      <c r="F5940" s="2">
        <v>10005697</v>
      </c>
      <c r="G5940" s="4" t="s">
        <v>6131</v>
      </c>
      <c r="H5940" s="1">
        <v>0</v>
      </c>
      <c r="I5940" s="1">
        <v>0</v>
      </c>
      <c r="J5940" s="1">
        <v>0</v>
      </c>
      <c r="K5940" s="2">
        <v>40.0</v>
      </c>
    </row>
    <row r="5941" spans="1:12">
      <c r="A5941" s="3" t="s">
        <v>6046</v>
      </c>
      <c r="B5941" s="3" t="s">
        <v>6076</v>
      </c>
      <c r="C5941" s="3"/>
      <c r="D5941" s="3"/>
      <c r="E5941" s="2" t="str">
        <f>HYPERLINK("https://old.ukr-mobil.com/index.php?route=product&amp;product_id=10005937", "Перейти")</f>
        <v>Перейти</v>
      </c>
      <c r="F5941" s="2">
        <v>10005937</v>
      </c>
      <c r="G5941" s="4" t="s">
        <v>6132</v>
      </c>
      <c r="H5941" s="1">
        <v>0</v>
      </c>
      <c r="I5941" s="1">
        <v>0</v>
      </c>
      <c r="J5941" s="1">
        <v>0</v>
      </c>
      <c r="K5941" s="2">
        <v>29.0</v>
      </c>
    </row>
    <row r="5942" spans="1:12">
      <c r="A5942" s="3" t="s">
        <v>6046</v>
      </c>
      <c r="B5942" s="3" t="s">
        <v>6076</v>
      </c>
      <c r="C5942" s="3"/>
      <c r="D5942" s="3"/>
      <c r="E5942" s="2" t="str">
        <f>HYPERLINK("https://old.ukr-mobil.com/index.php?route=product&amp;product_id=10005601", "Перейти")</f>
        <v>Перейти</v>
      </c>
      <c r="F5942" s="2">
        <v>10005601</v>
      </c>
      <c r="G5942" s="4" t="s">
        <v>6133</v>
      </c>
      <c r="H5942" s="1">
        <v>0</v>
      </c>
      <c r="I5942" s="1">
        <v>0</v>
      </c>
      <c r="J5942" s="1">
        <v>0</v>
      </c>
      <c r="K5942" s="2">
        <v>40.0</v>
      </c>
    </row>
    <row r="5943" spans="1:12">
      <c r="A5943" s="3" t="s">
        <v>6046</v>
      </c>
      <c r="B5943" s="3" t="s">
        <v>6076</v>
      </c>
      <c r="C5943" s="3"/>
      <c r="D5943" s="3"/>
      <c r="E5943" s="2" t="str">
        <f>HYPERLINK("https://old.ukr-mobil.com/antenna_vsenapravlennaya_720-850_mhz_100w_3-8_dbi_25_mm_60_sm_n-j_dlya_jamming_oborudovaniya_10005392", "Перейти")</f>
        <v>Перейти</v>
      </c>
      <c r="F5943" s="2">
        <v>10005392</v>
      </c>
      <c r="G5943" s="4" t="s">
        <v>6134</v>
      </c>
      <c r="H5943" s="1">
        <v>0</v>
      </c>
      <c r="I5943" s="1">
        <v>0</v>
      </c>
      <c r="J5943" s="1">
        <v>0</v>
      </c>
      <c r="K5943" s="2">
        <v>40.0</v>
      </c>
    </row>
    <row r="5944" spans="1:12">
      <c r="A5944" s="3" t="s">
        <v>6046</v>
      </c>
      <c r="B5944" s="3" t="s">
        <v>6076</v>
      </c>
      <c r="C5944" s="3"/>
      <c r="D5944" s="3"/>
      <c r="E5944" s="2" t="str">
        <f>HYPERLINK("https://old.ukr-mobil.com/index.php?route=product&amp;product_id=10005624", "Перейти")</f>
        <v>Перейти</v>
      </c>
      <c r="F5944" s="2">
        <v>10005624</v>
      </c>
      <c r="G5944" s="4" t="s">
        <v>6135</v>
      </c>
      <c r="H5944" s="1">
        <v>0</v>
      </c>
      <c r="I5944" s="1">
        <v>0</v>
      </c>
      <c r="J5944" s="1">
        <v>0</v>
      </c>
      <c r="K5944" s="2">
        <v>40.0</v>
      </c>
    </row>
    <row r="5945" spans="1:12">
      <c r="A5945" s="3" t="s">
        <v>6046</v>
      </c>
      <c r="B5945" s="3" t="s">
        <v>6076</v>
      </c>
      <c r="C5945" s="3"/>
      <c r="D5945" s="3"/>
      <c r="E5945" s="2" t="str">
        <f>HYPERLINK("https://old.ukr-mobil.com/index.php?route=product&amp;product_id=10005632", "Перейти")</f>
        <v>Перейти</v>
      </c>
      <c r="F5945" s="2">
        <v>10005632</v>
      </c>
      <c r="G5945" s="4" t="s">
        <v>6136</v>
      </c>
      <c r="H5945" s="1">
        <v>266</v>
      </c>
      <c r="I5945" s="1">
        <v>5</v>
      </c>
      <c r="J5945" s="1">
        <v>0</v>
      </c>
      <c r="K5945" s="2">
        <v>29.0</v>
      </c>
    </row>
    <row r="5946" spans="1:12">
      <c r="A5946" s="3" t="s">
        <v>6046</v>
      </c>
      <c r="B5946" s="3" t="s">
        <v>6076</v>
      </c>
      <c r="C5946" s="3"/>
      <c r="D5946" s="3"/>
      <c r="E5946" s="2" t="str">
        <f>HYPERLINK("https://old.ukr-mobil.com/index.php?route=product&amp;product_id=10005700", "Перейти")</f>
        <v>Перейти</v>
      </c>
      <c r="F5946" s="2">
        <v>10005700</v>
      </c>
      <c r="G5946" s="4" t="s">
        <v>6137</v>
      </c>
      <c r="H5946" s="1">
        <v>0</v>
      </c>
      <c r="I5946" s="1">
        <v>0</v>
      </c>
      <c r="J5946" s="1">
        <v>0</v>
      </c>
      <c r="K5946" s="2">
        <v>32.0</v>
      </c>
    </row>
    <row r="5947" spans="1:12">
      <c r="A5947" s="3" t="s">
        <v>6046</v>
      </c>
      <c r="B5947" s="3" t="s">
        <v>6076</v>
      </c>
      <c r="C5947" s="3"/>
      <c r="D5947" s="3"/>
      <c r="E5947" s="2" t="str">
        <f>HYPERLINK("https://old.ukr-mobil.com/index.php?route=product&amp;product_id=10005701", "Перейти")</f>
        <v>Перейти</v>
      </c>
      <c r="F5947" s="2">
        <v>10005701</v>
      </c>
      <c r="G5947" s="4" t="s">
        <v>6138</v>
      </c>
      <c r="H5947" s="1">
        <v>0</v>
      </c>
      <c r="I5947" s="1">
        <v>0</v>
      </c>
      <c r="J5947" s="1">
        <v>0</v>
      </c>
      <c r="K5947" s="2">
        <v>32.0</v>
      </c>
    </row>
    <row r="5948" spans="1:12">
      <c r="A5948" s="3" t="s">
        <v>6046</v>
      </c>
      <c r="B5948" s="3" t="s">
        <v>6076</v>
      </c>
      <c r="C5948" s="3"/>
      <c r="D5948" s="3"/>
      <c r="E5948" s="2" t="str">
        <f>HYPERLINK("https://old.ukr-mobil.com/antenna_vsenapravlennaya_800-900_mhz_50w_3-5_dbi_20_mm_60_sm_n-j_dlya_jamming_oborudovaniya_10005556", "Перейти")</f>
        <v>Перейти</v>
      </c>
      <c r="F5948" s="2">
        <v>10005556</v>
      </c>
      <c r="G5948" s="4" t="s">
        <v>6139</v>
      </c>
      <c r="H5948" s="1">
        <v>0</v>
      </c>
      <c r="I5948" s="1">
        <v>0</v>
      </c>
      <c r="J5948" s="1">
        <v>0</v>
      </c>
      <c r="K5948" s="2">
        <v>48.0</v>
      </c>
    </row>
    <row r="5949" spans="1:12">
      <c r="A5949" s="3" t="s">
        <v>6046</v>
      </c>
      <c r="B5949" s="3" t="s">
        <v>6076</v>
      </c>
      <c r="C5949" s="3"/>
      <c r="D5949" s="3"/>
      <c r="E5949" s="2" t="str">
        <f>HYPERLINK("https://old.ukr-mobil.com/index.php?route=product&amp;product_id=10005699", "Перейти")</f>
        <v>Перейти</v>
      </c>
      <c r="F5949" s="2">
        <v>10005699</v>
      </c>
      <c r="G5949" s="4" t="s">
        <v>6140</v>
      </c>
      <c r="H5949" s="1">
        <v>0</v>
      </c>
      <c r="I5949" s="1">
        <v>0</v>
      </c>
      <c r="J5949" s="1">
        <v>0</v>
      </c>
      <c r="K5949" s="2">
        <v>40.0</v>
      </c>
    </row>
    <row r="5950" spans="1:12">
      <c r="A5950" s="3" t="s">
        <v>6046</v>
      </c>
      <c r="B5950" s="3" t="s">
        <v>6076</v>
      </c>
      <c r="C5950" s="3"/>
      <c r="D5950" s="3"/>
      <c r="E5950" s="2" t="str">
        <f>HYPERLINK("https://old.ukr-mobil.com/index.php?route=product&amp;product_id=10005901", "Перейти")</f>
        <v>Перейти</v>
      </c>
      <c r="F5950" s="2">
        <v>10005901</v>
      </c>
      <c r="G5950" s="4" t="s">
        <v>6141</v>
      </c>
      <c r="H5950" s="1">
        <v>0</v>
      </c>
      <c r="I5950" s="1">
        <v>0</v>
      </c>
      <c r="J5950" s="1">
        <v>0</v>
      </c>
      <c r="K5950" s="2">
        <v>36.0</v>
      </c>
    </row>
    <row r="5951" spans="1:12">
      <c r="A5951" s="3" t="s">
        <v>6046</v>
      </c>
      <c r="B5951" s="3" t="s">
        <v>6076</v>
      </c>
      <c r="C5951" s="3"/>
      <c r="D5951" s="3"/>
      <c r="E5951" s="2" t="str">
        <f>HYPERLINK("https://old.ukr-mobil.com/index.php?route=product&amp;product_id=10005938", "Перейти")</f>
        <v>Перейти</v>
      </c>
      <c r="F5951" s="2">
        <v>10005938</v>
      </c>
      <c r="G5951" s="4" t="s">
        <v>6142</v>
      </c>
      <c r="H5951" s="1">
        <v>0</v>
      </c>
      <c r="I5951" s="1">
        <v>0</v>
      </c>
      <c r="J5951" s="1">
        <v>0</v>
      </c>
      <c r="K5951" s="2">
        <v>29.0</v>
      </c>
    </row>
    <row r="5952" spans="1:12">
      <c r="A5952" s="3" t="s">
        <v>6046</v>
      </c>
      <c r="B5952" s="3" t="s">
        <v>6076</v>
      </c>
      <c r="C5952" s="3"/>
      <c r="D5952" s="3"/>
      <c r="E5952" s="2" t="str">
        <f>HYPERLINK("https://old.ukr-mobil.com/antenna_vsenapravlennaya_900_mhz_860-930_mhz_100w_3-6_dbi_20_mm_60_sm_n-j_dlya_jamming_oborudovaniya_10005026", "Перейти")</f>
        <v>Перейти</v>
      </c>
      <c r="F5952" s="2">
        <v>10005026</v>
      </c>
      <c r="G5952" s="4" t="s">
        <v>6143</v>
      </c>
      <c r="H5952" s="1">
        <v>0</v>
      </c>
      <c r="I5952" s="1">
        <v>0</v>
      </c>
      <c r="J5952" s="1">
        <v>0</v>
      </c>
      <c r="K5952" s="2">
        <v>60.0</v>
      </c>
    </row>
    <row r="5953" spans="1:12">
      <c r="A5953" s="3" t="s">
        <v>6046</v>
      </c>
      <c r="B5953" s="3" t="s">
        <v>6076</v>
      </c>
      <c r="C5953" s="3"/>
      <c r="D5953" s="3"/>
      <c r="E5953" s="2" t="str">
        <f>HYPERLINK("https://old.ukr-mobil.com/antenna_vsenapravlennaya_900_mhz_860-930_mhz_100w_3-8_dbi_25_mm_60_sm_n-j_dlya_jamming_oborudovaniya_10005025", "Перейти")</f>
        <v>Перейти</v>
      </c>
      <c r="F5953" s="2">
        <v>10005025</v>
      </c>
      <c r="G5953" s="4" t="s">
        <v>6144</v>
      </c>
      <c r="H5953" s="1">
        <v>118</v>
      </c>
      <c r="I5953" s="1">
        <v>0</v>
      </c>
      <c r="J5953" s="1">
        <v>3</v>
      </c>
      <c r="K5953" s="2">
        <v>29.0</v>
      </c>
    </row>
    <row r="5954" spans="1:12">
      <c r="A5954" s="3" t="s">
        <v>6046</v>
      </c>
      <c r="B5954" s="3" t="s">
        <v>6076</v>
      </c>
      <c r="C5954" s="3"/>
      <c r="D5954" s="3"/>
      <c r="E5954" s="2" t="str">
        <f>HYPERLINK("https://old.ukr-mobil.com/index.php?route=product&amp;product_id=10005595", "Перейти")</f>
        <v>Перейти</v>
      </c>
      <c r="F5954" s="2">
        <v>10005595</v>
      </c>
      <c r="G5954" s="4" t="s">
        <v>6145</v>
      </c>
      <c r="H5954" s="1">
        <v>0</v>
      </c>
      <c r="I5954" s="1">
        <v>0</v>
      </c>
      <c r="J5954" s="1">
        <v>0</v>
      </c>
      <c r="K5954" s="2">
        <v>33.0</v>
      </c>
    </row>
    <row r="5955" spans="1:12">
      <c r="A5955" s="3" t="s">
        <v>6046</v>
      </c>
      <c r="B5955" s="3" t="s">
        <v>6076</v>
      </c>
      <c r="C5955" s="3"/>
      <c r="D5955" s="3"/>
      <c r="E5955" s="2" t="str">
        <f>HYPERLINK("https://old.ukr-mobil.com/antenna_vsenapravlennaya_900_mhz_860-930_mhz_100w_5-7_dbi_32_mm_60_sm_n-j_dlya_jamming_oborudovaniya_10005432", "Перейти")</f>
        <v>Перейти</v>
      </c>
      <c r="F5955" s="2">
        <v>10005432</v>
      </c>
      <c r="G5955" s="4" t="s">
        <v>6146</v>
      </c>
      <c r="H5955" s="1">
        <v>20</v>
      </c>
      <c r="I5955" s="1">
        <v>0</v>
      </c>
      <c r="J5955" s="1">
        <v>5</v>
      </c>
      <c r="K5955" s="2">
        <v>29.0</v>
      </c>
    </row>
    <row r="5956" spans="1:12">
      <c r="A5956" s="3" t="s">
        <v>6046</v>
      </c>
      <c r="B5956" s="3" t="s">
        <v>6076</v>
      </c>
      <c r="C5956" s="3"/>
      <c r="D5956" s="3"/>
      <c r="E5956" s="2" t="str">
        <f>HYPERLINK("https://old.ukr-mobil.com/index.php?route=product&amp;product_id=10005622", "Перейти")</f>
        <v>Перейти</v>
      </c>
      <c r="F5956" s="2">
        <v>10005622</v>
      </c>
      <c r="G5956" s="4" t="s">
        <v>6147</v>
      </c>
      <c r="H5956" s="1">
        <v>0</v>
      </c>
      <c r="I5956" s="1">
        <v>0</v>
      </c>
      <c r="J5956" s="1">
        <v>0</v>
      </c>
      <c r="K5956" s="2">
        <v>40.0</v>
      </c>
    </row>
    <row r="5957" spans="1:12">
      <c r="A5957" s="3" t="s">
        <v>6046</v>
      </c>
      <c r="B5957" s="3" t="s">
        <v>6076</v>
      </c>
      <c r="C5957" s="3"/>
      <c r="D5957" s="3"/>
      <c r="E5957" s="2" t="str">
        <f>HYPERLINK("https://old.ukr-mobil.com/antenna_vsenapravlennaya_900_mhz_860-930_mhz_50w_3-5_dbi_20_mm_60_sm_n-j_dlya_jamming_oborudovaniya_10005385", "Перейти")</f>
        <v>Перейти</v>
      </c>
      <c r="F5957" s="2">
        <v>10005385</v>
      </c>
      <c r="G5957" s="4" t="s">
        <v>6148</v>
      </c>
      <c r="H5957" s="1">
        <v>0</v>
      </c>
      <c r="I5957" s="1">
        <v>0</v>
      </c>
      <c r="J5957" s="1">
        <v>0</v>
      </c>
      <c r="K5957" s="2">
        <v>40.0</v>
      </c>
    </row>
    <row r="5958" spans="1:12">
      <c r="A5958" s="3" t="s">
        <v>6046</v>
      </c>
      <c r="B5958" s="3" t="s">
        <v>6076</v>
      </c>
      <c r="C5958" s="3"/>
      <c r="D5958" s="3"/>
      <c r="E5958" s="2" t="str">
        <f>HYPERLINK("https://old.ukr-mobil.com/antenna_vsenapravlennaya_900_mhz_860-930_mhz_50w_5-7_dbi_32_mm_60_sm_n-j_dlya_jamming_oborudovaniya_10005394", "Перейти")</f>
        <v>Перейти</v>
      </c>
      <c r="F5958" s="2">
        <v>10005394</v>
      </c>
      <c r="G5958" s="4" t="s">
        <v>6149</v>
      </c>
      <c r="H5958" s="1">
        <v>0</v>
      </c>
      <c r="I5958" s="1">
        <v>0</v>
      </c>
      <c r="J5958" s="1">
        <v>0</v>
      </c>
      <c r="K5958" s="2">
        <v>88.0</v>
      </c>
    </row>
    <row r="5959" spans="1:12">
      <c r="A5959" s="3" t="s">
        <v>6046</v>
      </c>
      <c r="B5959" s="3" t="s">
        <v>6076</v>
      </c>
      <c r="C5959" s="3"/>
      <c r="D5959" s="3"/>
      <c r="E5959" s="2" t="str">
        <f>HYPERLINK("https://old.ukr-mobil.com/index.php?route=product&amp;product_id=10005696", "Перейти")</f>
        <v>Перейти</v>
      </c>
      <c r="F5959" s="2">
        <v>10005696</v>
      </c>
      <c r="G5959" s="4" t="s">
        <v>6150</v>
      </c>
      <c r="H5959" s="1">
        <v>0</v>
      </c>
      <c r="I5959" s="1">
        <v>0</v>
      </c>
      <c r="J5959" s="1">
        <v>0</v>
      </c>
      <c r="K5959" s="2">
        <v>40.0</v>
      </c>
    </row>
    <row r="5960" spans="1:12">
      <c r="A5960" s="3" t="s">
        <v>6046</v>
      </c>
      <c r="B5960" s="3" t="s">
        <v>6076</v>
      </c>
      <c r="C5960" s="3"/>
      <c r="D5960" s="3"/>
      <c r="E5960" s="2" t="str">
        <f>HYPERLINK("https://old.ukr-mobil.com/index.php?route=product&amp;product_id=10005702", "Перейти")</f>
        <v>Перейти</v>
      </c>
      <c r="F5960" s="2">
        <v>10005702</v>
      </c>
      <c r="G5960" s="4" t="s">
        <v>6151</v>
      </c>
      <c r="H5960" s="1">
        <v>0</v>
      </c>
      <c r="I5960" s="1">
        <v>0</v>
      </c>
      <c r="J5960" s="1">
        <v>0</v>
      </c>
      <c r="K5960" s="2">
        <v>31.0</v>
      </c>
    </row>
    <row r="5961" spans="1:12">
      <c r="A5961" s="3" t="s">
        <v>6046</v>
      </c>
      <c r="B5961" s="3" t="s">
        <v>6076</v>
      </c>
      <c r="C5961" s="3"/>
      <c r="D5961" s="3"/>
      <c r="E5961" s="2" t="str">
        <f>HYPERLINK("https://old.ukr-mobil.com/antenna_vsenapravlennaya_900-1050_mhz_50w_3-5_dbi_20_mm_60_sm_n-j_dlya_jamming_oborudovaniya_10005557", "Перейти")</f>
        <v>Перейти</v>
      </c>
      <c r="F5961" s="2">
        <v>10005557</v>
      </c>
      <c r="G5961" s="4" t="s">
        <v>6152</v>
      </c>
      <c r="H5961" s="1">
        <v>0</v>
      </c>
      <c r="I5961" s="1">
        <v>0</v>
      </c>
      <c r="J5961" s="1">
        <v>0</v>
      </c>
      <c r="K5961" s="2">
        <v>58.0</v>
      </c>
    </row>
    <row r="5962" spans="1:12">
      <c r="A5962" s="3" t="s">
        <v>6046</v>
      </c>
      <c r="B5962" s="3" t="s">
        <v>6076</v>
      </c>
      <c r="C5962" s="3"/>
      <c r="D5962" s="3"/>
      <c r="E5962" s="2" t="str">
        <f>HYPERLINK("https://old.ukr-mobil.com/index.php?route=product&amp;product_id=10005698", "Перейти")</f>
        <v>Перейти</v>
      </c>
      <c r="F5962" s="2">
        <v>10005698</v>
      </c>
      <c r="G5962" s="4" t="s">
        <v>6153</v>
      </c>
      <c r="H5962" s="1">
        <v>0</v>
      </c>
      <c r="I5962" s="1">
        <v>0</v>
      </c>
      <c r="J5962" s="1">
        <v>0</v>
      </c>
      <c r="K5962" s="2">
        <v>40.0</v>
      </c>
    </row>
    <row r="5963" spans="1:12">
      <c r="A5963" s="3" t="s">
        <v>6046</v>
      </c>
      <c r="B5963" s="3" t="s">
        <v>6076</v>
      </c>
      <c r="C5963" s="3"/>
      <c r="D5963" s="3"/>
      <c r="E5963" s="2" t="str">
        <f>HYPERLINK("https://old.ukr-mobil.com/index.php?route=product&amp;product_id=10005602", "Перейти")</f>
        <v>Перейти</v>
      </c>
      <c r="F5963" s="2">
        <v>10005602</v>
      </c>
      <c r="G5963" s="4" t="s">
        <v>6154</v>
      </c>
      <c r="H5963" s="1">
        <v>0</v>
      </c>
      <c r="I5963" s="1">
        <v>0</v>
      </c>
      <c r="J5963" s="1">
        <v>0</v>
      </c>
      <c r="K5963" s="2">
        <v>40.0</v>
      </c>
    </row>
    <row r="5964" spans="1:12">
      <c r="A5964" s="3" t="s">
        <v>6046</v>
      </c>
      <c r="B5964" s="3" t="s">
        <v>6076</v>
      </c>
      <c r="C5964" s="3"/>
      <c r="D5964" s="3"/>
      <c r="E5964" s="2" t="str">
        <f>HYPERLINK("https://old.ukr-mobil.com/antenna_vsenapravlennaya_970-1100_mhz_100w_3-8_dbi_25_mm_60_sm_n-j_dlya_jamming_oborudovaniya_10005393", "Перейти")</f>
        <v>Перейти</v>
      </c>
      <c r="F5964" s="2">
        <v>10005393</v>
      </c>
      <c r="G5964" s="4" t="s">
        <v>6155</v>
      </c>
      <c r="H5964" s="1">
        <v>0</v>
      </c>
      <c r="I5964" s="1">
        <v>0</v>
      </c>
      <c r="J5964" s="1">
        <v>0</v>
      </c>
      <c r="K5964" s="2">
        <v>40.0</v>
      </c>
    </row>
    <row r="5965" spans="1:12">
      <c r="A5965" s="3" t="s">
        <v>6046</v>
      </c>
      <c r="B5965" s="3" t="s">
        <v>6076</v>
      </c>
      <c r="C5965" s="3"/>
      <c r="D5965" s="3"/>
      <c r="E5965" s="2" t="str">
        <f>HYPERLINK("https://old.ukr-mobil.com/index.php?route=product&amp;product_id=10005621", "Перейти")</f>
        <v>Перейти</v>
      </c>
      <c r="F5965" s="2">
        <v>10005621</v>
      </c>
      <c r="G5965" s="4" t="s">
        <v>6156</v>
      </c>
      <c r="H5965" s="1">
        <v>0</v>
      </c>
      <c r="I5965" s="1">
        <v>0</v>
      </c>
      <c r="J5965" s="1">
        <v>0</v>
      </c>
      <c r="K5965" s="2">
        <v>75.0</v>
      </c>
    </row>
    <row r="5966" spans="1:12">
      <c r="A5966" s="3" t="s">
        <v>6046</v>
      </c>
      <c r="B5966" s="3" t="s">
        <v>6076</v>
      </c>
      <c r="C5966" s="3"/>
      <c r="D5966" s="3"/>
      <c r="E5966" s="2" t="str">
        <f>HYPERLINK("https://old.ukr-mobil.com/index.php?route=product&amp;product_id=10005705", "Перейти")</f>
        <v>Перейти</v>
      </c>
      <c r="F5966" s="2">
        <v>10005705</v>
      </c>
      <c r="G5966" s="4" t="s">
        <v>6157</v>
      </c>
      <c r="H5966" s="1">
        <v>0</v>
      </c>
      <c r="I5966" s="1">
        <v>0</v>
      </c>
      <c r="J5966" s="1">
        <v>0</v>
      </c>
      <c r="K5966" s="2">
        <v>50.0</v>
      </c>
    </row>
    <row r="5967" spans="1:12">
      <c r="A5967" s="3" t="s">
        <v>6046</v>
      </c>
      <c r="B5967" s="3" t="s">
        <v>6076</v>
      </c>
      <c r="C5967" s="3" t="s">
        <v>6158</v>
      </c>
      <c r="D5967" s="3"/>
      <c r="E5967" s="2" t="str">
        <f>HYPERLINK("https://old.ukr-mobil.com/index.php?route=product&amp;product_id=10005839", "Перейти")</f>
        <v>Перейти</v>
      </c>
      <c r="F5967" s="2">
        <v>10005839</v>
      </c>
      <c r="G5967" s="4" t="s">
        <v>6159</v>
      </c>
      <c r="H5967" s="1">
        <v>2</v>
      </c>
      <c r="I5967" s="1">
        <v>1</v>
      </c>
      <c r="J5967" s="1">
        <v>2</v>
      </c>
      <c r="K5967" s="2">
        <v>45.0</v>
      </c>
    </row>
    <row r="5968" spans="1:12">
      <c r="A5968" s="3" t="s">
        <v>6046</v>
      </c>
      <c r="B5968" s="3" t="s">
        <v>6076</v>
      </c>
      <c r="C5968" s="3" t="s">
        <v>6158</v>
      </c>
      <c r="D5968" s="3"/>
      <c r="E5968" s="2" t="str">
        <f>HYPERLINK("https://old.ukr-mobil.com/index.php?route=product&amp;product_id=10005842", "Перейти")</f>
        <v>Перейти</v>
      </c>
      <c r="F5968" s="2">
        <v>10005842</v>
      </c>
      <c r="G5968" s="4" t="s">
        <v>6160</v>
      </c>
      <c r="H5968" s="1">
        <v>0</v>
      </c>
      <c r="I5968" s="1">
        <v>0</v>
      </c>
      <c r="J5968" s="1">
        <v>0</v>
      </c>
      <c r="K5968" s="2">
        <v>45.0</v>
      </c>
    </row>
    <row r="5969" spans="1:12">
      <c r="A5969" s="3" t="s">
        <v>6046</v>
      </c>
      <c r="B5969" s="3" t="s">
        <v>6076</v>
      </c>
      <c r="C5969" s="3" t="s">
        <v>6158</v>
      </c>
      <c r="D5969" s="3"/>
      <c r="E5969" s="2" t="str">
        <f>HYPERLINK("https://old.ukr-mobil.com/index.php?route=product&amp;product_id=10005920", "Перейти")</f>
        <v>Перейти</v>
      </c>
      <c r="F5969" s="2">
        <v>10005920</v>
      </c>
      <c r="G5969" s="4" t="s">
        <v>6161</v>
      </c>
      <c r="H5969" s="1">
        <v>39</v>
      </c>
      <c r="I5969" s="1">
        <v>3</v>
      </c>
      <c r="J5969" s="1">
        <v>4</v>
      </c>
      <c r="K5969" s="2">
        <v>35.0</v>
      </c>
    </row>
    <row r="5970" spans="1:12">
      <c r="A5970" s="3" t="s">
        <v>6046</v>
      </c>
      <c r="B5970" s="3" t="s">
        <v>6076</v>
      </c>
      <c r="C5970" s="3" t="s">
        <v>6158</v>
      </c>
      <c r="D5970" s="3"/>
      <c r="E5970" s="2" t="str">
        <f>HYPERLINK("https://old.ukr-mobil.com/index.php?route=product&amp;product_id=10005832", "Перейти")</f>
        <v>Перейти</v>
      </c>
      <c r="F5970" s="2">
        <v>10005832</v>
      </c>
      <c r="G5970" s="4" t="s">
        <v>6162</v>
      </c>
      <c r="H5970" s="1">
        <v>0</v>
      </c>
      <c r="I5970" s="1">
        <v>0</v>
      </c>
      <c r="J5970" s="1">
        <v>1</v>
      </c>
      <c r="K5970" s="2">
        <v>45.0</v>
      </c>
    </row>
    <row r="5971" spans="1:12">
      <c r="A5971" s="3" t="s">
        <v>6046</v>
      </c>
      <c r="B5971" s="3" t="s">
        <v>6076</v>
      </c>
      <c r="C5971" s="3" t="s">
        <v>6158</v>
      </c>
      <c r="D5971" s="3"/>
      <c r="E5971" s="2" t="str">
        <f>HYPERLINK("https://old.ukr-mobil.com/index.php?route=product&amp;product_id=10005923", "Перейти")</f>
        <v>Перейти</v>
      </c>
      <c r="F5971" s="2">
        <v>10005923</v>
      </c>
      <c r="G5971" s="4" t="s">
        <v>6163</v>
      </c>
      <c r="H5971" s="1">
        <v>29</v>
      </c>
      <c r="I5971" s="1">
        <v>6</v>
      </c>
      <c r="J5971" s="1">
        <v>5</v>
      </c>
      <c r="K5971" s="2">
        <v>35.0</v>
      </c>
    </row>
    <row r="5972" spans="1:12">
      <c r="A5972" s="3" t="s">
        <v>6046</v>
      </c>
      <c r="B5972" s="3" t="s">
        <v>6076</v>
      </c>
      <c r="C5972" s="3" t="s">
        <v>6158</v>
      </c>
      <c r="D5972" s="3"/>
      <c r="E5972" s="2" t="str">
        <f>HYPERLINK("https://old.ukr-mobil.com/index.php?route=product&amp;product_id=10005831", "Перейти")</f>
        <v>Перейти</v>
      </c>
      <c r="F5972" s="2">
        <v>10005831</v>
      </c>
      <c r="G5972" s="4" t="s">
        <v>6164</v>
      </c>
      <c r="H5972" s="1">
        <v>39</v>
      </c>
      <c r="I5972" s="1">
        <v>6</v>
      </c>
      <c r="J5972" s="1">
        <v>13</v>
      </c>
      <c r="K5972" s="2">
        <v>45.0</v>
      </c>
    </row>
    <row r="5973" spans="1:12">
      <c r="A5973" s="3" t="s">
        <v>6046</v>
      </c>
      <c r="B5973" s="3" t="s">
        <v>6076</v>
      </c>
      <c r="C5973" s="3" t="s">
        <v>6158</v>
      </c>
      <c r="D5973" s="3"/>
      <c r="E5973" s="2" t="str">
        <f>HYPERLINK("https://old.ukr-mobil.com/index.php?route=product&amp;product_id=10005837", "Перейти")</f>
        <v>Перейти</v>
      </c>
      <c r="F5973" s="2">
        <v>10005837</v>
      </c>
      <c r="G5973" s="4" t="s">
        <v>6165</v>
      </c>
      <c r="H5973" s="1">
        <v>1</v>
      </c>
      <c r="I5973" s="1">
        <v>1</v>
      </c>
      <c r="J5973" s="1">
        <v>1</v>
      </c>
      <c r="K5973" s="2">
        <v>35.0</v>
      </c>
    </row>
    <row r="5974" spans="1:12">
      <c r="A5974" s="3" t="s">
        <v>6046</v>
      </c>
      <c r="B5974" s="3" t="s">
        <v>6076</v>
      </c>
      <c r="C5974" s="3" t="s">
        <v>6158</v>
      </c>
      <c r="D5974" s="3"/>
      <c r="E5974" s="2" t="str">
        <f>HYPERLINK("https://old.ukr-mobil.com/index.php?route=product&amp;product_id=10005921", "Перейти")</f>
        <v>Перейти</v>
      </c>
      <c r="F5974" s="2">
        <v>10005921</v>
      </c>
      <c r="G5974" s="4" t="s">
        <v>6166</v>
      </c>
      <c r="H5974" s="1">
        <v>30</v>
      </c>
      <c r="I5974" s="1">
        <v>5</v>
      </c>
      <c r="J5974" s="1">
        <v>11</v>
      </c>
      <c r="K5974" s="2">
        <v>35.0</v>
      </c>
    </row>
    <row r="5975" spans="1:12">
      <c r="A5975" s="3" t="s">
        <v>6046</v>
      </c>
      <c r="B5975" s="3" t="s">
        <v>6076</v>
      </c>
      <c r="C5975" s="3" t="s">
        <v>6158</v>
      </c>
      <c r="D5975" s="3"/>
      <c r="E5975" s="2" t="str">
        <f>HYPERLINK("https://old.ukr-mobil.com/index.php?route=product&amp;product_id=10005859", "Перейти")</f>
        <v>Перейти</v>
      </c>
      <c r="F5975" s="2">
        <v>10005859</v>
      </c>
      <c r="G5975" s="4" t="s">
        <v>6167</v>
      </c>
      <c r="H5975" s="1">
        <v>31</v>
      </c>
      <c r="I5975" s="1">
        <v>3</v>
      </c>
      <c r="J5975" s="1">
        <v>6</v>
      </c>
      <c r="K5975" s="2">
        <v>35.0</v>
      </c>
    </row>
    <row r="5976" spans="1:12">
      <c r="A5976" s="3" t="s">
        <v>6046</v>
      </c>
      <c r="B5976" s="3" t="s">
        <v>6076</v>
      </c>
      <c r="C5976" s="3" t="s">
        <v>6158</v>
      </c>
      <c r="D5976" s="3"/>
      <c r="E5976" s="2" t="str">
        <f>HYPERLINK("https://old.ukr-mobil.com/index.php?route=product&amp;product_id=10005840", "Перейти")</f>
        <v>Перейти</v>
      </c>
      <c r="F5976" s="2">
        <v>10005840</v>
      </c>
      <c r="G5976" s="4" t="s">
        <v>6168</v>
      </c>
      <c r="H5976" s="1">
        <v>2</v>
      </c>
      <c r="I5976" s="1">
        <v>2</v>
      </c>
      <c r="J5976" s="1">
        <v>0</v>
      </c>
      <c r="K5976" s="2">
        <v>45.0</v>
      </c>
    </row>
    <row r="5977" spans="1:12">
      <c r="A5977" s="3" t="s">
        <v>6046</v>
      </c>
      <c r="B5977" s="3" t="s">
        <v>6076</v>
      </c>
      <c r="C5977" s="3" t="s">
        <v>6158</v>
      </c>
      <c r="D5977" s="3"/>
      <c r="E5977" s="2" t="str">
        <f>HYPERLINK("https://old.ukr-mobil.com/index.php?route=product&amp;product_id=10005922", "Перейти")</f>
        <v>Перейти</v>
      </c>
      <c r="F5977" s="2">
        <v>10005922</v>
      </c>
      <c r="G5977" s="4" t="s">
        <v>6169</v>
      </c>
      <c r="H5977" s="1">
        <v>27</v>
      </c>
      <c r="I5977" s="1">
        <v>4</v>
      </c>
      <c r="J5977" s="1">
        <v>17</v>
      </c>
      <c r="K5977" s="2">
        <v>35.0</v>
      </c>
    </row>
    <row r="5978" spans="1:12">
      <c r="A5978" s="3" t="s">
        <v>6046</v>
      </c>
      <c r="B5978" s="3" t="s">
        <v>6076</v>
      </c>
      <c r="C5978" s="3" t="s">
        <v>6158</v>
      </c>
      <c r="D5978" s="3"/>
      <c r="E5978" s="2" t="str">
        <f>HYPERLINK("https://old.ukr-mobil.com/index.php?route=product&amp;product_id=10005836", "Перейти")</f>
        <v>Перейти</v>
      </c>
      <c r="F5978" s="2">
        <v>10005836</v>
      </c>
      <c r="G5978" s="4" t="s">
        <v>6170</v>
      </c>
      <c r="H5978" s="1">
        <v>0</v>
      </c>
      <c r="I5978" s="1">
        <v>0</v>
      </c>
      <c r="J5978" s="1">
        <v>0</v>
      </c>
      <c r="K5978" s="2">
        <v>45.0</v>
      </c>
    </row>
    <row r="5979" spans="1:12">
      <c r="A5979" s="3" t="s">
        <v>6046</v>
      </c>
      <c r="B5979" s="3" t="s">
        <v>6076</v>
      </c>
      <c r="C5979" s="3" t="s">
        <v>6158</v>
      </c>
      <c r="D5979" s="3"/>
      <c r="E5979" s="2" t="str">
        <f>HYPERLINK("https://old.ukr-mobil.com/index.php?route=product&amp;product_id=10005838", "Перейти")</f>
        <v>Перейти</v>
      </c>
      <c r="F5979" s="2">
        <v>10005838</v>
      </c>
      <c r="G5979" s="4" t="s">
        <v>6171</v>
      </c>
      <c r="H5979" s="1">
        <v>0</v>
      </c>
      <c r="I5979" s="1">
        <v>0</v>
      </c>
      <c r="J5979" s="1">
        <v>0</v>
      </c>
      <c r="K5979" s="2">
        <v>74.0</v>
      </c>
    </row>
    <row r="5980" spans="1:12">
      <c r="A5980" s="3" t="s">
        <v>6046</v>
      </c>
      <c r="B5980" s="3" t="s">
        <v>6076</v>
      </c>
      <c r="C5980" s="3" t="s">
        <v>6158</v>
      </c>
      <c r="D5980" s="3"/>
      <c r="E5980" s="2" t="str">
        <f>HYPERLINK("https://old.ukr-mobil.com/index.php?route=product&amp;product_id=10005841", "Перейти")</f>
        <v>Перейти</v>
      </c>
      <c r="F5980" s="2">
        <v>10005841</v>
      </c>
      <c r="G5980" s="4" t="s">
        <v>6172</v>
      </c>
      <c r="H5980" s="1">
        <v>0</v>
      </c>
      <c r="I5980" s="1">
        <v>0</v>
      </c>
      <c r="J5980" s="1">
        <v>0</v>
      </c>
      <c r="K5980" s="2">
        <v>55.0</v>
      </c>
    </row>
    <row r="5981" spans="1:12">
      <c r="A5981" s="3" t="s">
        <v>6046</v>
      </c>
      <c r="B5981" s="3" t="s">
        <v>6173</v>
      </c>
      <c r="C5981" s="3"/>
      <c r="D5981" s="3"/>
      <c r="E5981" s="2" t="str">
        <f>HYPERLINK("https://old.ukr-mobil.com/index.php?route=product&amp;product_id=10005808", "Перейти")</f>
        <v>Перейти</v>
      </c>
      <c r="F5981" s="2">
        <v>10005808</v>
      </c>
      <c r="G5981" s="4" t="s">
        <v>6174</v>
      </c>
      <c r="H5981" s="1">
        <v>10</v>
      </c>
      <c r="I5981" s="1">
        <v>0</v>
      </c>
      <c r="J5981" s="1">
        <v>0</v>
      </c>
      <c r="K5981" s="2">
        <v>320.0</v>
      </c>
    </row>
    <row r="5982" spans="1:12">
      <c r="A5982" s="3" t="s">
        <v>6046</v>
      </c>
      <c r="B5982" s="3" t="s">
        <v>6175</v>
      </c>
      <c r="C5982" s="3"/>
      <c r="D5982" s="3"/>
      <c r="E5982" s="2" t="str">
        <f>HYPERLINK("https://old.ukr-mobil.com/index.php?route=product&amp;product_id=10005799", "Перейти")</f>
        <v>Перейти</v>
      </c>
      <c r="F5982" s="2">
        <v>10005799</v>
      </c>
      <c r="G5982" s="4" t="s">
        <v>6176</v>
      </c>
      <c r="H5982" s="1">
        <v>39</v>
      </c>
      <c r="I5982" s="1">
        <v>10</v>
      </c>
      <c r="J5982" s="1">
        <v>0</v>
      </c>
      <c r="K5982" s="2">
        <v>1.75</v>
      </c>
    </row>
    <row r="5983" spans="1:12">
      <c r="A5983" s="3" t="s">
        <v>6046</v>
      </c>
      <c r="B5983" s="3" t="s">
        <v>6175</v>
      </c>
      <c r="C5983" s="3"/>
      <c r="D5983" s="3"/>
      <c r="E5983" s="2" t="str">
        <f>HYPERLINK("https://old.ukr-mobil.com/index.php?route=product&amp;product_id=10005796", "Перейти")</f>
        <v>Перейти</v>
      </c>
      <c r="F5983" s="2">
        <v>10005796</v>
      </c>
      <c r="G5983" s="4" t="s">
        <v>6177</v>
      </c>
      <c r="H5983" s="1">
        <v>0</v>
      </c>
      <c r="I5983" s="1">
        <v>0</v>
      </c>
      <c r="J5983" s="1">
        <v>9</v>
      </c>
      <c r="K5983" s="2">
        <v>3.85</v>
      </c>
    </row>
    <row r="5984" spans="1:12">
      <c r="A5984" s="3" t="s">
        <v>6046</v>
      </c>
      <c r="B5984" s="3" t="s">
        <v>6175</v>
      </c>
      <c r="C5984" s="3"/>
      <c r="D5984" s="3"/>
      <c r="E5984" s="2" t="str">
        <f>HYPERLINK("https://old.ukr-mobil.com/index.php?route=product&amp;product_id=10005797", "Перейти")</f>
        <v>Перейти</v>
      </c>
      <c r="F5984" s="2">
        <v>10005797</v>
      </c>
      <c r="G5984" s="4" t="s">
        <v>6178</v>
      </c>
      <c r="H5984" s="1">
        <v>6</v>
      </c>
      <c r="I5984" s="1">
        <v>10</v>
      </c>
      <c r="J5984" s="1">
        <v>0</v>
      </c>
      <c r="K5984" s="2">
        <v>4.5</v>
      </c>
    </row>
    <row r="5985" spans="1:12">
      <c r="A5985" s="3" t="s">
        <v>6046</v>
      </c>
      <c r="B5985" s="3" t="s">
        <v>6175</v>
      </c>
      <c r="C5985" s="3"/>
      <c r="D5985" s="3"/>
      <c r="E5985" s="2" t="str">
        <f>HYPERLINK("https://old.ukr-mobil.com/index.php?route=product&amp;product_id=10005959", "Перейти")</f>
        <v>Перейти</v>
      </c>
      <c r="F5985" s="2">
        <v>10005959</v>
      </c>
      <c r="G5985" s="4" t="s">
        <v>6179</v>
      </c>
      <c r="H5985" s="1">
        <v>0</v>
      </c>
      <c r="I5985" s="1">
        <v>157</v>
      </c>
      <c r="J5985" s="1">
        <v>0</v>
      </c>
      <c r="K5985" s="2">
        <v>3.85</v>
      </c>
    </row>
    <row r="5986" spans="1:12">
      <c r="A5986" s="3" t="s">
        <v>6046</v>
      </c>
      <c r="B5986" s="3" t="s">
        <v>6175</v>
      </c>
      <c r="C5986" s="3"/>
      <c r="D5986" s="3"/>
      <c r="E5986" s="2" t="str">
        <f>HYPERLINK("https://old.ukr-mobil.com/index.php?route=product&amp;product_id=10005798", "Перейти")</f>
        <v>Перейти</v>
      </c>
      <c r="F5986" s="2">
        <v>10005798</v>
      </c>
      <c r="G5986" s="4" t="s">
        <v>6180</v>
      </c>
      <c r="H5986" s="1">
        <v>0</v>
      </c>
      <c r="I5986" s="1">
        <v>0</v>
      </c>
      <c r="J5986" s="1">
        <v>0</v>
      </c>
      <c r="K5986" s="2">
        <v>1.85</v>
      </c>
    </row>
    <row r="5987" spans="1:12">
      <c r="A5987" s="3" t="s">
        <v>6046</v>
      </c>
      <c r="B5987" s="3" t="s">
        <v>6175</v>
      </c>
      <c r="C5987" s="3"/>
      <c r="D5987" s="3"/>
      <c r="E5987" s="2" t="str">
        <f>HYPERLINK("https://old.ukr-mobil.com/index.php?route=product&amp;product_id=10005800", "Перейти")</f>
        <v>Перейти</v>
      </c>
      <c r="F5987" s="2">
        <v>10005800</v>
      </c>
      <c r="G5987" s="4" t="s">
        <v>6181</v>
      </c>
      <c r="H5987" s="1">
        <v>0</v>
      </c>
      <c r="I5987" s="1">
        <v>0</v>
      </c>
      <c r="J5987" s="1">
        <v>0</v>
      </c>
      <c r="K5987" s="2">
        <v>2.65</v>
      </c>
    </row>
    <row r="5988" spans="1:12">
      <c r="A5988" s="3" t="s">
        <v>6046</v>
      </c>
      <c r="B5988" s="3" t="s">
        <v>6175</v>
      </c>
      <c r="C5988" s="3"/>
      <c r="D5988" s="3"/>
      <c r="E5988" s="2" t="str">
        <f>HYPERLINK("https://old.ukr-mobil.com/index.php?route=product&amp;product_id=10005795", "Перейти")</f>
        <v>Перейти</v>
      </c>
      <c r="F5988" s="2">
        <v>10005795</v>
      </c>
      <c r="G5988" s="4" t="s">
        <v>6182</v>
      </c>
      <c r="H5988" s="1">
        <v>0</v>
      </c>
      <c r="I5988" s="1">
        <v>0</v>
      </c>
      <c r="J5988" s="1">
        <v>0</v>
      </c>
      <c r="K5988" s="2">
        <v>1.75</v>
      </c>
    </row>
    <row r="5989" spans="1:12">
      <c r="A5989" s="3" t="s">
        <v>6046</v>
      </c>
      <c r="B5989" s="3" t="s">
        <v>6175</v>
      </c>
      <c r="C5989" s="3"/>
      <c r="D5989" s="3"/>
      <c r="E5989" s="2" t="str">
        <f>HYPERLINK("https://old.ukr-mobil.com/index.php?route=product&amp;product_id=10005791", "Перейти")</f>
        <v>Перейти</v>
      </c>
      <c r="F5989" s="2">
        <v>10005791</v>
      </c>
      <c r="G5989" s="4" t="s">
        <v>6183</v>
      </c>
      <c r="H5989" s="1">
        <v>7</v>
      </c>
      <c r="I5989" s="1">
        <v>8</v>
      </c>
      <c r="J5989" s="1">
        <v>18</v>
      </c>
      <c r="K5989" s="2">
        <v>1.5</v>
      </c>
    </row>
    <row r="5990" spans="1:12">
      <c r="A5990" s="3" t="s">
        <v>6046</v>
      </c>
      <c r="B5990" s="3" t="s">
        <v>6175</v>
      </c>
      <c r="C5990" s="3"/>
      <c r="D5990" s="3"/>
      <c r="E5990" s="2" t="str">
        <f>HYPERLINK("https://old.ukr-mobil.com/index.php?route=product&amp;product_id=10005790", "Перейти")</f>
        <v>Перейти</v>
      </c>
      <c r="F5990" s="2">
        <v>10005790</v>
      </c>
      <c r="G5990" s="4" t="s">
        <v>6184</v>
      </c>
      <c r="H5990" s="1">
        <v>0</v>
      </c>
      <c r="I5990" s="1">
        <v>0</v>
      </c>
      <c r="J5990" s="1">
        <v>0</v>
      </c>
      <c r="K5990" s="2">
        <v>1.5</v>
      </c>
    </row>
    <row r="5991" spans="1:12">
      <c r="A5991" s="3" t="s">
        <v>6046</v>
      </c>
      <c r="B5991" s="3" t="s">
        <v>6175</v>
      </c>
      <c r="C5991" s="3"/>
      <c r="D5991" s="3"/>
      <c r="E5991" s="2" t="str">
        <f>HYPERLINK("https://old.ukr-mobil.com/index.php?route=product&amp;product_id=10005794", "Перейти")</f>
        <v>Перейти</v>
      </c>
      <c r="F5991" s="2">
        <v>10005794</v>
      </c>
      <c r="G5991" s="4" t="s">
        <v>6185</v>
      </c>
      <c r="H5991" s="1">
        <v>17</v>
      </c>
      <c r="I5991" s="1">
        <v>10</v>
      </c>
      <c r="J5991" s="1">
        <v>9</v>
      </c>
      <c r="K5991" s="2">
        <v>1.75</v>
      </c>
    </row>
    <row r="5992" spans="1:12">
      <c r="A5992" s="3" t="s">
        <v>6046</v>
      </c>
      <c r="B5992" s="3" t="s">
        <v>6175</v>
      </c>
      <c r="C5992" s="3"/>
      <c r="D5992" s="3"/>
      <c r="E5992" s="2" t="str">
        <f>HYPERLINK("https://old.ukr-mobil.com/index.php?route=product&amp;product_id=10005792", "Перейти")</f>
        <v>Перейти</v>
      </c>
      <c r="F5992" s="2">
        <v>10005792</v>
      </c>
      <c r="G5992" s="4" t="s">
        <v>6186</v>
      </c>
      <c r="H5992" s="1">
        <v>0</v>
      </c>
      <c r="I5992" s="1">
        <v>0</v>
      </c>
      <c r="J5992" s="1">
        <v>0</v>
      </c>
      <c r="K5992" s="2">
        <v>1.0</v>
      </c>
    </row>
    <row r="5993" spans="1:12">
      <c r="A5993" s="3" t="s">
        <v>6046</v>
      </c>
      <c r="B5993" s="3" t="s">
        <v>6175</v>
      </c>
      <c r="C5993" s="3"/>
      <c r="D5993" s="3"/>
      <c r="E5993" s="2" t="str">
        <f>HYPERLINK("https://old.ukr-mobil.com/index.php?route=product&amp;product_id=10005793", "Перейти")</f>
        <v>Перейти</v>
      </c>
      <c r="F5993" s="2">
        <v>10005793</v>
      </c>
      <c r="G5993" s="4" t="s">
        <v>6187</v>
      </c>
      <c r="H5993" s="1">
        <v>0</v>
      </c>
      <c r="I5993" s="1">
        <v>0</v>
      </c>
      <c r="J5993" s="1">
        <v>0</v>
      </c>
      <c r="K5993" s="2">
        <v>1.75</v>
      </c>
    </row>
    <row r="5994" spans="1:12">
      <c r="A5994" s="3" t="s">
        <v>6046</v>
      </c>
      <c r="B5994" s="3" t="s">
        <v>6188</v>
      </c>
      <c r="C5994" s="3"/>
      <c r="D5994" s="3"/>
      <c r="E5994" s="2" t="str">
        <f>HYPERLINK("https://old.ukr-mobil.com/index.php?route=product&amp;product_id=10004992", "Перейти")</f>
        <v>Перейти</v>
      </c>
      <c r="F5994" s="2">
        <v>10004992</v>
      </c>
      <c r="G5994" s="4" t="s">
        <v>6189</v>
      </c>
      <c r="H5994" s="1">
        <v>0</v>
      </c>
      <c r="I5994" s="1">
        <v>0</v>
      </c>
      <c r="J5994" s="1">
        <v>0</v>
      </c>
      <c r="K5994" s="2">
        <v>34.0</v>
      </c>
    </row>
    <row r="5995" spans="1:12">
      <c r="A5995" s="3" t="s">
        <v>6046</v>
      </c>
      <c r="B5995" s="3" t="s">
        <v>6188</v>
      </c>
      <c r="C5995" s="3"/>
      <c r="D5995" s="3"/>
      <c r="E5995" s="2" t="str">
        <f>HYPERLINK("https://old.ukr-mobil.com/index.php?route=product&amp;product_id=10004990", "Перейти")</f>
        <v>Перейти</v>
      </c>
      <c r="F5995" s="2">
        <v>10004990</v>
      </c>
      <c r="G5995" s="4" t="s">
        <v>6190</v>
      </c>
      <c r="H5995" s="1">
        <v>17</v>
      </c>
      <c r="I5995" s="1">
        <v>0</v>
      </c>
      <c r="J5995" s="1">
        <v>0</v>
      </c>
      <c r="K5995" s="2">
        <v>38.0</v>
      </c>
    </row>
    <row r="5996" spans="1:12">
      <c r="A5996" s="3" t="s">
        <v>6046</v>
      </c>
      <c r="B5996" s="3" t="s">
        <v>6188</v>
      </c>
      <c r="C5996" s="3"/>
      <c r="D5996" s="3"/>
      <c r="E5996" s="2" t="str">
        <f>HYPERLINK("https://old.ukr-mobil.com/index.php?route=product&amp;product_id=10004993", "Перейти")</f>
        <v>Перейти</v>
      </c>
      <c r="F5996" s="2">
        <v>10004993</v>
      </c>
      <c r="G5996" s="4" t="s">
        <v>6191</v>
      </c>
      <c r="H5996" s="1">
        <v>0</v>
      </c>
      <c r="I5996" s="1">
        <v>0</v>
      </c>
      <c r="J5996" s="1">
        <v>0</v>
      </c>
      <c r="K5996" s="2">
        <v>68.0</v>
      </c>
    </row>
    <row r="5997" spans="1:12">
      <c r="A5997" s="3" t="s">
        <v>6046</v>
      </c>
      <c r="B5997" s="3" t="s">
        <v>6188</v>
      </c>
      <c r="C5997" s="3"/>
      <c r="D5997" s="3"/>
      <c r="E5997" s="2" t="str">
        <f>HYPERLINK("https://old.ukr-mobil.com/index.php?route=product&amp;product_id=10005526", "Перейти")</f>
        <v>Перейти</v>
      </c>
      <c r="F5997" s="2">
        <v>10005526</v>
      </c>
      <c r="G5997" s="4" t="s">
        <v>6192</v>
      </c>
      <c r="H5997" s="1">
        <v>192</v>
      </c>
      <c r="I5997" s="1">
        <v>0</v>
      </c>
      <c r="J5997" s="1">
        <v>0</v>
      </c>
      <c r="K5997" s="2">
        <v>125.0</v>
      </c>
    </row>
    <row r="5998" spans="1:12">
      <c r="A5998" s="3" t="s">
        <v>6046</v>
      </c>
      <c r="B5998" s="3" t="s">
        <v>6188</v>
      </c>
      <c r="C5998" s="3"/>
      <c r="D5998" s="3"/>
      <c r="E5998" s="2" t="str">
        <f>HYPERLINK("https://old.ukr-mobil.com/index.php?route=product&amp;product_id=10004991", "Перейти")</f>
        <v>Перейти</v>
      </c>
      <c r="F5998" s="2">
        <v>10004991</v>
      </c>
      <c r="G5998" s="4" t="s">
        <v>6193</v>
      </c>
      <c r="H5998" s="1">
        <v>153</v>
      </c>
      <c r="I5998" s="1">
        <v>0</v>
      </c>
      <c r="J5998" s="1">
        <v>0</v>
      </c>
      <c r="K5998" s="2">
        <v>72.0</v>
      </c>
    </row>
    <row r="5999" spans="1:12">
      <c r="A5999" s="3" t="s">
        <v>6046</v>
      </c>
      <c r="B5999" s="3" t="s">
        <v>6188</v>
      </c>
      <c r="C5999" s="3"/>
      <c r="D5999" s="3"/>
      <c r="E5999" s="2" t="str">
        <f>HYPERLINK("https://old.ukr-mobil.com/index.php?route=product&amp;product_id=10005552", "Перейти")</f>
        <v>Перейти</v>
      </c>
      <c r="F5999" s="2">
        <v>10005552</v>
      </c>
      <c r="G5999" s="4" t="s">
        <v>6194</v>
      </c>
      <c r="H5999" s="1">
        <v>0</v>
      </c>
      <c r="I5999" s="1">
        <v>0</v>
      </c>
      <c r="J5999" s="1">
        <v>0</v>
      </c>
      <c r="K5999" s="2">
        <v>190.0</v>
      </c>
    </row>
    <row r="6000" spans="1:12">
      <c r="A6000" s="3" t="s">
        <v>6046</v>
      </c>
      <c r="B6000" s="3" t="s">
        <v>6195</v>
      </c>
      <c r="C6000" s="3"/>
      <c r="D6000" s="3"/>
      <c r="E6000" s="2" t="str">
        <f>HYPERLINK("https://old.ukr-mobil.com/modul_pomekh_jammer_1_2_ghz_1170-1280_mhz_gan_40w_45-46_dbi_sma_10005516", "Перейти")</f>
        <v>Перейти</v>
      </c>
      <c r="F6000" s="2">
        <v>10005516</v>
      </c>
      <c r="G6000" s="4" t="s">
        <v>6196</v>
      </c>
      <c r="H6000" s="1">
        <v>0</v>
      </c>
      <c r="I6000" s="1">
        <v>0</v>
      </c>
      <c r="J6000" s="1">
        <v>0</v>
      </c>
      <c r="K6000" s="2">
        <v>200.0</v>
      </c>
    </row>
    <row r="6001" spans="1:12">
      <c r="A6001" s="3" t="s">
        <v>6046</v>
      </c>
      <c r="B6001" s="3" t="s">
        <v>6195</v>
      </c>
      <c r="C6001" s="3"/>
      <c r="D6001" s="3"/>
      <c r="E6001" s="2" t="str">
        <f>HYPERLINK("https://old.ukr-mobil.com/modul_pomekh_jammer_1_2_ghz_1170-1280_mhz_gan_50w_sma_10005088", "Перейти")</f>
        <v>Перейти</v>
      </c>
      <c r="F6001" s="2">
        <v>10005088</v>
      </c>
      <c r="G6001" s="4" t="s">
        <v>6197</v>
      </c>
      <c r="H6001" s="1">
        <v>41</v>
      </c>
      <c r="I6001" s="1">
        <v>12</v>
      </c>
      <c r="J6001" s="1">
        <v>4</v>
      </c>
      <c r="K6001" s="2">
        <v>150.0</v>
      </c>
    </row>
    <row r="6002" spans="1:12">
      <c r="A6002" s="3" t="s">
        <v>6046</v>
      </c>
      <c r="B6002" s="3" t="s">
        <v>6195</v>
      </c>
      <c r="C6002" s="3"/>
      <c r="D6002" s="3"/>
      <c r="E6002" s="2" t="str">
        <f>HYPERLINK("https://old.ukr-mobil.com/modul_pomekh_jammer_1_2_ghz_gan_30w_sma_10004999", "Перейти")</f>
        <v>Перейти</v>
      </c>
      <c r="F6002" s="2">
        <v>10004999</v>
      </c>
      <c r="G6002" s="4" t="s">
        <v>6198</v>
      </c>
      <c r="H6002" s="1">
        <v>1</v>
      </c>
      <c r="I6002" s="1">
        <v>0</v>
      </c>
      <c r="J6002" s="1">
        <v>0</v>
      </c>
      <c r="K6002" s="2">
        <v>110.0</v>
      </c>
    </row>
    <row r="6003" spans="1:12">
      <c r="A6003" s="3" t="s">
        <v>6046</v>
      </c>
      <c r="B6003" s="3" t="s">
        <v>6195</v>
      </c>
      <c r="C6003" s="3"/>
      <c r="D6003" s="3"/>
      <c r="E6003" s="2" t="str">
        <f>HYPERLINK("https://old.ukr-mobil.com/modul_pomekh_jammer_1_2_ghz_1170-1280_mhz_gan_100w_n-j_10005327", "Перейти")</f>
        <v>Перейти</v>
      </c>
      <c r="F6003" s="2">
        <v>10005327</v>
      </c>
      <c r="G6003" s="4" t="s">
        <v>6199</v>
      </c>
      <c r="H6003" s="1">
        <v>4</v>
      </c>
      <c r="I6003" s="1">
        <v>2</v>
      </c>
      <c r="J6003" s="1">
        <v>0</v>
      </c>
      <c r="K6003" s="2">
        <v>420.0</v>
      </c>
    </row>
    <row r="6004" spans="1:12">
      <c r="A6004" s="3" t="s">
        <v>6046</v>
      </c>
      <c r="B6004" s="3" t="s">
        <v>6195</v>
      </c>
      <c r="C6004" s="3"/>
      <c r="D6004" s="3"/>
      <c r="E6004" s="2" t="str">
        <f>HYPERLINK("https://old.ukr-mobil.com/modul_pomekh_jammer_1_5_ghz_1550-1620_mhz_gan_100w_n-j_10005329", "Перейти")</f>
        <v>Перейти</v>
      </c>
      <c r="F6004" s="2">
        <v>10005329</v>
      </c>
      <c r="G6004" s="4" t="s">
        <v>6200</v>
      </c>
      <c r="H6004" s="1">
        <v>0</v>
      </c>
      <c r="I6004" s="1">
        <v>0</v>
      </c>
      <c r="J6004" s="1">
        <v>0</v>
      </c>
      <c r="K6004" s="2">
        <v>420.0</v>
      </c>
    </row>
    <row r="6005" spans="1:12">
      <c r="A6005" s="3" t="s">
        <v>6046</v>
      </c>
      <c r="B6005" s="3" t="s">
        <v>6195</v>
      </c>
      <c r="C6005" s="3"/>
      <c r="D6005" s="3"/>
      <c r="E6005" s="2" t="str">
        <f>HYPERLINK("https://old.ukr-mobil.com/modul_pomekh_jammer_1_5_ghz_1550-1620_mhz_gan_40w_45-46_dbi_sma_10005456", "Перейти")</f>
        <v>Перейти</v>
      </c>
      <c r="F6005" s="2">
        <v>10005456</v>
      </c>
      <c r="G6005" s="4" t="s">
        <v>6201</v>
      </c>
      <c r="H6005" s="1">
        <v>0</v>
      </c>
      <c r="I6005" s="1">
        <v>0</v>
      </c>
      <c r="J6005" s="1">
        <v>0</v>
      </c>
      <c r="K6005" s="2">
        <v>240.0</v>
      </c>
    </row>
    <row r="6006" spans="1:12">
      <c r="A6006" s="3" t="s">
        <v>6046</v>
      </c>
      <c r="B6006" s="3" t="s">
        <v>6195</v>
      </c>
      <c r="C6006" s="3"/>
      <c r="D6006" s="3"/>
      <c r="E6006" s="2" t="str">
        <f>HYPERLINK("https://old.ukr-mobil.com/modul_pomekh_jammer_1_5_ghz_1550-1620_mhz_gan_50w_sma_10005091", "Перейти")</f>
        <v>Перейти</v>
      </c>
      <c r="F6006" s="2">
        <v>10005091</v>
      </c>
      <c r="G6006" s="4" t="s">
        <v>6202</v>
      </c>
      <c r="H6006" s="1">
        <v>0</v>
      </c>
      <c r="I6006" s="1">
        <v>2</v>
      </c>
      <c r="J6006" s="1">
        <v>3</v>
      </c>
      <c r="K6006" s="2">
        <v>245.0</v>
      </c>
    </row>
    <row r="6007" spans="1:12">
      <c r="A6007" s="3" t="s">
        <v>6046</v>
      </c>
      <c r="B6007" s="3" t="s">
        <v>6195</v>
      </c>
      <c r="C6007" s="3"/>
      <c r="D6007" s="3"/>
      <c r="E6007" s="2" t="str">
        <f>HYPERLINK("https://old.ukr-mobil.com/index.php?route=product&amp;product_id=10006246", "Перейти")</f>
        <v>Перейти</v>
      </c>
      <c r="F6007" s="2">
        <v>10006246</v>
      </c>
      <c r="G6007" s="4" t="s">
        <v>6203</v>
      </c>
      <c r="H6007" s="1">
        <v>40</v>
      </c>
      <c r="I6007" s="1">
        <v>0</v>
      </c>
      <c r="J6007" s="1">
        <v>0</v>
      </c>
      <c r="K6007" s="2">
        <v>180.0</v>
      </c>
    </row>
    <row r="6008" spans="1:12">
      <c r="A6008" s="3" t="s">
        <v>6046</v>
      </c>
      <c r="B6008" s="3" t="s">
        <v>6195</v>
      </c>
      <c r="C6008" s="3"/>
      <c r="D6008" s="3"/>
      <c r="E6008" s="2" t="str">
        <f>HYPERLINK("https://old.ukr-mobil.com/index.php?route=product&amp;product_id=10005780", "Перейти")</f>
        <v>Перейти</v>
      </c>
      <c r="F6008" s="2">
        <v>10005780</v>
      </c>
      <c r="G6008" s="4" t="s">
        <v>6204</v>
      </c>
      <c r="H6008" s="1">
        <v>0</v>
      </c>
      <c r="I6008" s="1">
        <v>0</v>
      </c>
      <c r="J6008" s="1">
        <v>0</v>
      </c>
      <c r="K6008" s="2">
        <v>535.0</v>
      </c>
    </row>
    <row r="6009" spans="1:12">
      <c r="A6009" s="3" t="s">
        <v>6046</v>
      </c>
      <c r="B6009" s="3" t="s">
        <v>6195</v>
      </c>
      <c r="C6009" s="3"/>
      <c r="D6009" s="3"/>
      <c r="E6009" s="2" t="str">
        <f>HYPERLINK("https://old.ukr-mobil.com/index.php?route=product&amp;product_id=10005728", "Перейти")</f>
        <v>Перейти</v>
      </c>
      <c r="F6009" s="2">
        <v>10005728</v>
      </c>
      <c r="G6009" s="4" t="s">
        <v>6205</v>
      </c>
      <c r="H6009" s="1">
        <v>42</v>
      </c>
      <c r="I6009" s="1">
        <v>15</v>
      </c>
      <c r="J6009" s="1">
        <v>14</v>
      </c>
      <c r="K6009" s="2">
        <v>150.0</v>
      </c>
    </row>
    <row r="6010" spans="1:12">
      <c r="A6010" s="3" t="s">
        <v>6046</v>
      </c>
      <c r="B6010" s="3" t="s">
        <v>6195</v>
      </c>
      <c r="C6010" s="3"/>
      <c r="D6010" s="3"/>
      <c r="E6010" s="2" t="str">
        <f>HYPERLINK("https://old.ukr-mobil.com/modul_pomekh_jammer_2_4_ghz_2400-2500_mhz_gan_100w_n-j_10005330", "Перейти")</f>
        <v>Перейти</v>
      </c>
      <c r="F6010" s="2">
        <v>10005330</v>
      </c>
      <c r="G6010" s="4" t="s">
        <v>6206</v>
      </c>
      <c r="H6010" s="1">
        <v>34</v>
      </c>
      <c r="I6010" s="1">
        <v>0</v>
      </c>
      <c r="J6010" s="1">
        <v>0</v>
      </c>
      <c r="K6010" s="2">
        <v>420.0</v>
      </c>
    </row>
    <row r="6011" spans="1:12">
      <c r="A6011" s="3" t="s">
        <v>6046</v>
      </c>
      <c r="B6011" s="3" t="s">
        <v>6195</v>
      </c>
      <c r="C6011" s="3"/>
      <c r="D6011" s="3"/>
      <c r="E6011" s="2" t="str">
        <f>HYPERLINK("https://old.ukr-mobil.com/modul_pomekh_jammer_2_4_ghz_gan_30w_sma_10005000", "Перейти")</f>
        <v>Перейти</v>
      </c>
      <c r="F6011" s="2">
        <v>10005000</v>
      </c>
      <c r="G6011" s="4" t="s">
        <v>6207</v>
      </c>
      <c r="H6011" s="1">
        <v>0</v>
      </c>
      <c r="I6011" s="1">
        <v>0</v>
      </c>
      <c r="J6011" s="1">
        <v>0</v>
      </c>
      <c r="K6011" s="2">
        <v>258.0</v>
      </c>
    </row>
    <row r="6012" spans="1:12">
      <c r="A6012" s="3" t="s">
        <v>6046</v>
      </c>
      <c r="B6012" s="3" t="s">
        <v>6195</v>
      </c>
      <c r="C6012" s="3"/>
      <c r="D6012" s="3"/>
      <c r="E6012" s="2" t="str">
        <f>HYPERLINK("https://old.ukr-mobil.com/modul_pomekh_jammer_2_4_ghz_2400-2500_mhz_gan_40w_45-46_dbi_sma_10005321", "Перейти")</f>
        <v>Перейти</v>
      </c>
      <c r="F6012" s="2">
        <v>10005321</v>
      </c>
      <c r="G6012" s="4" t="s">
        <v>6208</v>
      </c>
      <c r="H6012" s="1">
        <v>0</v>
      </c>
      <c r="I6012" s="1">
        <v>0</v>
      </c>
      <c r="J6012" s="1">
        <v>0</v>
      </c>
      <c r="K6012" s="2">
        <v>250.0</v>
      </c>
    </row>
    <row r="6013" spans="1:12">
      <c r="A6013" s="3" t="s">
        <v>6046</v>
      </c>
      <c r="B6013" s="3" t="s">
        <v>6195</v>
      </c>
      <c r="C6013" s="3"/>
      <c r="D6013" s="3"/>
      <c r="E6013" s="2" t="str">
        <f>HYPERLINK("https://old.ukr-mobil.com/modul_pomekh_jammer_2_4_ghz_2400-2500_mhz_gan_50w_47_dbi_sma_10005089", "Перейти")</f>
        <v>Перейти</v>
      </c>
      <c r="F6013" s="2">
        <v>10005089</v>
      </c>
      <c r="G6013" s="4" t="s">
        <v>6209</v>
      </c>
      <c r="H6013" s="1">
        <v>1</v>
      </c>
      <c r="I6013" s="1">
        <v>4</v>
      </c>
      <c r="J6013" s="1">
        <v>0</v>
      </c>
      <c r="K6013" s="2">
        <v>165.0</v>
      </c>
    </row>
    <row r="6014" spans="1:12">
      <c r="A6014" s="3" t="s">
        <v>6046</v>
      </c>
      <c r="B6014" s="3" t="s">
        <v>6195</v>
      </c>
      <c r="C6014" s="3"/>
      <c r="D6014" s="3"/>
      <c r="E6014" s="2" t="str">
        <f>HYPERLINK("https://old.ukr-mobil.com/index.php?route=product&amp;product_id=10006015", "Перейти")</f>
        <v>Перейти</v>
      </c>
      <c r="F6014" s="2">
        <v>10006015</v>
      </c>
      <c r="G6014" s="4" t="s">
        <v>6210</v>
      </c>
      <c r="H6014" s="1">
        <v>44</v>
      </c>
      <c r="I6014" s="1">
        <v>0</v>
      </c>
      <c r="J6014" s="1">
        <v>0</v>
      </c>
      <c r="K6014" s="2">
        <v>175.0</v>
      </c>
    </row>
    <row r="6015" spans="1:12">
      <c r="A6015" s="3" t="s">
        <v>6046</v>
      </c>
      <c r="B6015" s="3" t="s">
        <v>6195</v>
      </c>
      <c r="C6015" s="3"/>
      <c r="D6015" s="3"/>
      <c r="E6015" s="2" t="str">
        <f>HYPERLINK("https://old.ukr-mobil.com/index.php?route=product&amp;product_id=10005933", "Перейти")</f>
        <v>Перейти</v>
      </c>
      <c r="F6015" s="2">
        <v>10005933</v>
      </c>
      <c r="G6015" s="4" t="s">
        <v>6211</v>
      </c>
      <c r="H6015" s="1">
        <v>0</v>
      </c>
      <c r="I6015" s="1">
        <v>2</v>
      </c>
      <c r="J6015" s="1">
        <v>3</v>
      </c>
      <c r="K6015" s="2">
        <v>225.0</v>
      </c>
    </row>
    <row r="6016" spans="1:12">
      <c r="A6016" s="3" t="s">
        <v>6046</v>
      </c>
      <c r="B6016" s="3" t="s">
        <v>6195</v>
      </c>
      <c r="C6016" s="3"/>
      <c r="D6016" s="3"/>
      <c r="E6016" s="2" t="str">
        <f>HYPERLINK("https://old.ukr-mobil.com/index.php?route=product&amp;product_id=10006247", "Перейти")</f>
        <v>Перейти</v>
      </c>
      <c r="F6016" s="2">
        <v>10006247</v>
      </c>
      <c r="G6016" s="4" t="s">
        <v>6212</v>
      </c>
      <c r="H6016" s="1">
        <v>40</v>
      </c>
      <c r="I6016" s="1">
        <v>0</v>
      </c>
      <c r="J6016" s="1">
        <v>0</v>
      </c>
      <c r="K6016" s="2">
        <v>600.0</v>
      </c>
    </row>
    <row r="6017" spans="1:12">
      <c r="A6017" s="3" t="s">
        <v>6046</v>
      </c>
      <c r="B6017" s="3" t="s">
        <v>6195</v>
      </c>
      <c r="C6017" s="3"/>
      <c r="D6017" s="3"/>
      <c r="E6017" s="2" t="str">
        <f>HYPERLINK("https://old.ukr-mobil.com/index.php?route=product&amp;product_id=10006239", "Перейти")</f>
        <v>Перейти</v>
      </c>
      <c r="F6017" s="2">
        <v>10006239</v>
      </c>
      <c r="G6017" s="4" t="s">
        <v>6213</v>
      </c>
      <c r="H6017" s="1">
        <v>14</v>
      </c>
      <c r="I6017" s="1">
        <v>5</v>
      </c>
      <c r="J6017" s="1">
        <v>0</v>
      </c>
      <c r="K6017" s="2">
        <v>480.0</v>
      </c>
    </row>
    <row r="6018" spans="1:12">
      <c r="A6018" s="3" t="s">
        <v>6046</v>
      </c>
      <c r="B6018" s="3" t="s">
        <v>6195</v>
      </c>
      <c r="C6018" s="3"/>
      <c r="D6018" s="3"/>
      <c r="E6018" s="2" t="str">
        <f>HYPERLINK("https://old.ukr-mobil.com/index.php?route=product&amp;product_id=10006145", "Перейти")</f>
        <v>Перейти</v>
      </c>
      <c r="F6018" s="2">
        <v>10006145</v>
      </c>
      <c r="G6018" s="4" t="s">
        <v>6214</v>
      </c>
      <c r="H6018" s="1">
        <v>20</v>
      </c>
      <c r="I6018" s="1">
        <v>8</v>
      </c>
      <c r="J6018" s="1">
        <v>0</v>
      </c>
      <c r="K6018" s="2">
        <v>190.0</v>
      </c>
    </row>
    <row r="6019" spans="1:12">
      <c r="A6019" s="3" t="s">
        <v>6046</v>
      </c>
      <c r="B6019" s="3" t="s">
        <v>6195</v>
      </c>
      <c r="C6019" s="3"/>
      <c r="D6019" s="3"/>
      <c r="E6019" s="2" t="str">
        <f>HYPERLINK("https://old.ukr-mobil.com/index.php?route=product&amp;product_id=10006240", "Перейти")</f>
        <v>Перейти</v>
      </c>
      <c r="F6019" s="2">
        <v>10006240</v>
      </c>
      <c r="G6019" s="4" t="s">
        <v>6215</v>
      </c>
      <c r="H6019" s="1">
        <v>14</v>
      </c>
      <c r="I6019" s="1">
        <v>5</v>
      </c>
      <c r="J6019" s="1">
        <v>0</v>
      </c>
      <c r="K6019" s="2">
        <v>485.0</v>
      </c>
    </row>
    <row r="6020" spans="1:12">
      <c r="A6020" s="3" t="s">
        <v>6046</v>
      </c>
      <c r="B6020" s="3" t="s">
        <v>6195</v>
      </c>
      <c r="C6020" s="3"/>
      <c r="D6020" s="3"/>
      <c r="E6020" s="2" t="str">
        <f>HYPERLINK("https://old.ukr-mobil.com/index.php?route=product&amp;product_id=10006175", "Перейти")</f>
        <v>Перейти</v>
      </c>
      <c r="F6020" s="2">
        <v>10006175</v>
      </c>
      <c r="G6020" s="4" t="s">
        <v>6216</v>
      </c>
      <c r="H6020" s="1">
        <v>13</v>
      </c>
      <c r="I6020" s="1">
        <v>10</v>
      </c>
      <c r="J6020" s="1">
        <v>0</v>
      </c>
      <c r="K6020" s="2">
        <v>190.0</v>
      </c>
    </row>
    <row r="6021" spans="1:12">
      <c r="A6021" s="3" t="s">
        <v>6046</v>
      </c>
      <c r="B6021" s="3" t="s">
        <v>6195</v>
      </c>
      <c r="C6021" s="3"/>
      <c r="D6021" s="3"/>
      <c r="E6021" s="2" t="str">
        <f>HYPERLINK("https://old.ukr-mobil.com/index.php?route=product&amp;product_id=10006022", "Перейти")</f>
        <v>Перейти</v>
      </c>
      <c r="F6021" s="2">
        <v>10006022</v>
      </c>
      <c r="G6021" s="4" t="s">
        <v>6217</v>
      </c>
      <c r="H6021" s="1">
        <v>0</v>
      </c>
      <c r="I6021" s="1">
        <v>0</v>
      </c>
      <c r="J6021" s="1">
        <v>0</v>
      </c>
      <c r="K6021" s="2">
        <v>345.0</v>
      </c>
    </row>
    <row r="6022" spans="1:12">
      <c r="A6022" s="3" t="s">
        <v>6046</v>
      </c>
      <c r="B6022" s="3" t="s">
        <v>6195</v>
      </c>
      <c r="C6022" s="3"/>
      <c r="D6022" s="3"/>
      <c r="E6022" s="2" t="str">
        <f>HYPERLINK("https://old.ukr-mobil.com/index.php?route=product&amp;product_id=10005932", "Перейти")</f>
        <v>Перейти</v>
      </c>
      <c r="F6022" s="2">
        <v>10005932</v>
      </c>
      <c r="G6022" s="4" t="s">
        <v>6218</v>
      </c>
      <c r="H6022" s="1">
        <v>19</v>
      </c>
      <c r="I6022" s="1">
        <v>0</v>
      </c>
      <c r="J6022" s="1">
        <v>0</v>
      </c>
      <c r="K6022" s="2">
        <v>210.0</v>
      </c>
    </row>
    <row r="6023" spans="1:12">
      <c r="A6023" s="3" t="s">
        <v>6046</v>
      </c>
      <c r="B6023" s="3" t="s">
        <v>6195</v>
      </c>
      <c r="C6023" s="3"/>
      <c r="D6023" s="3"/>
      <c r="E6023" s="2" t="str">
        <f>HYPERLINK("https://old.ukr-mobil.com/index.php?route=product&amp;product_id=10005898", "Перейти")</f>
        <v>Перейти</v>
      </c>
      <c r="F6023" s="2">
        <v>10005898</v>
      </c>
      <c r="G6023" s="4" t="s">
        <v>6219</v>
      </c>
      <c r="H6023" s="1">
        <v>0</v>
      </c>
      <c r="I6023" s="1">
        <v>4</v>
      </c>
      <c r="J6023" s="1">
        <v>12</v>
      </c>
      <c r="K6023" s="2">
        <v>155.0</v>
      </c>
    </row>
    <row r="6024" spans="1:12">
      <c r="A6024" s="3" t="s">
        <v>6046</v>
      </c>
      <c r="B6024" s="3" t="s">
        <v>6195</v>
      </c>
      <c r="C6024" s="3"/>
      <c r="D6024" s="3"/>
      <c r="E6024" s="2" t="str">
        <f>HYPERLINK("https://old.ukr-mobil.com/index.php?route=product&amp;product_id=10006146", "Перейти")</f>
        <v>Перейти</v>
      </c>
      <c r="F6024" s="2">
        <v>10006146</v>
      </c>
      <c r="G6024" s="4" t="s">
        <v>6220</v>
      </c>
      <c r="H6024" s="1">
        <v>15</v>
      </c>
      <c r="I6024" s="1">
        <v>5</v>
      </c>
      <c r="J6024" s="1">
        <v>0</v>
      </c>
      <c r="K6024" s="2">
        <v>400.0</v>
      </c>
    </row>
    <row r="6025" spans="1:12">
      <c r="A6025" s="3" t="s">
        <v>6046</v>
      </c>
      <c r="B6025" s="3" t="s">
        <v>6195</v>
      </c>
      <c r="C6025" s="3"/>
      <c r="D6025" s="3"/>
      <c r="E6025" s="2" t="str">
        <f>HYPERLINK("https://old.ukr-mobil.com/index.php?route=product&amp;product_id=10005782", "Перейти")</f>
        <v>Перейти</v>
      </c>
      <c r="F6025" s="2">
        <v>10005782</v>
      </c>
      <c r="G6025" s="4" t="s">
        <v>6221</v>
      </c>
      <c r="H6025" s="1">
        <v>7</v>
      </c>
      <c r="I6025" s="1">
        <v>2</v>
      </c>
      <c r="J6025" s="1">
        <v>0</v>
      </c>
      <c r="K6025" s="2">
        <v>430.0</v>
      </c>
    </row>
    <row r="6026" spans="1:12">
      <c r="A6026" s="3" t="s">
        <v>6046</v>
      </c>
      <c r="B6026" s="3" t="s">
        <v>6195</v>
      </c>
      <c r="C6026" s="3"/>
      <c r="D6026" s="3"/>
      <c r="E6026" s="2" t="str">
        <f>HYPERLINK("https://old.ukr-mobil.com/modul_pomekh_jammer_433_mhz_420-450_mhz_gan_50w_47_dbi_sma_10005086", "Перейти")</f>
        <v>Перейти</v>
      </c>
      <c r="F6026" s="2">
        <v>10005086</v>
      </c>
      <c r="G6026" s="4" t="s">
        <v>6222</v>
      </c>
      <c r="H6026" s="1">
        <v>10</v>
      </c>
      <c r="I6026" s="1">
        <v>7</v>
      </c>
      <c r="J6026" s="1">
        <v>0</v>
      </c>
      <c r="K6026" s="2">
        <v>158.0</v>
      </c>
    </row>
    <row r="6027" spans="1:12">
      <c r="A6027" s="3" t="s">
        <v>6046</v>
      </c>
      <c r="B6027" s="3" t="s">
        <v>6195</v>
      </c>
      <c r="C6027" s="3"/>
      <c r="D6027" s="3"/>
      <c r="E6027" s="2" t="str">
        <f>HYPERLINK("https://old.ukr-mobil.com/index.php?route=product&amp;product_id=10005955", "Перейти")</f>
        <v>Перейти</v>
      </c>
      <c r="F6027" s="2">
        <v>10005955</v>
      </c>
      <c r="G6027" s="4" t="s">
        <v>6223</v>
      </c>
      <c r="H6027" s="1">
        <v>10</v>
      </c>
      <c r="I6027" s="1">
        <v>0</v>
      </c>
      <c r="J6027" s="1">
        <v>0</v>
      </c>
      <c r="K6027" s="2">
        <v>175.0</v>
      </c>
    </row>
    <row r="6028" spans="1:12">
      <c r="A6028" s="3" t="s">
        <v>6046</v>
      </c>
      <c r="B6028" s="3" t="s">
        <v>6195</v>
      </c>
      <c r="C6028" s="3"/>
      <c r="D6028" s="3"/>
      <c r="E6028" s="2" t="str">
        <f>HYPERLINK("https://old.ukr-mobil.com/modul_pomekh_jammer_433_mhz_420-450_mhz_gan_100w_n-j_10005325", "Перейти")</f>
        <v>Перейти</v>
      </c>
      <c r="F6028" s="2">
        <v>10005325</v>
      </c>
      <c r="G6028" s="4" t="s">
        <v>6224</v>
      </c>
      <c r="H6028" s="1">
        <v>0</v>
      </c>
      <c r="I6028" s="1">
        <v>0</v>
      </c>
      <c r="J6028" s="1">
        <v>0</v>
      </c>
      <c r="K6028" s="2">
        <v>420.0</v>
      </c>
    </row>
    <row r="6029" spans="1:12">
      <c r="A6029" s="3" t="s">
        <v>6046</v>
      </c>
      <c r="B6029" s="3" t="s">
        <v>6195</v>
      </c>
      <c r="C6029" s="3"/>
      <c r="D6029" s="3"/>
      <c r="E6029" s="2" t="str">
        <f>HYPERLINK("https://old.ukr-mobil.com/index.php?route=product&amp;product_id=10005633", "Перейти")</f>
        <v>Перейти</v>
      </c>
      <c r="F6029" s="2">
        <v>10005633</v>
      </c>
      <c r="G6029" s="4" t="s">
        <v>6225</v>
      </c>
      <c r="H6029" s="1">
        <v>0</v>
      </c>
      <c r="I6029" s="1">
        <v>0</v>
      </c>
      <c r="J6029" s="1">
        <v>0</v>
      </c>
      <c r="K6029" s="2">
        <v>250.0</v>
      </c>
    </row>
    <row r="6030" spans="1:12">
      <c r="A6030" s="3" t="s">
        <v>6046</v>
      </c>
      <c r="B6030" s="3" t="s">
        <v>6195</v>
      </c>
      <c r="C6030" s="3"/>
      <c r="D6030" s="3"/>
      <c r="E6030" s="2" t="str">
        <f>HYPERLINK("https://old.ukr-mobil.com/modul_pomekh_jammer_433_mhz_420-450_mhz_gan_40w_45-56_dbi_sma_10005454", "Перейти")</f>
        <v>Перейти</v>
      </c>
      <c r="F6030" s="2">
        <v>10005454</v>
      </c>
      <c r="G6030" s="4" t="s">
        <v>6226</v>
      </c>
      <c r="H6030" s="1">
        <v>0</v>
      </c>
      <c r="I6030" s="1">
        <v>0</v>
      </c>
      <c r="J6030" s="1">
        <v>0</v>
      </c>
      <c r="K6030" s="2">
        <v>240.0</v>
      </c>
    </row>
    <row r="6031" spans="1:12">
      <c r="A6031" s="3" t="s">
        <v>6046</v>
      </c>
      <c r="B6031" s="3" t="s">
        <v>6195</v>
      </c>
      <c r="C6031" s="3"/>
      <c r="D6031" s="3"/>
      <c r="E6031" s="2" t="str">
        <f>HYPERLINK("https://old.ukr-mobil.com/index.php?route=product&amp;product_id=10005900", "Перейти")</f>
        <v>Перейти</v>
      </c>
      <c r="F6031" s="2">
        <v>10005900</v>
      </c>
      <c r="G6031" s="4" t="s">
        <v>6227</v>
      </c>
      <c r="H6031" s="1">
        <v>50</v>
      </c>
      <c r="I6031" s="1">
        <v>0</v>
      </c>
      <c r="J6031" s="1">
        <v>0</v>
      </c>
      <c r="K6031" s="2">
        <v>185.0</v>
      </c>
    </row>
    <row r="6032" spans="1:12">
      <c r="A6032" s="3" t="s">
        <v>6046</v>
      </c>
      <c r="B6032" s="3" t="s">
        <v>6195</v>
      </c>
      <c r="C6032" s="3"/>
      <c r="D6032" s="3"/>
      <c r="E6032" s="2" t="str">
        <f>HYPERLINK("https://old.ukr-mobil.com/modul_pomekh_jammer_5_2_ghz_5150-5350_mhz_gan_100w_n-j_10005331", "Перейти")</f>
        <v>Перейти</v>
      </c>
      <c r="F6032" s="2">
        <v>10005331</v>
      </c>
      <c r="G6032" s="4" t="s">
        <v>6228</v>
      </c>
      <c r="H6032" s="1">
        <v>0</v>
      </c>
      <c r="I6032" s="1">
        <v>1</v>
      </c>
      <c r="J6032" s="1">
        <v>1</v>
      </c>
      <c r="K6032" s="2">
        <v>930.0</v>
      </c>
    </row>
    <row r="6033" spans="1:12">
      <c r="A6033" s="3" t="s">
        <v>6046</v>
      </c>
      <c r="B6033" s="3" t="s">
        <v>6195</v>
      </c>
      <c r="C6033" s="3"/>
      <c r="D6033" s="3"/>
      <c r="E6033" s="2" t="str">
        <f>HYPERLINK("https://old.ukr-mobil.com/modul_pomekh_jammer_5_2_ghz_5150-5350_mhz_gan_40w_45-46_dbi_sma_10005324", "Перейти")</f>
        <v>Перейти</v>
      </c>
      <c r="F6033" s="2">
        <v>10005324</v>
      </c>
      <c r="G6033" s="4" t="s">
        <v>6229</v>
      </c>
      <c r="H6033" s="1">
        <v>0</v>
      </c>
      <c r="I6033" s="1">
        <v>0</v>
      </c>
      <c r="J6033" s="1">
        <v>0</v>
      </c>
      <c r="K6033" s="2">
        <v>300.0</v>
      </c>
    </row>
    <row r="6034" spans="1:12">
      <c r="A6034" s="3" t="s">
        <v>6046</v>
      </c>
      <c r="B6034" s="3" t="s">
        <v>6195</v>
      </c>
      <c r="C6034" s="3"/>
      <c r="D6034" s="3"/>
      <c r="E6034" s="2" t="str">
        <f>HYPERLINK("https://old.ukr-mobil.com/modul_pomekh_jammer_5_2_ghz_5150-5350_mhz_gan_50w_47_dbi_sma_10005322", "Перейти")</f>
        <v>Перейти</v>
      </c>
      <c r="F6034" s="2">
        <v>10005322</v>
      </c>
      <c r="G6034" s="4" t="s">
        <v>6230</v>
      </c>
      <c r="H6034" s="1">
        <v>2</v>
      </c>
      <c r="I6034" s="1">
        <v>3</v>
      </c>
      <c r="J6034" s="1">
        <v>4</v>
      </c>
      <c r="K6034" s="2">
        <v>330.0</v>
      </c>
    </row>
    <row r="6035" spans="1:12">
      <c r="A6035" s="3" t="s">
        <v>6046</v>
      </c>
      <c r="B6035" s="3" t="s">
        <v>6195</v>
      </c>
      <c r="C6035" s="3"/>
      <c r="D6035" s="3"/>
      <c r="E6035" s="2" t="str">
        <f>HYPERLINK("https://old.ukr-mobil.com/index.php?route=product&amp;product_id=10006016", "Перейти")</f>
        <v>Перейти</v>
      </c>
      <c r="F6035" s="2">
        <v>10006016</v>
      </c>
      <c r="G6035" s="4" t="s">
        <v>6231</v>
      </c>
      <c r="H6035" s="1">
        <v>12</v>
      </c>
      <c r="I6035" s="1">
        <v>3</v>
      </c>
      <c r="J6035" s="1">
        <v>0</v>
      </c>
      <c r="K6035" s="2">
        <v>420.0</v>
      </c>
    </row>
    <row r="6036" spans="1:12">
      <c r="A6036" s="3" t="s">
        <v>6046</v>
      </c>
      <c r="B6036" s="3" t="s">
        <v>6195</v>
      </c>
      <c r="C6036" s="3"/>
      <c r="D6036" s="3"/>
      <c r="E6036" s="2" t="str">
        <f>HYPERLINK("https://old.ukr-mobil.com/modul_pomekh_jammer_5_8_ghz_5725-5850_mhz_gan_50w_47_dbi_sma_10005092", "Перейти")</f>
        <v>Перейти</v>
      </c>
      <c r="F6036" s="2">
        <v>10005092</v>
      </c>
      <c r="G6036" s="4" t="s">
        <v>6232</v>
      </c>
      <c r="H6036" s="1">
        <v>88</v>
      </c>
      <c r="I6036" s="1">
        <v>0</v>
      </c>
      <c r="J6036" s="1">
        <v>0</v>
      </c>
      <c r="K6036" s="2">
        <v>335.0</v>
      </c>
    </row>
    <row r="6037" spans="1:12">
      <c r="A6037" s="3" t="s">
        <v>6046</v>
      </c>
      <c r="B6037" s="3" t="s">
        <v>6195</v>
      </c>
      <c r="C6037" s="3"/>
      <c r="D6037" s="3"/>
      <c r="E6037" s="2" t="str">
        <f>HYPERLINK("https://old.ukr-mobil.com/index.php?route=product&amp;product_id=10006242", "Перейти")</f>
        <v>Перейти</v>
      </c>
      <c r="F6037" s="2">
        <v>10006242</v>
      </c>
      <c r="G6037" s="4" t="s">
        <v>6233</v>
      </c>
      <c r="H6037" s="1">
        <v>31</v>
      </c>
      <c r="I6037" s="1">
        <v>10</v>
      </c>
      <c r="J6037" s="1">
        <v>0</v>
      </c>
      <c r="K6037" s="2">
        <v>850.0</v>
      </c>
    </row>
    <row r="6038" spans="1:12">
      <c r="A6038" s="3" t="s">
        <v>6046</v>
      </c>
      <c r="B6038" s="3" t="s">
        <v>6195</v>
      </c>
      <c r="C6038" s="3"/>
      <c r="D6038" s="3"/>
      <c r="E6038" s="2" t="str">
        <f>HYPERLINK("https://old.ukr-mobil.com/modul_pomekh_jammer_5_8_ghz_5725-5850_mhz_gan_100w_n-j_10005332", "Перейти")</f>
        <v>Перейти</v>
      </c>
      <c r="F6038" s="2">
        <v>10005332</v>
      </c>
      <c r="G6038" s="4" t="s">
        <v>6234</v>
      </c>
      <c r="H6038" s="1">
        <v>0</v>
      </c>
      <c r="I6038" s="1">
        <v>0</v>
      </c>
      <c r="J6038" s="1">
        <v>0</v>
      </c>
      <c r="K6038" s="2">
        <v>930.0</v>
      </c>
    </row>
    <row r="6039" spans="1:12">
      <c r="A6039" s="3" t="s">
        <v>6046</v>
      </c>
      <c r="B6039" s="3" t="s">
        <v>6195</v>
      </c>
      <c r="C6039" s="3"/>
      <c r="D6039" s="3"/>
      <c r="E6039" s="2" t="str">
        <f>HYPERLINK("https://old.ukr-mobil.com/index.php?route=product&amp;product_id=10006243", "Перейти")</f>
        <v>Перейти</v>
      </c>
      <c r="F6039" s="2">
        <v>10006243</v>
      </c>
      <c r="G6039" s="4" t="s">
        <v>6235</v>
      </c>
      <c r="H6039" s="1">
        <v>42</v>
      </c>
      <c r="I6039" s="1">
        <v>15</v>
      </c>
      <c r="J6039" s="1">
        <v>0</v>
      </c>
      <c r="K6039" s="2">
        <v>1050.0</v>
      </c>
    </row>
    <row r="6040" spans="1:12">
      <c r="A6040" s="3" t="s">
        <v>6046</v>
      </c>
      <c r="B6040" s="3" t="s">
        <v>6195</v>
      </c>
      <c r="C6040" s="3"/>
      <c r="D6040" s="3"/>
      <c r="E6040" s="2" t="str">
        <f>HYPERLINK("https://old.ukr-mobil.com/modul_pomekh_jammer_5_8_ghz_gan_30w_sma_10005002", "Перейти")</f>
        <v>Перейти</v>
      </c>
      <c r="F6040" s="2">
        <v>10005002</v>
      </c>
      <c r="G6040" s="4" t="s">
        <v>6236</v>
      </c>
      <c r="H6040" s="1">
        <v>0</v>
      </c>
      <c r="I6040" s="1">
        <v>0</v>
      </c>
      <c r="J6040" s="1">
        <v>0</v>
      </c>
      <c r="K6040" s="2">
        <v>400.0</v>
      </c>
    </row>
    <row r="6041" spans="1:12">
      <c r="A6041" s="3" t="s">
        <v>6046</v>
      </c>
      <c r="B6041" s="3" t="s">
        <v>6195</v>
      </c>
      <c r="C6041" s="3"/>
      <c r="D6041" s="3"/>
      <c r="E6041" s="2" t="str">
        <f>HYPERLINK("https://old.ukr-mobil.com/modul_pomekh_jammer_5_8_ghz_5725-5850_mhz_gan_40w_45-46_dbi_sma_10005090", "Перейти")</f>
        <v>Перейти</v>
      </c>
      <c r="F6041" s="2">
        <v>10005090</v>
      </c>
      <c r="G6041" s="4" t="s">
        <v>6237</v>
      </c>
      <c r="H6041" s="1">
        <v>0</v>
      </c>
      <c r="I6041" s="1">
        <v>0</v>
      </c>
      <c r="J6041" s="1">
        <v>0</v>
      </c>
      <c r="K6041" s="2">
        <v>490.0</v>
      </c>
    </row>
    <row r="6042" spans="1:12">
      <c r="A6042" s="3" t="s">
        <v>6046</v>
      </c>
      <c r="B6042" s="3" t="s">
        <v>6195</v>
      </c>
      <c r="C6042" s="3"/>
      <c r="D6042" s="3"/>
      <c r="E6042" s="2" t="str">
        <f>HYPERLINK("https://old.ukr-mobil.com/index.php?route=product&amp;product_id=10005781", "Перейти")</f>
        <v>Перейти</v>
      </c>
      <c r="F6042" s="2">
        <v>10005781</v>
      </c>
      <c r="G6042" s="4" t="s">
        <v>6238</v>
      </c>
      <c r="H6042" s="1">
        <v>20</v>
      </c>
      <c r="I6042" s="1">
        <v>2</v>
      </c>
      <c r="J6042" s="1">
        <v>0</v>
      </c>
      <c r="K6042" s="2">
        <v>144.0</v>
      </c>
    </row>
    <row r="6043" spans="1:12">
      <c r="A6043" s="3" t="s">
        <v>6046</v>
      </c>
      <c r="B6043" s="3" t="s">
        <v>6195</v>
      </c>
      <c r="C6043" s="3"/>
      <c r="D6043" s="3"/>
      <c r="E6043" s="2" t="str">
        <f>HYPERLINK("https://old.ukr-mobil.com/index.php?route=product&amp;product_id=10005956", "Перейти")</f>
        <v>Перейти</v>
      </c>
      <c r="F6043" s="2">
        <v>10005956</v>
      </c>
      <c r="G6043" s="4" t="s">
        <v>6239</v>
      </c>
      <c r="H6043" s="1">
        <v>0</v>
      </c>
      <c r="I6043" s="1">
        <v>0</v>
      </c>
      <c r="J6043" s="1">
        <v>0</v>
      </c>
      <c r="K6043" s="2">
        <v>190.0</v>
      </c>
    </row>
    <row r="6044" spans="1:12">
      <c r="A6044" s="3" t="s">
        <v>6046</v>
      </c>
      <c r="B6044" s="3" t="s">
        <v>6195</v>
      </c>
      <c r="C6044" s="3"/>
      <c r="D6044" s="3"/>
      <c r="E6044" s="2" t="str">
        <f>HYPERLINK("https://old.ukr-mobil.com/index.php?route=product&amp;product_id=10005910", "Перейти")</f>
        <v>Перейти</v>
      </c>
      <c r="F6044" s="2">
        <v>10005910</v>
      </c>
      <c r="G6044" s="4" t="s">
        <v>6240</v>
      </c>
      <c r="H6044" s="1">
        <v>47</v>
      </c>
      <c r="I6044" s="1">
        <v>9</v>
      </c>
      <c r="J6044" s="1">
        <v>0</v>
      </c>
      <c r="K6044" s="2">
        <v>144.0</v>
      </c>
    </row>
    <row r="6045" spans="1:12">
      <c r="A6045" s="3" t="s">
        <v>6046</v>
      </c>
      <c r="B6045" s="3" t="s">
        <v>6195</v>
      </c>
      <c r="C6045" s="3"/>
      <c r="D6045" s="3"/>
      <c r="E6045" s="2" t="str">
        <f>HYPERLINK("https://old.ukr-mobil.com/modul_pomekh_jammer_650-750_mhz_gan_50w_47_dbi_sma_10005577", "Перейти")</f>
        <v>Перейти</v>
      </c>
      <c r="F6045" s="2">
        <v>10005577</v>
      </c>
      <c r="G6045" s="4" t="s">
        <v>6241</v>
      </c>
      <c r="H6045" s="1">
        <v>137</v>
      </c>
      <c r="I6045" s="1">
        <v>10</v>
      </c>
      <c r="J6045" s="1">
        <v>0</v>
      </c>
      <c r="K6045" s="2">
        <v>135.0</v>
      </c>
    </row>
    <row r="6046" spans="1:12">
      <c r="A6046" s="3" t="s">
        <v>6046</v>
      </c>
      <c r="B6046" s="3" t="s">
        <v>6195</v>
      </c>
      <c r="C6046" s="3"/>
      <c r="D6046" s="3"/>
      <c r="E6046" s="2" t="str">
        <f>HYPERLINK("https://old.ukr-mobil.com/modul_pomekh_jammer_700-1000_mhz_gan_50w_47_dbi_sma_10005658", "Перейти")</f>
        <v>Перейти</v>
      </c>
      <c r="F6046" s="2">
        <v>10005658</v>
      </c>
      <c r="G6046" s="4" t="s">
        <v>6242</v>
      </c>
      <c r="H6046" s="1">
        <v>13</v>
      </c>
      <c r="I6046" s="1">
        <v>3</v>
      </c>
      <c r="J6046" s="1">
        <v>7</v>
      </c>
      <c r="K6046" s="2">
        <v>185.0</v>
      </c>
    </row>
    <row r="6047" spans="1:12">
      <c r="A6047" s="3" t="s">
        <v>6046</v>
      </c>
      <c r="B6047" s="3" t="s">
        <v>6195</v>
      </c>
      <c r="C6047" s="3"/>
      <c r="D6047" s="3"/>
      <c r="E6047" s="2" t="str">
        <f>HYPERLINK("https://old.ukr-mobil.com/index.php?route=product&amp;product_id=10005711", "Перейти")</f>
        <v>Перейти</v>
      </c>
      <c r="F6047" s="2">
        <v>10005711</v>
      </c>
      <c r="G6047" s="4" t="s">
        <v>6243</v>
      </c>
      <c r="H6047" s="1">
        <v>1</v>
      </c>
      <c r="I6047" s="1">
        <v>0</v>
      </c>
      <c r="J6047" s="1">
        <v>0</v>
      </c>
      <c r="K6047" s="2">
        <v>190.0</v>
      </c>
    </row>
    <row r="6048" spans="1:12">
      <c r="A6048" s="3" t="s">
        <v>6046</v>
      </c>
      <c r="B6048" s="3" t="s">
        <v>6195</v>
      </c>
      <c r="C6048" s="3"/>
      <c r="D6048" s="3"/>
      <c r="E6048" s="2" t="str">
        <f>HYPERLINK("https://old.ukr-mobil.com/modul_pomekh_jammer_700-800_mhz_gan_50w_47_dbi_sma_10005549", "Перейти")</f>
        <v>Перейти</v>
      </c>
      <c r="F6048" s="2">
        <v>10005549</v>
      </c>
      <c r="G6048" s="4" t="s">
        <v>6244</v>
      </c>
      <c r="H6048" s="1">
        <v>22</v>
      </c>
      <c r="I6048" s="1">
        <v>13</v>
      </c>
      <c r="J6048" s="1">
        <v>8</v>
      </c>
      <c r="K6048" s="2">
        <v>135.0</v>
      </c>
    </row>
    <row r="6049" spans="1:12">
      <c r="A6049" s="3" t="s">
        <v>6046</v>
      </c>
      <c r="B6049" s="3" t="s">
        <v>6195</v>
      </c>
      <c r="C6049" s="3"/>
      <c r="D6049" s="3"/>
      <c r="E6049" s="2" t="str">
        <f>HYPERLINK("https://old.ukr-mobil.com/index.php?route=product&amp;product_id=10005744", "Перейти")</f>
        <v>Перейти</v>
      </c>
      <c r="F6049" s="2">
        <v>10005744</v>
      </c>
      <c r="G6049" s="4" t="s">
        <v>6245</v>
      </c>
      <c r="H6049" s="1">
        <v>91</v>
      </c>
      <c r="I6049" s="1">
        <v>13</v>
      </c>
      <c r="J6049" s="1">
        <v>2</v>
      </c>
      <c r="K6049" s="2">
        <v>135.0</v>
      </c>
    </row>
    <row r="6050" spans="1:12">
      <c r="A6050" s="3" t="s">
        <v>6046</v>
      </c>
      <c r="B6050" s="3" t="s">
        <v>6195</v>
      </c>
      <c r="C6050" s="3"/>
      <c r="D6050" s="3"/>
      <c r="E6050" s="2" t="str">
        <f>HYPERLINK("https://old.ukr-mobil.com/index.php?route=product&amp;product_id=10005909", "Перейти")</f>
        <v>Перейти</v>
      </c>
      <c r="F6050" s="2">
        <v>10005909</v>
      </c>
      <c r="G6050" s="4" t="s">
        <v>6246</v>
      </c>
      <c r="H6050" s="1">
        <v>19</v>
      </c>
      <c r="I6050" s="1">
        <v>0</v>
      </c>
      <c r="J6050" s="1">
        <v>0</v>
      </c>
      <c r="K6050" s="2">
        <v>155.0</v>
      </c>
    </row>
    <row r="6051" spans="1:12">
      <c r="A6051" s="3" t="s">
        <v>6046</v>
      </c>
      <c r="B6051" s="3" t="s">
        <v>6195</v>
      </c>
      <c r="C6051" s="3"/>
      <c r="D6051" s="3"/>
      <c r="E6051" s="2" t="str">
        <f>HYPERLINK("https://old.ukr-mobil.com/index.php?route=product&amp;product_id=10005712", "Перейти")</f>
        <v>Перейти</v>
      </c>
      <c r="F6051" s="2">
        <v>10005712</v>
      </c>
      <c r="G6051" s="4" t="s">
        <v>6247</v>
      </c>
      <c r="H6051" s="1">
        <v>1</v>
      </c>
      <c r="I6051" s="1">
        <v>0</v>
      </c>
      <c r="J6051" s="1">
        <v>0</v>
      </c>
      <c r="K6051" s="2">
        <v>190.0</v>
      </c>
    </row>
    <row r="6052" spans="1:12">
      <c r="A6052" s="3" t="s">
        <v>6046</v>
      </c>
      <c r="B6052" s="3" t="s">
        <v>6195</v>
      </c>
      <c r="C6052" s="3"/>
      <c r="D6052" s="3"/>
      <c r="E6052" s="2" t="str">
        <f>HYPERLINK("https://old.ukr-mobil.com/modul_pomekh_jammer_720-850_mhz_gan_50w_47_dbi_sma_10005457", "Перейти")</f>
        <v>Перейти</v>
      </c>
      <c r="F6052" s="2">
        <v>10005457</v>
      </c>
      <c r="G6052" s="4" t="s">
        <v>6248</v>
      </c>
      <c r="H6052" s="1">
        <v>54</v>
      </c>
      <c r="I6052" s="1">
        <v>0</v>
      </c>
      <c r="J6052" s="1">
        <v>12</v>
      </c>
      <c r="K6052" s="2">
        <v>144.0</v>
      </c>
    </row>
    <row r="6053" spans="1:12">
      <c r="A6053" s="3" t="s">
        <v>6046</v>
      </c>
      <c r="B6053" s="3" t="s">
        <v>6195</v>
      </c>
      <c r="C6053" s="3"/>
      <c r="D6053" s="3"/>
      <c r="E6053" s="2" t="str">
        <f>HYPERLINK("https://old.ukr-mobil.com/modul_pomekh_jammer_800-900_mhz_gan_50w_47_dbi_sma_10005547", "Перейти")</f>
        <v>Перейти</v>
      </c>
      <c r="F6053" s="2">
        <v>10005547</v>
      </c>
      <c r="G6053" s="4" t="s">
        <v>6249</v>
      </c>
      <c r="H6053" s="1">
        <v>8</v>
      </c>
      <c r="I6053" s="1">
        <v>3</v>
      </c>
      <c r="J6053" s="1">
        <v>1</v>
      </c>
      <c r="K6053" s="2">
        <v>165.0</v>
      </c>
    </row>
    <row r="6054" spans="1:12">
      <c r="A6054" s="3" t="s">
        <v>6046</v>
      </c>
      <c r="B6054" s="3" t="s">
        <v>6195</v>
      </c>
      <c r="C6054" s="3"/>
      <c r="D6054" s="3"/>
      <c r="E6054" s="2" t="str">
        <f>HYPERLINK("https://old.ukr-mobil.com/index.php?route=product&amp;product_id=10005722", "Перейти")</f>
        <v>Перейти</v>
      </c>
      <c r="F6054" s="2">
        <v>10005722</v>
      </c>
      <c r="G6054" s="4" t="s">
        <v>6250</v>
      </c>
      <c r="H6054" s="1">
        <v>50</v>
      </c>
      <c r="I6054" s="1">
        <v>0</v>
      </c>
      <c r="J6054" s="1">
        <v>0</v>
      </c>
      <c r="K6054" s="2">
        <v>205.0</v>
      </c>
    </row>
    <row r="6055" spans="1:12">
      <c r="A6055" s="3" t="s">
        <v>6046</v>
      </c>
      <c r="B6055" s="3" t="s">
        <v>6195</v>
      </c>
      <c r="C6055" s="3"/>
      <c r="D6055" s="3"/>
      <c r="E6055" s="2" t="str">
        <f>HYPERLINK("https://old.ukr-mobil.com/index.php?route=product&amp;product_id=10005957", "Перейти")</f>
        <v>Перейти</v>
      </c>
      <c r="F6055" s="2">
        <v>10005957</v>
      </c>
      <c r="G6055" s="4" t="s">
        <v>6251</v>
      </c>
      <c r="H6055" s="1">
        <v>0</v>
      </c>
      <c r="I6055" s="1">
        <v>0</v>
      </c>
      <c r="J6055" s="1">
        <v>0</v>
      </c>
      <c r="K6055" s="2">
        <v>205.0</v>
      </c>
    </row>
    <row r="6056" spans="1:12">
      <c r="A6056" s="3" t="s">
        <v>6046</v>
      </c>
      <c r="B6056" s="3" t="s">
        <v>6195</v>
      </c>
      <c r="C6056" s="3"/>
      <c r="D6056" s="3"/>
      <c r="E6056" s="2" t="str">
        <f>HYPERLINK("https://old.ukr-mobil.com/index.php?route=product&amp;product_id=10005899", "Перейти")</f>
        <v>Перейти</v>
      </c>
      <c r="F6056" s="2">
        <v>10005899</v>
      </c>
      <c r="G6056" s="4" t="s">
        <v>6252</v>
      </c>
      <c r="H6056" s="1">
        <v>28</v>
      </c>
      <c r="I6056" s="1">
        <v>8</v>
      </c>
      <c r="J6056" s="1">
        <v>1</v>
      </c>
      <c r="K6056" s="2">
        <v>145.0</v>
      </c>
    </row>
    <row r="6057" spans="1:12">
      <c r="A6057" s="3" t="s">
        <v>6046</v>
      </c>
      <c r="B6057" s="3" t="s">
        <v>6195</v>
      </c>
      <c r="C6057" s="3"/>
      <c r="D6057" s="3"/>
      <c r="E6057" s="2" t="str">
        <f>HYPERLINK("https://old.ukr-mobil.com/modul_pomekh_jammer_900_mhz_860-930_mhz_gan_50w_47_dbi_sma_10005087", "Перейти")</f>
        <v>Перейти</v>
      </c>
      <c r="F6057" s="2">
        <v>10005087</v>
      </c>
      <c r="G6057" s="4" t="s">
        <v>6253</v>
      </c>
      <c r="H6057" s="1">
        <v>50</v>
      </c>
      <c r="I6057" s="1">
        <v>0</v>
      </c>
      <c r="J6057" s="1">
        <v>2</v>
      </c>
      <c r="K6057" s="2">
        <v>145.0</v>
      </c>
    </row>
    <row r="6058" spans="1:12">
      <c r="A6058" s="3" t="s">
        <v>6046</v>
      </c>
      <c r="B6058" s="3" t="s">
        <v>6195</v>
      </c>
      <c r="C6058" s="3"/>
      <c r="D6058" s="3"/>
      <c r="E6058" s="2" t="str">
        <f>HYPERLINK("https://old.ukr-mobil.com/modul_pomekh_jammer_900_mhz_860-930_mhz_gan_100w_n-j_10005326", "Перейти")</f>
        <v>Перейти</v>
      </c>
      <c r="F6058" s="2">
        <v>10005326</v>
      </c>
      <c r="G6058" s="4" t="s">
        <v>6254</v>
      </c>
      <c r="H6058" s="1">
        <v>0</v>
      </c>
      <c r="I6058" s="1">
        <v>0</v>
      </c>
      <c r="J6058" s="1">
        <v>0</v>
      </c>
      <c r="K6058" s="2">
        <v>560.0</v>
      </c>
    </row>
    <row r="6059" spans="1:12">
      <c r="A6059" s="3" t="s">
        <v>6046</v>
      </c>
      <c r="B6059" s="3" t="s">
        <v>6195</v>
      </c>
      <c r="C6059" s="3"/>
      <c r="D6059" s="3"/>
      <c r="E6059" s="2" t="str">
        <f>HYPERLINK("https://old.ukr-mobil.com/modul_pomekh_jammer_900_mhz_860-930_mhz_gan_30w_sma_10004827", "Перейти")</f>
        <v>Перейти</v>
      </c>
      <c r="F6059" s="2">
        <v>10004827</v>
      </c>
      <c r="G6059" s="4" t="s">
        <v>6255</v>
      </c>
      <c r="H6059" s="1">
        <v>0</v>
      </c>
      <c r="I6059" s="1">
        <v>0</v>
      </c>
      <c r="J6059" s="1">
        <v>0</v>
      </c>
      <c r="K6059" s="2">
        <v>190.0</v>
      </c>
    </row>
    <row r="6060" spans="1:12">
      <c r="A6060" s="3" t="s">
        <v>6046</v>
      </c>
      <c r="B6060" s="3" t="s">
        <v>6195</v>
      </c>
      <c r="C6060" s="3"/>
      <c r="D6060" s="3"/>
      <c r="E6060" s="2" t="str">
        <f>HYPERLINK("https://old.ukr-mobil.com/modul_pomekh_jammer_900_mhz_860-930_mhz_gan_40w_45-46_dbi_sma_10005455", "Перейти")</f>
        <v>Перейти</v>
      </c>
      <c r="F6060" s="2">
        <v>10005455</v>
      </c>
      <c r="G6060" s="4" t="s">
        <v>6256</v>
      </c>
      <c r="H6060" s="1">
        <v>0</v>
      </c>
      <c r="I6060" s="1">
        <v>0</v>
      </c>
      <c r="J6060" s="1">
        <v>0</v>
      </c>
      <c r="K6060" s="2">
        <v>250.0</v>
      </c>
    </row>
    <row r="6061" spans="1:12">
      <c r="A6061" s="3" t="s">
        <v>6046</v>
      </c>
      <c r="B6061" s="3" t="s">
        <v>6195</v>
      </c>
      <c r="C6061" s="3"/>
      <c r="D6061" s="3"/>
      <c r="E6061" s="2" t="str">
        <f>HYPERLINK("https://old.ukr-mobil.com/modul_pomekh_jammer_900-1050_mhz_gan_50w_47_dbi_sma_10005548", "Перейти")</f>
        <v>Перейти</v>
      </c>
      <c r="F6061" s="2">
        <v>10005548</v>
      </c>
      <c r="G6061" s="4" t="s">
        <v>6257</v>
      </c>
      <c r="H6061" s="1">
        <v>21</v>
      </c>
      <c r="I6061" s="1">
        <v>10</v>
      </c>
      <c r="J6061" s="1">
        <v>1</v>
      </c>
      <c r="K6061" s="2">
        <v>145.0</v>
      </c>
    </row>
    <row r="6062" spans="1:12">
      <c r="A6062" s="3" t="s">
        <v>6046</v>
      </c>
      <c r="B6062" s="3" t="s">
        <v>6195</v>
      </c>
      <c r="C6062" s="3"/>
      <c r="D6062" s="3"/>
      <c r="E6062" s="2" t="str">
        <f>HYPERLINK("https://old.ukr-mobil.com/modul_pomekh_jammer_970-1100_mhz_gan_50w_47_dbi_sma_10005458", "Перейти")</f>
        <v>Перейти</v>
      </c>
      <c r="F6062" s="2">
        <v>10005458</v>
      </c>
      <c r="G6062" s="4" t="s">
        <v>6258</v>
      </c>
      <c r="H6062" s="1">
        <v>26</v>
      </c>
      <c r="I6062" s="1">
        <v>0</v>
      </c>
      <c r="J6062" s="1">
        <v>0</v>
      </c>
      <c r="K6062" s="2">
        <v>155.0</v>
      </c>
    </row>
    <row r="6063" spans="1:12">
      <c r="A6063" s="3" t="s">
        <v>6046</v>
      </c>
      <c r="B6063" s="3" t="s">
        <v>6195</v>
      </c>
      <c r="C6063" s="3"/>
      <c r="D6063" s="3"/>
      <c r="E6063" s="2" t="str">
        <f>HYPERLINK("https://old.ukr-mobil.com/index.php?route=product&amp;product_id=10005736", "Перейти")</f>
        <v>Перейти</v>
      </c>
      <c r="F6063" s="2">
        <v>10005736</v>
      </c>
      <c r="G6063" s="4" t="s">
        <v>6259</v>
      </c>
      <c r="H6063" s="1">
        <v>0</v>
      </c>
      <c r="I6063" s="1">
        <v>1</v>
      </c>
      <c r="J6063" s="1">
        <v>0</v>
      </c>
      <c r="K6063" s="2">
        <v>270.0</v>
      </c>
    </row>
    <row r="6064" spans="1:12">
      <c r="A6064" s="3" t="s">
        <v>6046</v>
      </c>
      <c r="B6064" s="3" t="s">
        <v>6195</v>
      </c>
      <c r="C6064" s="3"/>
      <c r="D6064" s="3"/>
      <c r="E6064" s="2" t="str">
        <f>HYPERLINK("https://old.ukr-mobil.com/index.php?route=product&amp;product_id=10005735", "Перейти")</f>
        <v>Перейти</v>
      </c>
      <c r="F6064" s="2">
        <v>10005735</v>
      </c>
      <c r="G6064" s="4" t="s">
        <v>6260</v>
      </c>
      <c r="H6064" s="1">
        <v>0</v>
      </c>
      <c r="I6064" s="1">
        <v>0</v>
      </c>
      <c r="J6064" s="1">
        <v>0</v>
      </c>
      <c r="K6064" s="2">
        <v>680.0</v>
      </c>
    </row>
    <row r="6065" spans="1:12">
      <c r="A6065" s="3" t="s">
        <v>6046</v>
      </c>
      <c r="B6065" s="3" t="s">
        <v>6195</v>
      </c>
      <c r="C6065" s="3"/>
      <c r="D6065" s="3"/>
      <c r="E6065" s="2" t="str">
        <f>HYPERLINK("https://old.ukr-mobil.com/index.php?route=product&amp;product_id=10005737", "Перейти")</f>
        <v>Перейти</v>
      </c>
      <c r="F6065" s="2">
        <v>10005737</v>
      </c>
      <c r="G6065" s="4" t="s">
        <v>6261</v>
      </c>
      <c r="H6065" s="1">
        <v>0</v>
      </c>
      <c r="I6065" s="1">
        <v>0</v>
      </c>
      <c r="J6065" s="1">
        <v>0</v>
      </c>
      <c r="K6065" s="2">
        <v>270.0</v>
      </c>
    </row>
    <row r="6066" spans="1:12">
      <c r="A6066" s="3" t="s">
        <v>6046</v>
      </c>
      <c r="B6066" s="3" t="s">
        <v>6195</v>
      </c>
      <c r="C6066" s="3" t="s">
        <v>6262</v>
      </c>
      <c r="D6066" s="3"/>
      <c r="E6066" s="2" t="str">
        <f>HYPERLINK("https://old.ukr-mobil.com/index.php?route=product&amp;product_id=10005883", "Перейти")</f>
        <v>Перейти</v>
      </c>
      <c r="F6066" s="2">
        <v>10005883</v>
      </c>
      <c r="G6066" s="4" t="s">
        <v>6263</v>
      </c>
      <c r="H6066" s="1">
        <v>0</v>
      </c>
      <c r="I6066" s="1">
        <v>0</v>
      </c>
      <c r="J6066" s="1">
        <v>0</v>
      </c>
      <c r="K6066" s="2">
        <v>710.0</v>
      </c>
    </row>
    <row r="6067" spans="1:12">
      <c r="A6067" s="3" t="s">
        <v>6046</v>
      </c>
      <c r="B6067" s="3" t="s">
        <v>6195</v>
      </c>
      <c r="C6067" s="3" t="s">
        <v>6262</v>
      </c>
      <c r="D6067" s="3"/>
      <c r="E6067" s="2" t="str">
        <f>HYPERLINK("https://old.ukr-mobil.com/index.php?route=product&amp;product_id=10005882", "Перейти")</f>
        <v>Перейти</v>
      </c>
      <c r="F6067" s="2">
        <v>10005882</v>
      </c>
      <c r="G6067" s="4" t="s">
        <v>6264</v>
      </c>
      <c r="H6067" s="1">
        <v>1</v>
      </c>
      <c r="I6067" s="1">
        <v>0</v>
      </c>
      <c r="J6067" s="1">
        <v>0</v>
      </c>
      <c r="K6067" s="2">
        <v>710.0</v>
      </c>
    </row>
    <row r="6068" spans="1:12">
      <c r="A6068" s="3" t="s">
        <v>6046</v>
      </c>
      <c r="B6068" s="3" t="s">
        <v>6195</v>
      </c>
      <c r="C6068" s="3" t="s">
        <v>6262</v>
      </c>
      <c r="D6068" s="3"/>
      <c r="E6068" s="2" t="str">
        <f>HYPERLINK("https://old.ukr-mobil.com/index.php?route=product&amp;product_id=10005835", "Перейти")</f>
        <v>Перейти</v>
      </c>
      <c r="F6068" s="2">
        <v>10005835</v>
      </c>
      <c r="G6068" s="4" t="s">
        <v>6265</v>
      </c>
      <c r="H6068" s="1">
        <v>0</v>
      </c>
      <c r="I6068" s="1">
        <v>2</v>
      </c>
      <c r="J6068" s="1">
        <v>2</v>
      </c>
      <c r="K6068" s="2">
        <v>710.0</v>
      </c>
    </row>
    <row r="6069" spans="1:12">
      <c r="A6069" s="3" t="s">
        <v>6046</v>
      </c>
      <c r="B6069" s="3" t="s">
        <v>6266</v>
      </c>
      <c r="C6069" s="3"/>
      <c r="D6069" s="3"/>
      <c r="E6069" s="2" t="str">
        <f>HYPERLINK("https://old.ukr-mobil.com/index.php?route=product&amp;product_id=10005863", "Перейти")</f>
        <v>Перейти</v>
      </c>
      <c r="F6069" s="2">
        <v>10005863</v>
      </c>
      <c r="G6069" s="4" t="s">
        <v>6267</v>
      </c>
      <c r="H6069" s="1">
        <v>17</v>
      </c>
      <c r="I6069" s="1">
        <v>1</v>
      </c>
      <c r="J6069" s="1">
        <v>0</v>
      </c>
      <c r="K6069" s="2">
        <v>10.0</v>
      </c>
    </row>
    <row r="6070" spans="1:12">
      <c r="A6070" s="3" t="s">
        <v>6046</v>
      </c>
      <c r="B6070" s="3" t="s">
        <v>6266</v>
      </c>
      <c r="C6070" s="3"/>
      <c r="D6070" s="3"/>
      <c r="E6070" s="2" t="str">
        <f>HYPERLINK("https://old.ukr-mobil.com/index.php?route=product&amp;product_id=10005815", "Перейти")</f>
        <v>Перейти</v>
      </c>
      <c r="F6070" s="2">
        <v>10005815</v>
      </c>
      <c r="G6070" s="4" t="s">
        <v>6268</v>
      </c>
      <c r="H6070" s="1">
        <v>65</v>
      </c>
      <c r="I6070" s="1">
        <v>9</v>
      </c>
      <c r="J6070" s="1">
        <v>6</v>
      </c>
      <c r="K6070" s="2">
        <v>6.5</v>
      </c>
    </row>
    <row r="6071" spans="1:12">
      <c r="A6071" s="3" t="s">
        <v>6046</v>
      </c>
      <c r="B6071" s="3" t="s">
        <v>6266</v>
      </c>
      <c r="C6071" s="3"/>
      <c r="D6071" s="3"/>
      <c r="E6071" s="2" t="str">
        <f>HYPERLINK("https://old.ukr-mobil.com/index.php?route=product&amp;product_id=10005814", "Перейти")</f>
        <v>Перейти</v>
      </c>
      <c r="F6071" s="2">
        <v>10005814</v>
      </c>
      <c r="G6071" s="4" t="s">
        <v>6269</v>
      </c>
      <c r="H6071" s="1">
        <v>297</v>
      </c>
      <c r="I6071" s="1">
        <v>0</v>
      </c>
      <c r="J6071" s="1">
        <v>0</v>
      </c>
      <c r="K6071" s="2">
        <v>9.35</v>
      </c>
    </row>
    <row r="6072" spans="1:12">
      <c r="A6072" s="3" t="s">
        <v>6046</v>
      </c>
      <c r="B6072" s="3" t="s">
        <v>6266</v>
      </c>
      <c r="C6072" s="3"/>
      <c r="D6072" s="3"/>
      <c r="E6072" s="2" t="str">
        <f>HYPERLINK("https://old.ukr-mobil.com/index.php?route=product&amp;product_id=10005813", "Перейти")</f>
        <v>Перейти</v>
      </c>
      <c r="F6072" s="2">
        <v>10005813</v>
      </c>
      <c r="G6072" s="4" t="s">
        <v>6270</v>
      </c>
      <c r="H6072" s="1">
        <v>81</v>
      </c>
      <c r="I6072" s="1">
        <v>10</v>
      </c>
      <c r="J6072" s="1">
        <v>7</v>
      </c>
      <c r="K6072" s="2">
        <v>22.0</v>
      </c>
    </row>
    <row r="6073" spans="1:12">
      <c r="A6073" s="3" t="s">
        <v>6046</v>
      </c>
      <c r="B6073" s="3" t="s">
        <v>6271</v>
      </c>
      <c r="C6073" s="3"/>
      <c r="D6073" s="3"/>
      <c r="E6073" s="2" t="str">
        <f>HYPERLINK("https://old.ukr-mobil.com/index.php?route=product&amp;product_id=10005885", "Перейти")</f>
        <v>Перейти</v>
      </c>
      <c r="F6073" s="2">
        <v>10005885</v>
      </c>
      <c r="G6073" s="4" t="s">
        <v>6272</v>
      </c>
      <c r="H6073" s="1">
        <v>0</v>
      </c>
      <c r="I6073" s="1">
        <v>1</v>
      </c>
      <c r="J6073" s="1">
        <v>0</v>
      </c>
      <c r="K6073" s="2">
        <v>2153.11</v>
      </c>
    </row>
    <row r="6074" spans="1:12">
      <c r="A6074" s="3" t="s">
        <v>6046</v>
      </c>
      <c r="B6074" s="3" t="s">
        <v>6273</v>
      </c>
      <c r="C6074" s="3"/>
      <c r="D6074" s="3"/>
      <c r="E6074" s="2" t="str">
        <f>HYPERLINK("https://old.ukr-mobil.com/index.php?route=product&amp;product_id=10005672", "Перейти")</f>
        <v>Перейти</v>
      </c>
      <c r="F6074" s="2">
        <v>10005672</v>
      </c>
      <c r="G6074" s="4" t="s">
        <v>6274</v>
      </c>
      <c r="H6074" s="1">
        <v>118</v>
      </c>
      <c r="I6074" s="1">
        <v>7</v>
      </c>
      <c r="J6074" s="1">
        <v>0</v>
      </c>
      <c r="K6074" s="2">
        <v>47.0</v>
      </c>
    </row>
    <row r="6075" spans="1:12">
      <c r="A6075" s="3" t="s">
        <v>6046</v>
      </c>
      <c r="B6075" s="3" t="s">
        <v>6273</v>
      </c>
      <c r="C6075" s="3"/>
      <c r="D6075" s="3"/>
      <c r="E6075" s="2" t="str">
        <f>HYPERLINK("https://old.ukr-mobil.com/index.php?route=product&amp;product_id=10005755", "Перейти")</f>
        <v>Перейти</v>
      </c>
      <c r="F6075" s="2">
        <v>10005755</v>
      </c>
      <c r="G6075" s="4" t="s">
        <v>6275</v>
      </c>
      <c r="H6075" s="1">
        <v>0</v>
      </c>
      <c r="I6075" s="1">
        <v>0</v>
      </c>
      <c r="J6075" s="1">
        <v>0</v>
      </c>
      <c r="K6075" s="2">
        <v>72.0</v>
      </c>
    </row>
    <row r="6076" spans="1:12">
      <c r="A6076" s="3" t="s">
        <v>6046</v>
      </c>
      <c r="B6076" s="3" t="s">
        <v>6273</v>
      </c>
      <c r="C6076" s="3"/>
      <c r="D6076" s="3"/>
      <c r="E6076" s="2" t="str">
        <f>HYPERLINK("https://old.ukr-mobil.com/index.php?route=product&amp;product_id=10005741", "Перейти")</f>
        <v>Перейти</v>
      </c>
      <c r="F6076" s="2">
        <v>10005741</v>
      </c>
      <c r="G6076" s="4" t="s">
        <v>6276</v>
      </c>
      <c r="H6076" s="1">
        <v>999</v>
      </c>
      <c r="I6076" s="1">
        <v>0</v>
      </c>
      <c r="J6076" s="1">
        <v>0</v>
      </c>
      <c r="K6076" s="2">
        <v>23.0</v>
      </c>
    </row>
    <row r="6077" spans="1:12">
      <c r="A6077" s="3" t="s">
        <v>6046</v>
      </c>
      <c r="B6077" s="3" t="s">
        <v>6273</v>
      </c>
      <c r="C6077" s="3"/>
      <c r="D6077" s="3"/>
      <c r="E6077" s="2" t="str">
        <f>HYPERLINK("https://old.ukr-mobil.com/index.php?route=product&amp;product_id=10005742", "Перейти")</f>
        <v>Перейти</v>
      </c>
      <c r="F6077" s="2">
        <v>10005742</v>
      </c>
      <c r="G6077" s="4" t="s">
        <v>6277</v>
      </c>
      <c r="H6077" s="1">
        <v>283</v>
      </c>
      <c r="I6077" s="1">
        <v>24</v>
      </c>
      <c r="J6077" s="1">
        <v>27</v>
      </c>
      <c r="K6077" s="2">
        <v>5.5</v>
      </c>
    </row>
    <row r="6078" spans="1:12">
      <c r="A6078" s="3" t="s">
        <v>3663</v>
      </c>
      <c r="B6078" s="3" t="s">
        <v>3749</v>
      </c>
      <c r="C6078" s="3" t="s">
        <v>54</v>
      </c>
      <c r="D6078" s="3"/>
      <c r="E6078" s="2" t="str">
        <f>HYPERLINK("https://old.ukr-mobil.com/zadnyaya_kryshka_iphone_11_dlya_zameny_bez_razborki_korpusa_red_10000476", "Перейти")</f>
        <v>Перейти</v>
      </c>
      <c r="F6078" s="2">
        <v>10000476</v>
      </c>
      <c r="G6078" s="4" t="s">
        <v>6278</v>
      </c>
      <c r="H6078" s="1">
        <v>0</v>
      </c>
      <c r="I6078" s="1">
        <v>0</v>
      </c>
      <c r="J6078" s="1">
        <v>0</v>
      </c>
      <c r="K6078" s="2">
        <v>3.0</v>
      </c>
    </row>
    <row r="6079" spans="1:12">
      <c r="A6079" s="3" t="s">
        <v>3663</v>
      </c>
      <c r="B6079" s="3" t="s">
        <v>3749</v>
      </c>
      <c r="C6079" s="3" t="s">
        <v>54</v>
      </c>
      <c r="D6079" s="3"/>
      <c r="E6079" s="2" t="str">
        <f>HYPERLINK("https://old.ukr-mobil.com/zadnyaya_kryshka_apple_iphone_12_pro_bolshoj_vyrez_pod_kameru_white_10001614", "Перейти")</f>
        <v>Перейти</v>
      </c>
      <c r="F6079" s="2">
        <v>10001614</v>
      </c>
      <c r="G6079" s="4" t="s">
        <v>6279</v>
      </c>
      <c r="H6079" s="1">
        <v>21</v>
      </c>
      <c r="I6079" s="1">
        <v>5</v>
      </c>
      <c r="J6079" s="1">
        <v>0</v>
      </c>
      <c r="K6079" s="2">
        <v>9.0</v>
      </c>
    </row>
    <row r="6080" spans="1:12">
      <c r="A6080" s="3" t="s">
        <v>3663</v>
      </c>
      <c r="B6080" s="3" t="s">
        <v>3749</v>
      </c>
      <c r="C6080" s="3" t="s">
        <v>54</v>
      </c>
      <c r="D6080" s="3"/>
      <c r="E6080" s="2" t="str">
        <f>HYPERLINK("https://old.ukr-mobil.com/zadnyaya_kryshka_apple_iphone_12_bolshoj_vyrez_pod_kameru_red_10001607", "Перейти")</f>
        <v>Перейти</v>
      </c>
      <c r="F6080" s="2">
        <v>10001607</v>
      </c>
      <c r="G6080" s="4" t="s">
        <v>6280</v>
      </c>
      <c r="H6080" s="1">
        <v>22</v>
      </c>
      <c r="I6080" s="1">
        <v>7</v>
      </c>
      <c r="J6080" s="1">
        <v>0</v>
      </c>
      <c r="K6080" s="2">
        <v>4.0</v>
      </c>
    </row>
    <row r="6081" spans="1:12">
      <c r="A6081" s="3" t="s">
        <v>3663</v>
      </c>
      <c r="B6081" s="3" t="s">
        <v>3749</v>
      </c>
      <c r="C6081" s="3" t="s">
        <v>54</v>
      </c>
      <c r="D6081" s="3"/>
      <c r="E6081" s="2" t="str">
        <f>HYPERLINK("https://old.ukr-mobil.com/zadnyaya_kryshka_apple_iphone_13_pro_max_bolshoj_vyrez_pod_kameru_silver_10002123", "Перейти")</f>
        <v>Перейти</v>
      </c>
      <c r="F6081" s="2">
        <v>10002123</v>
      </c>
      <c r="G6081" s="4" t="s">
        <v>6281</v>
      </c>
      <c r="H6081" s="1">
        <v>0</v>
      </c>
      <c r="I6081" s="1">
        <v>0</v>
      </c>
      <c r="J6081" s="1">
        <v>0</v>
      </c>
      <c r="K6081" s="2">
        <v>9.5</v>
      </c>
    </row>
    <row r="6082" spans="1:12">
      <c r="A6082" s="3" t="s">
        <v>3663</v>
      </c>
      <c r="B6082" s="3" t="s">
        <v>3749</v>
      </c>
      <c r="C6082" s="3" t="s">
        <v>54</v>
      </c>
      <c r="D6082" s="3"/>
      <c r="E6082" s="2" t="str">
        <f>HYPERLINK("https://old.ukr-mobil.com/zadnyaya_kryshka_apple_iphone_13_pro_max_bolshoj_vyrez_pod_kameru_original_graphite_10002955", "Перейти")</f>
        <v>Перейти</v>
      </c>
      <c r="F6082" s="2">
        <v>10002955</v>
      </c>
      <c r="G6082" s="4" t="s">
        <v>6282</v>
      </c>
      <c r="H6082" s="1">
        <v>38</v>
      </c>
      <c r="I6082" s="1">
        <v>7</v>
      </c>
      <c r="J6082" s="1">
        <v>0</v>
      </c>
      <c r="K6082" s="2">
        <v>13.0</v>
      </c>
    </row>
    <row r="6083" spans="1:12">
      <c r="A6083" s="3" t="s">
        <v>3663</v>
      </c>
      <c r="B6083" s="3" t="s">
        <v>3749</v>
      </c>
      <c r="C6083" s="3" t="s">
        <v>54</v>
      </c>
      <c r="D6083" s="3"/>
      <c r="E6083" s="2" t="str">
        <f>HYPERLINK("https://old.ukr-mobil.com/zadnyaya_kryshka_apple_iphone_13_pro_bolshoj_vyrez_pod_kameru_blue_10002194", "Перейти")</f>
        <v>Перейти</v>
      </c>
      <c r="F6083" s="2">
        <v>10002194</v>
      </c>
      <c r="G6083" s="4" t="s">
        <v>6283</v>
      </c>
      <c r="H6083" s="1">
        <v>0</v>
      </c>
      <c r="I6083" s="1">
        <v>0</v>
      </c>
      <c r="J6083" s="1">
        <v>0</v>
      </c>
      <c r="K6083" s="2">
        <v>6.0</v>
      </c>
    </row>
    <row r="6084" spans="1:12">
      <c r="A6084" s="3" t="s">
        <v>3663</v>
      </c>
      <c r="B6084" s="3" t="s">
        <v>3749</v>
      </c>
      <c r="C6084" s="3" t="s">
        <v>54</v>
      </c>
      <c r="D6084" s="3"/>
      <c r="E6084" s="2" t="str">
        <f>HYPERLINK("https://old.ukr-mobil.com/zadnyaya_kryshka_apple_iphone_13_pro_bolshoj_vyrez_pod_kameru_silver_10002196", "Перейти")</f>
        <v>Перейти</v>
      </c>
      <c r="F6084" s="2">
        <v>10002196</v>
      </c>
      <c r="G6084" s="4" t="s">
        <v>6284</v>
      </c>
      <c r="H6084" s="1">
        <v>0</v>
      </c>
      <c r="I6084" s="1">
        <v>0</v>
      </c>
      <c r="J6084" s="1">
        <v>0</v>
      </c>
      <c r="K6084" s="2">
        <v>8.5</v>
      </c>
    </row>
    <row r="6085" spans="1:12">
      <c r="A6085" s="3" t="s">
        <v>3663</v>
      </c>
      <c r="B6085" s="3" t="s">
        <v>3749</v>
      </c>
      <c r="C6085" s="3" t="s">
        <v>54</v>
      </c>
      <c r="D6085" s="3"/>
      <c r="E6085" s="2" t="str">
        <f>HYPERLINK("https://old.ukr-mobil.com/zadnyaya_kryshka_apple_iphone_14_plus_bolshoj_vyrez_pod_kameru_original_blue_10003065", "Перейти")</f>
        <v>Перейти</v>
      </c>
      <c r="F6085" s="2">
        <v>10003065</v>
      </c>
      <c r="G6085" s="4" t="s">
        <v>6285</v>
      </c>
      <c r="H6085" s="1">
        <v>8</v>
      </c>
      <c r="I6085" s="1">
        <v>5</v>
      </c>
      <c r="J6085" s="1">
        <v>5</v>
      </c>
      <c r="K6085" s="2">
        <v>12.0</v>
      </c>
    </row>
    <row r="6086" spans="1:12">
      <c r="A6086" s="3" t="s">
        <v>3663</v>
      </c>
      <c r="B6086" s="3" t="s">
        <v>3749</v>
      </c>
      <c r="C6086" s="3" t="s">
        <v>54</v>
      </c>
      <c r="D6086" s="3"/>
      <c r="E6086" s="2" t="str">
        <f>HYPERLINK("https://old.ukr-mobil.com/zadnyaya_kryshka_apple_iphone_14_plus_bolshoj_vyrez_pod_kameru_original_midnight_10003066", "Перейти")</f>
        <v>Перейти</v>
      </c>
      <c r="F6086" s="2">
        <v>10003066</v>
      </c>
      <c r="G6086" s="4" t="s">
        <v>6286</v>
      </c>
      <c r="H6086" s="1">
        <v>9</v>
      </c>
      <c r="I6086" s="1">
        <v>5</v>
      </c>
      <c r="J6086" s="1">
        <v>4</v>
      </c>
      <c r="K6086" s="2">
        <v>12.0</v>
      </c>
    </row>
    <row r="6087" spans="1:12">
      <c r="A6087" s="3" t="s">
        <v>3663</v>
      </c>
      <c r="B6087" s="3" t="s">
        <v>3749</v>
      </c>
      <c r="C6087" s="3" t="s">
        <v>54</v>
      </c>
      <c r="D6087" s="3"/>
      <c r="E6087" s="2" t="str">
        <f>HYPERLINK("https://old.ukr-mobil.com/zadnyaya_kryshka_apple_iphone_14_plus_bolshoj_vyrez_pod_kameru_original_purple_10003067", "Перейти")</f>
        <v>Перейти</v>
      </c>
      <c r="F6087" s="2">
        <v>10003067</v>
      </c>
      <c r="G6087" s="4" t="s">
        <v>6287</v>
      </c>
      <c r="H6087" s="1">
        <v>10</v>
      </c>
      <c r="I6087" s="1">
        <v>5</v>
      </c>
      <c r="J6087" s="1">
        <v>5</v>
      </c>
      <c r="K6087" s="2">
        <v>12.0</v>
      </c>
    </row>
    <row r="6088" spans="1:12">
      <c r="A6088" s="3" t="s">
        <v>3663</v>
      </c>
      <c r="B6088" s="3" t="s">
        <v>3749</v>
      </c>
      <c r="C6088" s="3" t="s">
        <v>54</v>
      </c>
      <c r="D6088" s="3"/>
      <c r="E6088" s="2" t="str">
        <f>HYPERLINK("https://old.ukr-mobil.com/zadnyaya_kryshka_apple_iphone_14_plus_bolshoj_vyrez_pod_kameru_original_red_10003068", "Перейти")</f>
        <v>Перейти</v>
      </c>
      <c r="F6088" s="2">
        <v>10003068</v>
      </c>
      <c r="G6088" s="4" t="s">
        <v>6288</v>
      </c>
      <c r="H6088" s="1">
        <v>10</v>
      </c>
      <c r="I6088" s="1">
        <v>5</v>
      </c>
      <c r="J6088" s="1">
        <v>5</v>
      </c>
      <c r="K6088" s="2">
        <v>12.0</v>
      </c>
    </row>
    <row r="6089" spans="1:12">
      <c r="A6089" s="3" t="s">
        <v>3663</v>
      </c>
      <c r="B6089" s="3" t="s">
        <v>3749</v>
      </c>
      <c r="C6089" s="3" t="s">
        <v>54</v>
      </c>
      <c r="D6089" s="3"/>
      <c r="E6089" s="2" t="str">
        <f>HYPERLINK("https://old.ukr-mobil.com/zadnyaya_kryshka_apple_iphone_14_plus_bolshoj_vyrez_pod_kameru_original_starlight_10003069", "Перейти")</f>
        <v>Перейти</v>
      </c>
      <c r="F6089" s="2">
        <v>10003069</v>
      </c>
      <c r="G6089" s="4" t="s">
        <v>6289</v>
      </c>
      <c r="H6089" s="1">
        <v>10</v>
      </c>
      <c r="I6089" s="1">
        <v>5</v>
      </c>
      <c r="J6089" s="1">
        <v>5</v>
      </c>
      <c r="K6089" s="2">
        <v>12.0</v>
      </c>
    </row>
    <row r="6090" spans="1:12">
      <c r="A6090" s="3" t="s">
        <v>3663</v>
      </c>
      <c r="B6090" s="3" t="s">
        <v>3749</v>
      </c>
      <c r="C6090" s="3" t="s">
        <v>54</v>
      </c>
      <c r="D6090" s="3"/>
      <c r="E6090" s="2" t="str">
        <f>HYPERLINK("https://old.ukr-mobil.com/zadnyaya_kryshka_apple_iphone_14_pro_max_bolshoj_vyrez_pod_kameru_original_gold_10003074", "Перейти")</f>
        <v>Перейти</v>
      </c>
      <c r="F6090" s="2">
        <v>10003074</v>
      </c>
      <c r="G6090" s="4" t="s">
        <v>6290</v>
      </c>
      <c r="H6090" s="1">
        <v>40</v>
      </c>
      <c r="I6090" s="1">
        <v>10</v>
      </c>
      <c r="J6090" s="1">
        <v>0</v>
      </c>
      <c r="K6090" s="2">
        <v>15.0</v>
      </c>
    </row>
    <row r="6091" spans="1:12">
      <c r="A6091" s="3" t="s">
        <v>3663</v>
      </c>
      <c r="B6091" s="3" t="s">
        <v>3749</v>
      </c>
      <c r="C6091" s="3" t="s">
        <v>54</v>
      </c>
      <c r="D6091" s="3"/>
      <c r="E6091" s="2" t="str">
        <f>HYPERLINK("https://old.ukr-mobil.com/zadnyaya_kryshka_apple_iphone_14_pro_max_bolshoj_vyrez_pod_kameru_original_space_black_10003075", "Перейти")</f>
        <v>Перейти</v>
      </c>
      <c r="F6091" s="2">
        <v>10003075</v>
      </c>
      <c r="G6091" s="4" t="s">
        <v>6291</v>
      </c>
      <c r="H6091" s="1">
        <v>39</v>
      </c>
      <c r="I6091" s="1">
        <v>5</v>
      </c>
      <c r="J6091" s="1">
        <v>0</v>
      </c>
      <c r="K6091" s="2">
        <v>15.0</v>
      </c>
    </row>
    <row r="6092" spans="1:12">
      <c r="A6092" s="3" t="s">
        <v>3663</v>
      </c>
      <c r="B6092" s="3" t="s">
        <v>3749</v>
      </c>
      <c r="C6092" s="3" t="s">
        <v>54</v>
      </c>
      <c r="D6092" s="3"/>
      <c r="E6092" s="2" t="str">
        <f>HYPERLINK("https://old.ukr-mobil.com/zadnyaya_kryshka_apple_iphone_14_pro_max_bolshoj_vyrez_pod_kameru_original_silver_10003076", "Перейти")</f>
        <v>Перейти</v>
      </c>
      <c r="F6092" s="2">
        <v>10003076</v>
      </c>
      <c r="G6092" s="4" t="s">
        <v>6292</v>
      </c>
      <c r="H6092" s="1">
        <v>0</v>
      </c>
      <c r="I6092" s="1">
        <v>0</v>
      </c>
      <c r="J6092" s="1">
        <v>1</v>
      </c>
      <c r="K6092" s="2">
        <v>15.0</v>
      </c>
    </row>
    <row r="6093" spans="1:12">
      <c r="A6093" s="3" t="s">
        <v>3663</v>
      </c>
      <c r="B6093" s="3" t="s">
        <v>3749</v>
      </c>
      <c r="C6093" s="3" t="s">
        <v>54</v>
      </c>
      <c r="D6093" s="3"/>
      <c r="E6093" s="2" t="str">
        <f>HYPERLINK("https://old.ukr-mobil.com/zadnyaya_kryshka_apple_iphone_14_pro_bolshoj_vyrez_pod_kameru_original_gold_10003071", "Перейти")</f>
        <v>Перейти</v>
      </c>
      <c r="F6093" s="2">
        <v>10003071</v>
      </c>
      <c r="G6093" s="4" t="s">
        <v>6293</v>
      </c>
      <c r="H6093" s="1">
        <v>6</v>
      </c>
      <c r="I6093" s="1">
        <v>1</v>
      </c>
      <c r="J6093" s="1">
        <v>4</v>
      </c>
      <c r="K6093" s="2">
        <v>15.0</v>
      </c>
    </row>
    <row r="6094" spans="1:12">
      <c r="A6094" s="3" t="s">
        <v>3663</v>
      </c>
      <c r="B6094" s="3" t="s">
        <v>3749</v>
      </c>
      <c r="C6094" s="3" t="s">
        <v>54</v>
      </c>
      <c r="D6094" s="3"/>
      <c r="E6094" s="2" t="str">
        <f>HYPERLINK("https://old.ukr-mobil.com/zadnyaya_kryshka_apple_iphone_14_pro_bolshoj_vyrez_pod_kameru_original_space_black_10003070", "Перейти")</f>
        <v>Перейти</v>
      </c>
      <c r="F6094" s="2">
        <v>10003070</v>
      </c>
      <c r="G6094" s="4" t="s">
        <v>6294</v>
      </c>
      <c r="H6094" s="1">
        <v>40</v>
      </c>
      <c r="I6094" s="1">
        <v>10</v>
      </c>
      <c r="J6094" s="1">
        <v>0</v>
      </c>
      <c r="K6094" s="2">
        <v>15.0</v>
      </c>
    </row>
    <row r="6095" spans="1:12">
      <c r="A6095" s="3" t="s">
        <v>3663</v>
      </c>
      <c r="B6095" s="3" t="s">
        <v>3749</v>
      </c>
      <c r="C6095" s="3" t="s">
        <v>54</v>
      </c>
      <c r="D6095" s="3"/>
      <c r="E6095" s="2" t="str">
        <f>HYPERLINK("https://old.ukr-mobil.com/zadnyaya_kryshka_apple_iphone_14_pro_bolshoj_vyrez_pod_kameru_original_silver_10003072", "Перейти")</f>
        <v>Перейти</v>
      </c>
      <c r="F6095" s="2">
        <v>10003072</v>
      </c>
      <c r="G6095" s="4" t="s">
        <v>6295</v>
      </c>
      <c r="H6095" s="1">
        <v>2</v>
      </c>
      <c r="I6095" s="1">
        <v>0</v>
      </c>
      <c r="J6095" s="1">
        <v>3</v>
      </c>
      <c r="K6095" s="2">
        <v>15.0</v>
      </c>
    </row>
    <row r="6096" spans="1:12">
      <c r="A6096" s="3" t="s">
        <v>3663</v>
      </c>
      <c r="B6096" s="3" t="s">
        <v>3749</v>
      </c>
      <c r="C6096" s="3" t="s">
        <v>54</v>
      </c>
      <c r="D6096" s="3"/>
      <c r="E6096" s="2" t="str">
        <f>HYPERLINK("https://old.ukr-mobil.com/zadnyaya_kryshka_apple_iphone_14_bolshoj_vyrez_pod_kameru_original_blue_10003061", "Перейти")</f>
        <v>Перейти</v>
      </c>
      <c r="F6096" s="2">
        <v>10003061</v>
      </c>
      <c r="G6096" s="4" t="s">
        <v>6296</v>
      </c>
      <c r="H6096" s="1">
        <v>10</v>
      </c>
      <c r="I6096" s="1">
        <v>4</v>
      </c>
      <c r="J6096" s="1">
        <v>4</v>
      </c>
      <c r="K6096" s="2">
        <v>13.0</v>
      </c>
    </row>
    <row r="6097" spans="1:12">
      <c r="A6097" s="3" t="s">
        <v>3663</v>
      </c>
      <c r="B6097" s="3" t="s">
        <v>3749</v>
      </c>
      <c r="C6097" s="3" t="s">
        <v>54</v>
      </c>
      <c r="D6097" s="3"/>
      <c r="E6097" s="2" t="str">
        <f>HYPERLINK("https://old.ukr-mobil.com/zadnyaya_kryshka_apple_iphone_14_bolshoj_vyrez_pod_kameru_original_midnight_10003060", "Перейти")</f>
        <v>Перейти</v>
      </c>
      <c r="F6097" s="2">
        <v>10003060</v>
      </c>
      <c r="G6097" s="4" t="s">
        <v>6297</v>
      </c>
      <c r="H6097" s="1">
        <v>12</v>
      </c>
      <c r="I6097" s="1">
        <v>4</v>
      </c>
      <c r="J6097" s="1">
        <v>3</v>
      </c>
      <c r="K6097" s="2">
        <v>13.0</v>
      </c>
    </row>
    <row r="6098" spans="1:12">
      <c r="A6098" s="3" t="s">
        <v>3663</v>
      </c>
      <c r="B6098" s="3" t="s">
        <v>3749</v>
      </c>
      <c r="C6098" s="3" t="s">
        <v>54</v>
      </c>
      <c r="D6098" s="3"/>
      <c r="E6098" s="2" t="str">
        <f>HYPERLINK("https://old.ukr-mobil.com/zadnyaya_kryshka_apple_iphone_14_bolshoj_vyrez_pod_kameru_original_purple_10003062", "Перейти")</f>
        <v>Перейти</v>
      </c>
      <c r="F6098" s="2">
        <v>10003062</v>
      </c>
      <c r="G6098" s="4" t="s">
        <v>6298</v>
      </c>
      <c r="H6098" s="1">
        <v>12</v>
      </c>
      <c r="I6098" s="1">
        <v>4</v>
      </c>
      <c r="J6098" s="1">
        <v>4</v>
      </c>
      <c r="K6098" s="2">
        <v>13.0</v>
      </c>
    </row>
    <row r="6099" spans="1:12">
      <c r="A6099" s="3" t="s">
        <v>3663</v>
      </c>
      <c r="B6099" s="3" t="s">
        <v>3749</v>
      </c>
      <c r="C6099" s="3" t="s">
        <v>54</v>
      </c>
      <c r="D6099" s="3"/>
      <c r="E6099" s="2" t="str">
        <f>HYPERLINK("https://old.ukr-mobil.com/zadnyaya_kryshka_apple_iphone_14_bolshoj_vyrez_pod_kameru_original_red_10003063", "Перейти")</f>
        <v>Перейти</v>
      </c>
      <c r="F6099" s="2">
        <v>10003063</v>
      </c>
      <c r="G6099" s="4" t="s">
        <v>6299</v>
      </c>
      <c r="H6099" s="1">
        <v>12</v>
      </c>
      <c r="I6099" s="1">
        <v>4</v>
      </c>
      <c r="J6099" s="1">
        <v>4</v>
      </c>
      <c r="K6099" s="2">
        <v>13.0</v>
      </c>
    </row>
    <row r="6100" spans="1:12">
      <c r="A6100" s="3" t="s">
        <v>3663</v>
      </c>
      <c r="B6100" s="3" t="s">
        <v>3749</v>
      </c>
      <c r="C6100" s="3" t="s">
        <v>54</v>
      </c>
      <c r="D6100" s="3"/>
      <c r="E6100" s="2" t="str">
        <f>HYPERLINK("https://old.ukr-mobil.com/zadnyaya_kryshka_apple_iphone_14_bolshoj_vyrez_pod_kameru_original_starlight_10003064", "Перейти")</f>
        <v>Перейти</v>
      </c>
      <c r="F6100" s="2">
        <v>10003064</v>
      </c>
      <c r="G6100" s="4" t="s">
        <v>6300</v>
      </c>
      <c r="H6100" s="1">
        <v>12</v>
      </c>
      <c r="I6100" s="1">
        <v>4</v>
      </c>
      <c r="J6100" s="1">
        <v>4</v>
      </c>
      <c r="K6100" s="2">
        <v>13.0</v>
      </c>
    </row>
    <row r="6101" spans="1:12">
      <c r="A6101" s="3" t="s">
        <v>3663</v>
      </c>
      <c r="B6101" s="3" t="s">
        <v>3749</v>
      </c>
      <c r="C6101" s="3" t="s">
        <v>54</v>
      </c>
      <c r="D6101" s="3"/>
      <c r="E6101" s="2" t="str">
        <f>HYPERLINK("https://old.ukr-mobil.com/korpus_apple_iphone_11_pro_max_v_sbore_original_prc_green_midnight_10001286", "Перейти")</f>
        <v>Перейти</v>
      </c>
      <c r="F6101" s="2">
        <v>10001286</v>
      </c>
      <c r="G6101" s="4" t="s">
        <v>6301</v>
      </c>
      <c r="H6101" s="1">
        <v>1</v>
      </c>
      <c r="I6101" s="1">
        <v>1</v>
      </c>
      <c r="J6101" s="1">
        <v>0</v>
      </c>
      <c r="K6101" s="2">
        <v>35.0</v>
      </c>
    </row>
    <row r="6102" spans="1:12">
      <c r="A6102" s="3" t="s">
        <v>3663</v>
      </c>
      <c r="B6102" s="3" t="s">
        <v>3749</v>
      </c>
      <c r="C6102" s="3" t="s">
        <v>54</v>
      </c>
      <c r="D6102" s="3"/>
      <c r="E6102" s="2" t="str">
        <f>HYPERLINK("https://old.ukr-mobil.com/korpus_apple_iphone_11_pro_max_v_sbore_original_prc_space_gray_10001285", "Перейти")</f>
        <v>Перейти</v>
      </c>
      <c r="F6102" s="2">
        <v>10001285</v>
      </c>
      <c r="G6102" s="4" t="s">
        <v>6302</v>
      </c>
      <c r="H6102" s="1">
        <v>1</v>
      </c>
      <c r="I6102" s="1">
        <v>0</v>
      </c>
      <c r="J6102" s="1">
        <v>0</v>
      </c>
      <c r="K6102" s="2">
        <v>35.0</v>
      </c>
    </row>
    <row r="6103" spans="1:12">
      <c r="A6103" s="3" t="s">
        <v>3663</v>
      </c>
      <c r="B6103" s="3" t="s">
        <v>3749</v>
      </c>
      <c r="C6103" s="3" t="s">
        <v>54</v>
      </c>
      <c r="D6103" s="3"/>
      <c r="E6103" s="2" t="str">
        <f>HYPERLINK("https://old.ukr-mobil.com/korpus_apple_iphone_11_pro_max_v_sbore_original_prc_silver_10001287", "Перейти")</f>
        <v>Перейти</v>
      </c>
      <c r="F6103" s="2">
        <v>10001287</v>
      </c>
      <c r="G6103" s="4" t="s">
        <v>6303</v>
      </c>
      <c r="H6103" s="1">
        <v>3</v>
      </c>
      <c r="I6103" s="1">
        <v>1</v>
      </c>
      <c r="J6103" s="1">
        <v>1</v>
      </c>
      <c r="K6103" s="2">
        <v>35.0</v>
      </c>
    </row>
    <row r="6104" spans="1:12">
      <c r="A6104" s="3" t="s">
        <v>3663</v>
      </c>
      <c r="B6104" s="3" t="s">
        <v>3749</v>
      </c>
      <c r="C6104" s="3" t="s">
        <v>54</v>
      </c>
      <c r="D6104" s="3"/>
      <c r="E6104" s="2" t="str">
        <f>HYPERLINK("https://old.ukr-mobil.com/korpus_apple_iphone_11_pro_v_sbore_original_prc_green_midnight_10001290", "Перейти")</f>
        <v>Перейти</v>
      </c>
      <c r="F6104" s="2">
        <v>10001290</v>
      </c>
      <c r="G6104" s="4" t="s">
        <v>6304</v>
      </c>
      <c r="H6104" s="1">
        <v>1</v>
      </c>
      <c r="I6104" s="1">
        <v>2</v>
      </c>
      <c r="J6104" s="1">
        <v>0</v>
      </c>
      <c r="K6104" s="2">
        <v>35.0</v>
      </c>
    </row>
    <row r="6105" spans="1:12">
      <c r="A6105" s="3" t="s">
        <v>3663</v>
      </c>
      <c r="B6105" s="3" t="s">
        <v>3749</v>
      </c>
      <c r="C6105" s="3" t="s">
        <v>54</v>
      </c>
      <c r="D6105" s="3"/>
      <c r="E6105" s="2" t="str">
        <f>HYPERLINK("https://old.ukr-mobil.com/korpus_apple_iphone_11_pro_v_sbore_original_prc_space_gray_10001288", "Перейти")</f>
        <v>Перейти</v>
      </c>
      <c r="F6105" s="2">
        <v>10001288</v>
      </c>
      <c r="G6105" s="4" t="s">
        <v>6305</v>
      </c>
      <c r="H6105" s="1">
        <v>0</v>
      </c>
      <c r="I6105" s="1">
        <v>0</v>
      </c>
      <c r="J6105" s="1">
        <v>0</v>
      </c>
      <c r="K6105" s="2">
        <v>35.0</v>
      </c>
    </row>
    <row r="6106" spans="1:12">
      <c r="A6106" s="3" t="s">
        <v>3663</v>
      </c>
      <c r="B6106" s="3" t="s">
        <v>3749</v>
      </c>
      <c r="C6106" s="3" t="s">
        <v>54</v>
      </c>
      <c r="D6106" s="3"/>
      <c r="E6106" s="2" t="str">
        <f>HYPERLINK("https://old.ukr-mobil.com/korpus_apple_iphone_11_v_sbore_original_prc_black_10001291", "Перейти")</f>
        <v>Перейти</v>
      </c>
      <c r="F6106" s="2">
        <v>10001291</v>
      </c>
      <c r="G6106" s="4" t="s">
        <v>6306</v>
      </c>
      <c r="H6106" s="1">
        <v>0</v>
      </c>
      <c r="I6106" s="1">
        <v>0</v>
      </c>
      <c r="J6106" s="1">
        <v>0</v>
      </c>
      <c r="K6106" s="2">
        <v>21.0</v>
      </c>
    </row>
    <row r="6107" spans="1:12">
      <c r="A6107" s="3" t="s">
        <v>3663</v>
      </c>
      <c r="B6107" s="3" t="s">
        <v>3749</v>
      </c>
      <c r="C6107" s="3" t="s">
        <v>54</v>
      </c>
      <c r="D6107" s="3"/>
      <c r="E6107" s="2" t="str">
        <f>HYPERLINK("https://old.ukr-mobil.com/korpus_apple_iphone_11_v_sbore_original_prc_purple_10001293", "Перейти")</f>
        <v>Перейти</v>
      </c>
      <c r="F6107" s="2">
        <v>10001293</v>
      </c>
      <c r="G6107" s="4" t="s">
        <v>6307</v>
      </c>
      <c r="H6107" s="1">
        <v>2</v>
      </c>
      <c r="I6107" s="1">
        <v>3</v>
      </c>
      <c r="J6107" s="1">
        <v>1</v>
      </c>
      <c r="K6107" s="2">
        <v>21.0</v>
      </c>
    </row>
    <row r="6108" spans="1:12">
      <c r="A6108" s="3" t="s">
        <v>3663</v>
      </c>
      <c r="B6108" s="3" t="s">
        <v>3749</v>
      </c>
      <c r="C6108" s="3" t="s">
        <v>54</v>
      </c>
      <c r="D6108" s="3"/>
      <c r="E6108" s="2" t="str">
        <f>HYPERLINK("https://old.ukr-mobil.com/korpus_apple_iphone_11_v_sbore_original_prc_white_10001292", "Перейти")</f>
        <v>Перейти</v>
      </c>
      <c r="F6108" s="2">
        <v>10001292</v>
      </c>
      <c r="G6108" s="4" t="s">
        <v>6308</v>
      </c>
      <c r="H6108" s="1">
        <v>0</v>
      </c>
      <c r="I6108" s="1">
        <v>0</v>
      </c>
      <c r="J6108" s="1">
        <v>0</v>
      </c>
      <c r="K6108" s="2">
        <v>21.0</v>
      </c>
    </row>
    <row r="6109" spans="1:12">
      <c r="A6109" s="3" t="s">
        <v>3663</v>
      </c>
      <c r="B6109" s="3" t="s">
        <v>3749</v>
      </c>
      <c r="C6109" s="3" t="s">
        <v>54</v>
      </c>
      <c r="D6109" s="3"/>
      <c r="E6109" s="2" t="str">
        <f>HYPERLINK("https://old.ukr-mobil.com/korpus_iphone_6_plus_original_prc_gold_6715", "Перейти")</f>
        <v>Перейти</v>
      </c>
      <c r="F6109" s="2">
        <v>6715</v>
      </c>
      <c r="G6109" s="4" t="s">
        <v>6309</v>
      </c>
      <c r="H6109" s="1">
        <v>4</v>
      </c>
      <c r="I6109" s="1">
        <v>0</v>
      </c>
      <c r="J6109" s="1">
        <v>0</v>
      </c>
      <c r="K6109" s="2">
        <v>12.0</v>
      </c>
    </row>
    <row r="6110" spans="1:12">
      <c r="A6110" s="3" t="s">
        <v>3663</v>
      </c>
      <c r="B6110" s="3" t="s">
        <v>3749</v>
      </c>
      <c r="C6110" s="3" t="s">
        <v>54</v>
      </c>
      <c r="D6110" s="3"/>
      <c r="E6110" s="2" t="str">
        <f>HYPERLINK("https://old.ukr-mobil.com/korpus_iphone_6_plus_original_prc_silver_6716", "Перейти")</f>
        <v>Перейти</v>
      </c>
      <c r="F6110" s="2">
        <v>6716</v>
      </c>
      <c r="G6110" s="4" t="s">
        <v>6310</v>
      </c>
      <c r="H6110" s="1">
        <v>3</v>
      </c>
      <c r="I6110" s="1">
        <v>1</v>
      </c>
      <c r="J6110" s="1">
        <v>0</v>
      </c>
      <c r="K6110" s="2">
        <v>12.0</v>
      </c>
    </row>
    <row r="6111" spans="1:12">
      <c r="A6111" s="3" t="s">
        <v>3663</v>
      </c>
      <c r="B6111" s="3" t="s">
        <v>3749</v>
      </c>
      <c r="C6111" s="3" t="s">
        <v>54</v>
      </c>
      <c r="D6111" s="3"/>
      <c r="E6111" s="2" t="str">
        <f>HYPERLINK("https://old.ukr-mobil.com/korpus_iphone_6_original_prc_gold_5501", "Перейти")</f>
        <v>Перейти</v>
      </c>
      <c r="F6111" s="2">
        <v>5501</v>
      </c>
      <c r="G6111" s="4" t="s">
        <v>6311</v>
      </c>
      <c r="H6111" s="1">
        <v>1</v>
      </c>
      <c r="I6111" s="1">
        <v>3</v>
      </c>
      <c r="J6111" s="1">
        <v>1</v>
      </c>
      <c r="K6111" s="2">
        <v>14.11</v>
      </c>
    </row>
    <row r="6112" spans="1:12">
      <c r="A6112" s="3" t="s">
        <v>3663</v>
      </c>
      <c r="B6112" s="3" t="s">
        <v>3749</v>
      </c>
      <c r="C6112" s="3" t="s">
        <v>54</v>
      </c>
      <c r="D6112" s="3"/>
      <c r="E6112" s="2" t="str">
        <f>HYPERLINK("https://old.ukr-mobil.com/korpus_iphone_6s_gold_6713", "Перейти")</f>
        <v>Перейти</v>
      </c>
      <c r="F6112" s="2">
        <v>6713</v>
      </c>
      <c r="G6112" s="4" t="s">
        <v>6312</v>
      </c>
      <c r="H6112" s="1">
        <v>1</v>
      </c>
      <c r="I6112" s="1">
        <v>0</v>
      </c>
      <c r="J6112" s="1">
        <v>0</v>
      </c>
      <c r="K6112" s="2">
        <v>10.08</v>
      </c>
    </row>
    <row r="6113" spans="1:12">
      <c r="A6113" s="3" t="s">
        <v>3663</v>
      </c>
      <c r="B6113" s="3" t="s">
        <v>3749</v>
      </c>
      <c r="C6113" s="3" t="s">
        <v>952</v>
      </c>
      <c r="D6113" s="3"/>
      <c r="E6113" s="2" t="str">
        <f>HYPERLINK("https://old.ukr-mobil.com/zadnyaya_kryshka_google_pixel_6_pro_original_stormy_black_10003331", "Перейти")</f>
        <v>Перейти</v>
      </c>
      <c r="F6113" s="2">
        <v>10003331</v>
      </c>
      <c r="G6113" s="4" t="s">
        <v>6313</v>
      </c>
      <c r="H6113" s="1">
        <v>4</v>
      </c>
      <c r="I6113" s="1">
        <v>7</v>
      </c>
      <c r="J6113" s="1">
        <v>8</v>
      </c>
      <c r="K6113" s="2">
        <v>9.5</v>
      </c>
    </row>
    <row r="6114" spans="1:12">
      <c r="A6114" s="3" t="s">
        <v>3663</v>
      </c>
      <c r="B6114" s="3" t="s">
        <v>3749</v>
      </c>
      <c r="C6114" s="3" t="s">
        <v>952</v>
      </c>
      <c r="D6114" s="3"/>
      <c r="E6114" s="2" t="str">
        <f>HYPERLINK("https://old.ukr-mobil.com/zadnyaya_kryshka_google_pixel_6_original_kinda_coral_pink_10003329", "Перейти")</f>
        <v>Перейти</v>
      </c>
      <c r="F6114" s="2">
        <v>10003329</v>
      </c>
      <c r="G6114" s="4" t="s">
        <v>6314</v>
      </c>
      <c r="H6114" s="1">
        <v>2</v>
      </c>
      <c r="I6114" s="1">
        <v>2</v>
      </c>
      <c r="J6114" s="1">
        <v>3</v>
      </c>
      <c r="K6114" s="2">
        <v>12.85</v>
      </c>
    </row>
    <row r="6115" spans="1:12">
      <c r="A6115" s="3" t="s">
        <v>3663</v>
      </c>
      <c r="B6115" s="3" t="s">
        <v>3749</v>
      </c>
      <c r="C6115" s="3" t="s">
        <v>952</v>
      </c>
      <c r="D6115" s="3"/>
      <c r="E6115" s="2" t="str">
        <f>HYPERLINK("https://old.ukr-mobil.com/zadnyaya_kryshka_google_pixel_6_original_sorta_seafoam_green_10003330", "Перейти")</f>
        <v>Перейти</v>
      </c>
      <c r="F6115" s="2">
        <v>10003330</v>
      </c>
      <c r="G6115" s="4" t="s">
        <v>6315</v>
      </c>
      <c r="H6115" s="1">
        <v>0</v>
      </c>
      <c r="I6115" s="1">
        <v>0</v>
      </c>
      <c r="J6115" s="1">
        <v>2</v>
      </c>
      <c r="K6115" s="2">
        <v>13.0</v>
      </c>
    </row>
    <row r="6116" spans="1:12">
      <c r="A6116" s="3" t="s">
        <v>3663</v>
      </c>
      <c r="B6116" s="3" t="s">
        <v>3749</v>
      </c>
      <c r="C6116" s="3" t="s">
        <v>952</v>
      </c>
      <c r="D6116" s="3"/>
      <c r="E6116" s="2" t="str">
        <f>HYPERLINK("https://old.ukr-mobil.com/zadnyaya_kryshka_google_pixel_6a_original_chalk_white_10003328", "Перейти")</f>
        <v>Перейти</v>
      </c>
      <c r="F6116" s="2">
        <v>10003328</v>
      </c>
      <c r="G6116" s="4" t="s">
        <v>6316</v>
      </c>
      <c r="H6116" s="1">
        <v>4</v>
      </c>
      <c r="I6116" s="1">
        <v>3</v>
      </c>
      <c r="J6116" s="1">
        <v>3</v>
      </c>
      <c r="K6116" s="2">
        <v>26.0</v>
      </c>
    </row>
    <row r="6117" spans="1:12">
      <c r="A6117" s="3" t="s">
        <v>3663</v>
      </c>
      <c r="B6117" s="3" t="s">
        <v>3749</v>
      </c>
      <c r="C6117" s="3" t="s">
        <v>952</v>
      </c>
      <c r="D6117" s="3"/>
      <c r="E6117" s="2" t="str">
        <f>HYPERLINK("https://old.ukr-mobil.com/zadnyaya_kryshka_google_pixel_6a_original_charcoal_black_10003327", "Перейти")</f>
        <v>Перейти</v>
      </c>
      <c r="F6117" s="2">
        <v>10003327</v>
      </c>
      <c r="G6117" s="4" t="s">
        <v>6317</v>
      </c>
      <c r="H6117" s="1">
        <v>2</v>
      </c>
      <c r="I6117" s="1">
        <v>2</v>
      </c>
      <c r="J6117" s="1">
        <v>3</v>
      </c>
      <c r="K6117" s="2">
        <v>25.0</v>
      </c>
    </row>
    <row r="6118" spans="1:12">
      <c r="A6118" s="3" t="s">
        <v>3663</v>
      </c>
      <c r="B6118" s="3" t="s">
        <v>3749</v>
      </c>
      <c r="C6118" s="3" t="s">
        <v>952</v>
      </c>
      <c r="D6118" s="3"/>
      <c r="E6118" s="2" t="str">
        <f>HYPERLINK("https://old.ukr-mobil.com/zadnyaya_kryshka_google_pixel_6a_original_sage_green_10003326", "Перейти")</f>
        <v>Перейти</v>
      </c>
      <c r="F6118" s="2">
        <v>10003326</v>
      </c>
      <c r="G6118" s="4" t="s">
        <v>6318</v>
      </c>
      <c r="H6118" s="1">
        <v>4</v>
      </c>
      <c r="I6118" s="1">
        <v>3</v>
      </c>
      <c r="J6118" s="1">
        <v>3</v>
      </c>
      <c r="K6118" s="2">
        <v>25.0</v>
      </c>
    </row>
    <row r="6119" spans="1:12">
      <c r="A6119" s="3" t="s">
        <v>3663</v>
      </c>
      <c r="B6119" s="3" t="s">
        <v>3749</v>
      </c>
      <c r="C6119" s="3" t="s">
        <v>952</v>
      </c>
      <c r="D6119" s="3"/>
      <c r="E6119" s="2" t="str">
        <f>HYPERLINK("https://old.ukr-mobil.com/zadnyaya_kryshka_google_pixel_7_pro_original_obsidian_black_10003333", "Перейти")</f>
        <v>Перейти</v>
      </c>
      <c r="F6119" s="2">
        <v>10003333</v>
      </c>
      <c r="G6119" s="4" t="s">
        <v>6319</v>
      </c>
      <c r="H6119" s="1">
        <v>2</v>
      </c>
      <c r="I6119" s="1">
        <v>1</v>
      </c>
      <c r="J6119" s="1">
        <v>2</v>
      </c>
      <c r="K6119" s="2">
        <v>18.0</v>
      </c>
    </row>
    <row r="6120" spans="1:12">
      <c r="A6120" s="3" t="s">
        <v>3663</v>
      </c>
      <c r="B6120" s="3" t="s">
        <v>3749</v>
      </c>
      <c r="C6120" s="3" t="s">
        <v>952</v>
      </c>
      <c r="D6120" s="3"/>
      <c r="E6120" s="2" t="str">
        <f>HYPERLINK("https://old.ukr-mobil.com/zadnyaya_kryshka_google_pixel_7_original_obsidian_black_10003332", "Перейти")</f>
        <v>Перейти</v>
      </c>
      <c r="F6120" s="2">
        <v>10003332</v>
      </c>
      <c r="G6120" s="4" t="s">
        <v>6320</v>
      </c>
      <c r="H6120" s="1">
        <v>1</v>
      </c>
      <c r="I6120" s="1">
        <v>0</v>
      </c>
      <c r="J6120" s="1">
        <v>4</v>
      </c>
      <c r="K6120" s="2">
        <v>14.0</v>
      </c>
    </row>
    <row r="6121" spans="1:12">
      <c r="A6121" s="3" t="s">
        <v>3663</v>
      </c>
      <c r="B6121" s="3" t="s">
        <v>3749</v>
      </c>
      <c r="C6121" s="3" t="s">
        <v>640</v>
      </c>
      <c r="D6121" s="3"/>
      <c r="E6121" s="2" t="str">
        <f>HYPERLINK("https://old.ukr-mobil.com/zadnyaya_kryshka_huawei_honor_10_lite_sky_blue_10000501", "Перейти")</f>
        <v>Перейти</v>
      </c>
      <c r="F6121" s="2">
        <v>10000501</v>
      </c>
      <c r="G6121" s="4" t="s">
        <v>6321</v>
      </c>
      <c r="H6121" s="1">
        <v>0</v>
      </c>
      <c r="I6121" s="1">
        <v>0</v>
      </c>
      <c r="J6121" s="1">
        <v>0</v>
      </c>
      <c r="K6121" s="2">
        <v>3.5</v>
      </c>
    </row>
    <row r="6122" spans="1:12">
      <c r="A6122" s="3" t="s">
        <v>3663</v>
      </c>
      <c r="B6122" s="3" t="s">
        <v>3749</v>
      </c>
      <c r="C6122" s="3" t="s">
        <v>640</v>
      </c>
      <c r="D6122" s="3"/>
      <c r="E6122" s="2" t="str">
        <f>HYPERLINK("https://old.ukr-mobil.com/zadnyaya_kryshka_huawei_honor_8x_original_prc_red_10001156", "Перейти")</f>
        <v>Перейти</v>
      </c>
      <c r="F6122" s="2">
        <v>10001156</v>
      </c>
      <c r="G6122" s="4" t="s">
        <v>6322</v>
      </c>
      <c r="H6122" s="1">
        <v>15</v>
      </c>
      <c r="I6122" s="1">
        <v>6</v>
      </c>
      <c r="J6122" s="1">
        <v>1</v>
      </c>
      <c r="K6122" s="2">
        <v>2.75</v>
      </c>
    </row>
    <row r="6123" spans="1:12">
      <c r="A6123" s="3" t="s">
        <v>3663</v>
      </c>
      <c r="B6123" s="3" t="s">
        <v>3749</v>
      </c>
      <c r="C6123" s="3" t="s">
        <v>640</v>
      </c>
      <c r="D6123" s="3"/>
      <c r="E6123" s="2" t="str">
        <f>HYPERLINK("https://old.ukr-mobil.com/zadnyaya_kryshka_huawei_p_smart_2021_ppa-lx2_original_prc_blush_gold_10002086", "Перейти")</f>
        <v>Перейти</v>
      </c>
      <c r="F6123" s="2">
        <v>10002086</v>
      </c>
      <c r="G6123" s="4" t="s">
        <v>6323</v>
      </c>
      <c r="H6123" s="1">
        <v>13</v>
      </c>
      <c r="I6123" s="1">
        <v>1</v>
      </c>
      <c r="J6123" s="1">
        <v>1</v>
      </c>
      <c r="K6123" s="2">
        <v>3.35</v>
      </c>
    </row>
    <row r="6124" spans="1:12">
      <c r="A6124" s="3" t="s">
        <v>3663</v>
      </c>
      <c r="B6124" s="3" t="s">
        <v>3749</v>
      </c>
      <c r="C6124" s="3" t="s">
        <v>640</v>
      </c>
      <c r="D6124" s="3"/>
      <c r="E6124" s="2" t="str">
        <f>HYPERLINK("https://old.ukr-mobil.com/zadnyaya_kryshka_huawei_p_smart_2021_ppa-lx2_original_prc_green_10002085", "Перейти")</f>
        <v>Перейти</v>
      </c>
      <c r="F6124" s="2">
        <v>10002085</v>
      </c>
      <c r="G6124" s="4" t="s">
        <v>6324</v>
      </c>
      <c r="H6124" s="1">
        <v>2</v>
      </c>
      <c r="I6124" s="1">
        <v>3</v>
      </c>
      <c r="J6124" s="1">
        <v>1</v>
      </c>
      <c r="K6124" s="2">
        <v>3.35</v>
      </c>
    </row>
    <row r="6125" spans="1:12">
      <c r="A6125" s="3" t="s">
        <v>3663</v>
      </c>
      <c r="B6125" s="3" t="s">
        <v>3749</v>
      </c>
      <c r="C6125" s="3" t="s">
        <v>640</v>
      </c>
      <c r="D6125" s="3"/>
      <c r="E6125" s="2" t="str">
        <f>HYPERLINK("https://old.ukr-mobil.com/zadnyaya_kryshka_huawei_p_smart_z_original_prc_black_10001310", "Перейти")</f>
        <v>Перейти</v>
      </c>
      <c r="F6125" s="2">
        <v>10001310</v>
      </c>
      <c r="G6125" s="4" t="s">
        <v>6325</v>
      </c>
      <c r="H6125" s="1">
        <v>0</v>
      </c>
      <c r="I6125" s="1">
        <v>0</v>
      </c>
      <c r="J6125" s="1">
        <v>0</v>
      </c>
      <c r="K6125" s="2">
        <v>3.35</v>
      </c>
    </row>
    <row r="6126" spans="1:12">
      <c r="A6126" s="3" t="s">
        <v>3663</v>
      </c>
      <c r="B6126" s="3" t="s">
        <v>3749</v>
      </c>
      <c r="C6126" s="3" t="s">
        <v>640</v>
      </c>
      <c r="D6126" s="3"/>
      <c r="E6126" s="2" t="str">
        <f>HYPERLINK("https://old.ukr-mobil.com/zadnyaya_kryshka_huawei_p_smart_z_original_prc_blue_10001311", "Перейти")</f>
        <v>Перейти</v>
      </c>
      <c r="F6126" s="2">
        <v>10001311</v>
      </c>
      <c r="G6126" s="4" t="s">
        <v>6326</v>
      </c>
      <c r="H6126" s="1">
        <v>2</v>
      </c>
      <c r="I6126" s="1">
        <v>2</v>
      </c>
      <c r="J6126" s="1">
        <v>2</v>
      </c>
      <c r="K6126" s="2">
        <v>3.35</v>
      </c>
    </row>
    <row r="6127" spans="1:12">
      <c r="A6127" s="3" t="s">
        <v>3663</v>
      </c>
      <c r="B6127" s="3" t="s">
        <v>3749</v>
      </c>
      <c r="C6127" s="3" t="s">
        <v>640</v>
      </c>
      <c r="D6127" s="3"/>
      <c r="E6127" s="2" t="str">
        <f>HYPERLINK("https://old.ukr-mobil.com/zadnyaya_kryshka_huawei_p30_lite_original_prc_white_10001162", "Перейти")</f>
        <v>Перейти</v>
      </c>
      <c r="F6127" s="2">
        <v>10001162</v>
      </c>
      <c r="G6127" s="4" t="s">
        <v>6327</v>
      </c>
      <c r="H6127" s="1">
        <v>8</v>
      </c>
      <c r="I6127" s="1">
        <v>4</v>
      </c>
      <c r="J6127" s="1">
        <v>5</v>
      </c>
      <c r="K6127" s="2">
        <v>3.75</v>
      </c>
    </row>
    <row r="6128" spans="1:12">
      <c r="A6128" s="3" t="s">
        <v>3663</v>
      </c>
      <c r="B6128" s="3" t="s">
        <v>3749</v>
      </c>
      <c r="C6128" s="3" t="s">
        <v>640</v>
      </c>
      <c r="D6128" s="3"/>
      <c r="E6128" s="2" t="str">
        <f>HYPERLINK("https://old.ukr-mobil.com/zadnyaya_kryshka_huawei_p40_lite_original_prc_crush_green_10002082", "Перейти")</f>
        <v>Перейти</v>
      </c>
      <c r="F6128" s="2">
        <v>10002082</v>
      </c>
      <c r="G6128" s="4" t="s">
        <v>6328</v>
      </c>
      <c r="H6128" s="1">
        <v>14</v>
      </c>
      <c r="I6128" s="1">
        <v>0</v>
      </c>
      <c r="J6128" s="1">
        <v>1</v>
      </c>
      <c r="K6128" s="2">
        <v>4.25</v>
      </c>
    </row>
    <row r="6129" spans="1:12">
      <c r="A6129" s="3" t="s">
        <v>3663</v>
      </c>
      <c r="B6129" s="3" t="s">
        <v>3749</v>
      </c>
      <c r="C6129" s="3" t="s">
        <v>640</v>
      </c>
      <c r="D6129" s="3"/>
      <c r="E6129" s="2" t="str">
        <f>HYPERLINK("https://old.ukr-mobil.com/zadnyaya_kryshka_huawei_p40_lite_original_prc_sakura_pink_10002083", "Перейти")</f>
        <v>Перейти</v>
      </c>
      <c r="F6129" s="2">
        <v>10002083</v>
      </c>
      <c r="G6129" s="4" t="s">
        <v>6329</v>
      </c>
      <c r="H6129" s="1">
        <v>3</v>
      </c>
      <c r="I6129" s="1">
        <v>2</v>
      </c>
      <c r="J6129" s="1">
        <v>2</v>
      </c>
      <c r="K6129" s="2">
        <v>4.25</v>
      </c>
    </row>
    <row r="6130" spans="1:12">
      <c r="A6130" s="3" t="s">
        <v>3663</v>
      </c>
      <c r="B6130" s="3" t="s">
        <v>3749</v>
      </c>
      <c r="C6130" s="3" t="s">
        <v>640</v>
      </c>
      <c r="D6130" s="3"/>
      <c r="E6130" s="2" t="str">
        <f>HYPERLINK("https://old.ukr-mobil.com/zadnyaya_kryshka_huawei_p40_lite_original_prc_silver_10002081", "Перейти")</f>
        <v>Перейти</v>
      </c>
      <c r="F6130" s="2">
        <v>10002081</v>
      </c>
      <c r="G6130" s="4" t="s">
        <v>6330</v>
      </c>
      <c r="H6130" s="1">
        <v>28</v>
      </c>
      <c r="I6130" s="1">
        <v>2</v>
      </c>
      <c r="J6130" s="1">
        <v>2</v>
      </c>
      <c r="K6130" s="2">
        <v>4.25</v>
      </c>
    </row>
    <row r="6131" spans="1:12">
      <c r="A6131" s="3" t="s">
        <v>3663</v>
      </c>
      <c r="B6131" s="3" t="s">
        <v>3749</v>
      </c>
      <c r="C6131" s="3" t="s">
        <v>640</v>
      </c>
      <c r="D6131" s="3"/>
      <c r="E6131" s="2" t="str">
        <f>HYPERLINK("https://old.ukr-mobil.com/zadnyaya_kryshka_huawei_y5_2019_so_steklom_kamery_high_copy_amber_brown_10001164", "Перейти")</f>
        <v>Перейти</v>
      </c>
      <c r="F6131" s="2">
        <v>10001164</v>
      </c>
      <c r="G6131" s="4" t="s">
        <v>6331</v>
      </c>
      <c r="H6131" s="1">
        <v>6</v>
      </c>
      <c r="I6131" s="1">
        <v>4</v>
      </c>
      <c r="J6131" s="1">
        <v>1</v>
      </c>
      <c r="K6131" s="2">
        <v>4.35</v>
      </c>
    </row>
    <row r="6132" spans="1:12">
      <c r="A6132" s="3" t="s">
        <v>3663</v>
      </c>
      <c r="B6132" s="3" t="s">
        <v>3749</v>
      </c>
      <c r="C6132" s="3" t="s">
        <v>640</v>
      </c>
      <c r="D6132" s="3"/>
      <c r="E6132" s="2" t="str">
        <f>HYPERLINK("https://old.ukr-mobil.com/zadnyaya_kryshka_huawei_y5_2019_so_steklom_kamery_high_copy_modern_black_10001163", "Перейти")</f>
        <v>Перейти</v>
      </c>
      <c r="F6132" s="2">
        <v>10001163</v>
      </c>
      <c r="G6132" s="4" t="s">
        <v>6332</v>
      </c>
      <c r="H6132" s="1">
        <v>0</v>
      </c>
      <c r="I6132" s="1">
        <v>0</v>
      </c>
      <c r="J6132" s="1">
        <v>0</v>
      </c>
      <c r="K6132" s="2">
        <v>4.35</v>
      </c>
    </row>
    <row r="6133" spans="1:12">
      <c r="A6133" s="3" t="s">
        <v>3663</v>
      </c>
      <c r="B6133" s="3" t="s">
        <v>3749</v>
      </c>
      <c r="C6133" s="3" t="s">
        <v>640</v>
      </c>
      <c r="D6133" s="3"/>
      <c r="E6133" s="2" t="str">
        <f>HYPERLINK("https://old.ukr-mobil.com/zadnyaya_kryshka_huawei_y9_prime_2019_original_prc_black_10001158", "Перейти")</f>
        <v>Перейти</v>
      </c>
      <c r="F6133" s="2">
        <v>10001158</v>
      </c>
      <c r="G6133" s="4" t="s">
        <v>6333</v>
      </c>
      <c r="H6133" s="1">
        <v>20</v>
      </c>
      <c r="I6133" s="1">
        <v>7</v>
      </c>
      <c r="J6133" s="1">
        <v>3</v>
      </c>
      <c r="K6133" s="2">
        <v>3.75</v>
      </c>
    </row>
    <row r="6134" spans="1:12">
      <c r="A6134" s="3" t="s">
        <v>3663</v>
      </c>
      <c r="B6134" s="3" t="s">
        <v>3749</v>
      </c>
      <c r="C6134" s="3" t="s">
        <v>640</v>
      </c>
      <c r="D6134" s="3"/>
      <c r="E6134" s="2" t="str">
        <f>HYPERLINK("https://old.ukr-mobil.com/zadnyaya_kryshka_huawei_y9_prime_2019_original_prc_blue_10001159", "Перейти")</f>
        <v>Перейти</v>
      </c>
      <c r="F6134" s="2">
        <v>10001159</v>
      </c>
      <c r="G6134" s="4" t="s">
        <v>6334</v>
      </c>
      <c r="H6134" s="1">
        <v>9</v>
      </c>
      <c r="I6134" s="1">
        <v>6</v>
      </c>
      <c r="J6134" s="1">
        <v>3</v>
      </c>
      <c r="K6134" s="2">
        <v>3.75</v>
      </c>
    </row>
    <row r="6135" spans="1:12">
      <c r="A6135" s="3" t="s">
        <v>3663</v>
      </c>
      <c r="B6135" s="3" t="s">
        <v>3749</v>
      </c>
      <c r="C6135" s="3" t="s">
        <v>640</v>
      </c>
      <c r="D6135" s="3"/>
      <c r="E6135" s="2" t="str">
        <f>HYPERLINK("https://old.ukr-mobil.com/zadnyaya_kryshka_huawei_y9_prime_2019_original_prc_green_10001160", "Перейти")</f>
        <v>Перейти</v>
      </c>
      <c r="F6135" s="2">
        <v>10001160</v>
      </c>
      <c r="G6135" s="4" t="s">
        <v>6335</v>
      </c>
      <c r="H6135" s="1">
        <v>12</v>
      </c>
      <c r="I6135" s="1">
        <v>5</v>
      </c>
      <c r="J6135" s="1">
        <v>3</v>
      </c>
      <c r="K6135" s="2">
        <v>3.75</v>
      </c>
    </row>
    <row r="6136" spans="1:12">
      <c r="A6136" s="3" t="s">
        <v>3663</v>
      </c>
      <c r="B6136" s="3" t="s">
        <v>3749</v>
      </c>
      <c r="C6136" s="3" t="s">
        <v>1090</v>
      </c>
      <c r="D6136" s="3"/>
      <c r="E6136" s="2" t="str">
        <f>HYPERLINK("https://old.ukr-mobil.com/zadnyaya_kryshka_oneplus_10_pro_ne2210_ne2211_ne2213_ne2215_so_steklom_kamery_original_black_10003335", "Перейти")</f>
        <v>Перейти</v>
      </c>
      <c r="F6136" s="2">
        <v>10003335</v>
      </c>
      <c r="G6136" s="4" t="s">
        <v>6336</v>
      </c>
      <c r="H6136" s="1">
        <v>0</v>
      </c>
      <c r="I6136" s="1">
        <v>0</v>
      </c>
      <c r="J6136" s="1">
        <v>0</v>
      </c>
      <c r="K6136" s="2">
        <v>24.0</v>
      </c>
    </row>
    <row r="6137" spans="1:12">
      <c r="A6137" s="3" t="s">
        <v>3663</v>
      </c>
      <c r="B6137" s="3" t="s">
        <v>3749</v>
      </c>
      <c r="C6137" s="3" t="s">
        <v>1090</v>
      </c>
      <c r="D6137" s="3"/>
      <c r="E6137" s="2" t="str">
        <f>HYPERLINK("https://old.ukr-mobil.com/zadnyaya_kryshka_oneplus_10t_so_steklom_kamery_original_black_10003336", "Перейти")</f>
        <v>Перейти</v>
      </c>
      <c r="F6137" s="2">
        <v>10003336</v>
      </c>
      <c r="G6137" s="4" t="s">
        <v>6337</v>
      </c>
      <c r="H6137" s="1">
        <v>7</v>
      </c>
      <c r="I6137" s="1">
        <v>3</v>
      </c>
      <c r="J6137" s="1">
        <v>2</v>
      </c>
      <c r="K6137" s="2">
        <v>45.0</v>
      </c>
    </row>
    <row r="6138" spans="1:12">
      <c r="A6138" s="3" t="s">
        <v>3663</v>
      </c>
      <c r="B6138" s="3" t="s">
        <v>3749</v>
      </c>
      <c r="C6138" s="3" t="s">
        <v>1090</v>
      </c>
      <c r="D6138" s="3"/>
      <c r="E6138" s="2" t="str">
        <f>HYPERLINK("https://old.ukr-mobil.com/zadnyaya_kryshka_oneplus_10t_so_steklom_kamery_original_green_10003337", "Перейти")</f>
        <v>Перейти</v>
      </c>
      <c r="F6138" s="2">
        <v>10003337</v>
      </c>
      <c r="G6138" s="4" t="s">
        <v>6338</v>
      </c>
      <c r="H6138" s="1">
        <v>5</v>
      </c>
      <c r="I6138" s="1">
        <v>3</v>
      </c>
      <c r="J6138" s="1">
        <v>1</v>
      </c>
      <c r="K6138" s="2">
        <v>44.0</v>
      </c>
    </row>
    <row r="6139" spans="1:12">
      <c r="A6139" s="3" t="s">
        <v>3663</v>
      </c>
      <c r="B6139" s="3" t="s">
        <v>3749</v>
      </c>
      <c r="C6139" s="3" t="s">
        <v>1090</v>
      </c>
      <c r="D6139" s="3"/>
      <c r="E6139" s="2" t="str">
        <f>HYPERLINK("https://old.ukr-mobil.com/zadnyaya_kryshka_oneplus_8_in2013_in2017_in2010_in2019_so_steklom_kamery_original_glacial_green_10003340", "Перейти")</f>
        <v>Перейти</v>
      </c>
      <c r="F6139" s="2">
        <v>10003340</v>
      </c>
      <c r="G6139" s="4" t="s">
        <v>6339</v>
      </c>
      <c r="H6139" s="1">
        <v>3</v>
      </c>
      <c r="I6139" s="1">
        <v>1</v>
      </c>
      <c r="J6139" s="1">
        <v>2</v>
      </c>
      <c r="K6139" s="2">
        <v>10.5</v>
      </c>
    </row>
    <row r="6140" spans="1:12">
      <c r="A6140" s="3" t="s">
        <v>3663</v>
      </c>
      <c r="B6140" s="3" t="s">
        <v>3749</v>
      </c>
      <c r="C6140" s="3" t="s">
        <v>1090</v>
      </c>
      <c r="D6140" s="3"/>
      <c r="E6140" s="2" t="str">
        <f>HYPERLINK("https://old.ukr-mobil.com/zadnyaya_kryshka_oneplus_8_in2013_in2017_in2010_in2019_so_steklom_kamery_original_interstellar_glow_pink_10003341", "Перейти")</f>
        <v>Перейти</v>
      </c>
      <c r="F6140" s="2">
        <v>10003341</v>
      </c>
      <c r="G6140" s="4" t="s">
        <v>6340</v>
      </c>
      <c r="H6140" s="1">
        <v>0</v>
      </c>
      <c r="I6140" s="1">
        <v>0</v>
      </c>
      <c r="J6140" s="1">
        <v>0</v>
      </c>
      <c r="K6140" s="2">
        <v>12.0</v>
      </c>
    </row>
    <row r="6141" spans="1:12">
      <c r="A6141" s="3" t="s">
        <v>3663</v>
      </c>
      <c r="B6141" s="3" t="s">
        <v>3749</v>
      </c>
      <c r="C6141" s="3" t="s">
        <v>1090</v>
      </c>
      <c r="D6141" s="3"/>
      <c r="E6141" s="2" t="str">
        <f>HYPERLINK("https://old.ukr-mobil.com/zadnyaya_kryshka_oneplus_8_in2013_in2017_in2010_in2019_so_steklom_kamery_original_onyx_black_10003339", "Перейти")</f>
        <v>Перейти</v>
      </c>
      <c r="F6141" s="2">
        <v>10003339</v>
      </c>
      <c r="G6141" s="4" t="s">
        <v>6341</v>
      </c>
      <c r="H6141" s="1">
        <v>6</v>
      </c>
      <c r="I6141" s="1">
        <v>4</v>
      </c>
      <c r="J6141" s="1">
        <v>3</v>
      </c>
      <c r="K6141" s="2">
        <v>10.5</v>
      </c>
    </row>
    <row r="6142" spans="1:12">
      <c r="A6142" s="3" t="s">
        <v>3663</v>
      </c>
      <c r="B6142" s="3" t="s">
        <v>3749</v>
      </c>
      <c r="C6142" s="3" t="s">
        <v>1090</v>
      </c>
      <c r="D6142" s="3"/>
      <c r="E6142" s="2" t="str">
        <f>HYPERLINK("https://old.ukr-mobil.com/zadnyaya_kryshka_oneplus_8t_kb2003_kb2001_kb2000_so_steklom_kamery_original_aquamarine_green_10003342", "Перейти")</f>
        <v>Перейти</v>
      </c>
      <c r="F6142" s="2">
        <v>10003342</v>
      </c>
      <c r="G6142" s="4" t="s">
        <v>6342</v>
      </c>
      <c r="H6142" s="1">
        <v>0</v>
      </c>
      <c r="I6142" s="1">
        <v>0</v>
      </c>
      <c r="J6142" s="1">
        <v>0</v>
      </c>
      <c r="K6142" s="2">
        <v>10.75</v>
      </c>
    </row>
    <row r="6143" spans="1:12">
      <c r="A6143" s="3" t="s">
        <v>3663</v>
      </c>
      <c r="B6143" s="3" t="s">
        <v>3749</v>
      </c>
      <c r="C6143" s="3" t="s">
        <v>1090</v>
      </c>
      <c r="D6143" s="3"/>
      <c r="E6143" s="2" t="str">
        <f>HYPERLINK("https://old.ukr-mobil.com/zadnyaya_kryshka_oneplus_8t_kb2003_kb2001_kb2000_so_steklom_kamery_original_lunar_silver_10003343", "Перейти")</f>
        <v>Перейти</v>
      </c>
      <c r="F6143" s="2">
        <v>10003343</v>
      </c>
      <c r="G6143" s="4" t="s">
        <v>6343</v>
      </c>
      <c r="H6143" s="1">
        <v>0</v>
      </c>
      <c r="I6143" s="1">
        <v>0</v>
      </c>
      <c r="J6143" s="1">
        <v>0</v>
      </c>
      <c r="K6143" s="2">
        <v>10.75</v>
      </c>
    </row>
    <row r="6144" spans="1:12">
      <c r="A6144" s="3" t="s">
        <v>3663</v>
      </c>
      <c r="B6144" s="3" t="s">
        <v>3749</v>
      </c>
      <c r="C6144" s="3" t="s">
        <v>1090</v>
      </c>
      <c r="D6144" s="3"/>
      <c r="E6144" s="2" t="str">
        <f>HYPERLINK("https://old.ukr-mobil.com/zadnyaya_kryshka_oneplus_9_le2113_le2111_le2110_so_steklom_kamery_original_arctic_sky_blue_10003346", "Перейти")</f>
        <v>Перейти</v>
      </c>
      <c r="F6144" s="2">
        <v>10003346</v>
      </c>
      <c r="G6144" s="4" t="s">
        <v>6344</v>
      </c>
      <c r="H6144" s="1">
        <v>4</v>
      </c>
      <c r="I6144" s="1">
        <v>2</v>
      </c>
      <c r="J6144" s="1">
        <v>2</v>
      </c>
      <c r="K6144" s="2">
        <v>11.0</v>
      </c>
    </row>
    <row r="6145" spans="1:12">
      <c r="A6145" s="3" t="s">
        <v>3663</v>
      </c>
      <c r="B6145" s="3" t="s">
        <v>3749</v>
      </c>
      <c r="C6145" s="3" t="s">
        <v>1090</v>
      </c>
      <c r="D6145" s="3"/>
      <c r="E6145" s="2" t="str">
        <f>HYPERLINK("https://old.ukr-mobil.com/zadnyaya_kryshka_oneplus_9_le2113_le2111_le2110_so_steklom_kamery_original_astral_black_10003345", "Перейти")</f>
        <v>Перейти</v>
      </c>
      <c r="F6145" s="2">
        <v>10003345</v>
      </c>
      <c r="G6145" s="4" t="s">
        <v>6345</v>
      </c>
      <c r="H6145" s="1">
        <v>1</v>
      </c>
      <c r="I6145" s="1">
        <v>0</v>
      </c>
      <c r="J6145" s="1">
        <v>2</v>
      </c>
      <c r="K6145" s="2">
        <v>11.0</v>
      </c>
    </row>
    <row r="6146" spans="1:12">
      <c r="A6146" s="3" t="s">
        <v>3663</v>
      </c>
      <c r="B6146" s="3" t="s">
        <v>3749</v>
      </c>
      <c r="C6146" s="3" t="s">
        <v>1090</v>
      </c>
      <c r="D6146" s="3"/>
      <c r="E6146" s="2" t="str">
        <f>HYPERLINK("https://old.ukr-mobil.com/zadnyaya_kryshka_oneplus_9_le2113_le2111_le2110_so_steklom_kamery_original_winter_mist_purple_10003347", "Перейти")</f>
        <v>Перейти</v>
      </c>
      <c r="F6146" s="2">
        <v>10003347</v>
      </c>
      <c r="G6146" s="4" t="s">
        <v>6346</v>
      </c>
      <c r="H6146" s="1">
        <v>1</v>
      </c>
      <c r="I6146" s="1">
        <v>0</v>
      </c>
      <c r="J6146" s="1">
        <v>0</v>
      </c>
      <c r="K6146" s="2">
        <v>11.0</v>
      </c>
    </row>
    <row r="6147" spans="1:12">
      <c r="A6147" s="3" t="s">
        <v>3663</v>
      </c>
      <c r="B6147" s="3" t="s">
        <v>3749</v>
      </c>
      <c r="C6147" s="3" t="s">
        <v>1090</v>
      </c>
      <c r="D6147" s="3"/>
      <c r="E6147" s="2" t="str">
        <f>HYPERLINK("https://old.ukr-mobil.com/zadnyaya_kryshka_oneplus_9_pro_le2123_le2121_le2125_le2120_le2127_so_steklom_kamery_original_morning_mist_silver_10003344", "Перейти")</f>
        <v>Перейти</v>
      </c>
      <c r="F6147" s="2">
        <v>10003344</v>
      </c>
      <c r="G6147" s="4" t="s">
        <v>6347</v>
      </c>
      <c r="H6147" s="1">
        <v>0</v>
      </c>
      <c r="I6147" s="1">
        <v>0</v>
      </c>
      <c r="J6147" s="1">
        <v>0</v>
      </c>
      <c r="K6147" s="2">
        <v>17.0</v>
      </c>
    </row>
    <row r="6148" spans="1:12">
      <c r="A6148" s="3" t="s">
        <v>3663</v>
      </c>
      <c r="B6148" s="3" t="s">
        <v>3749</v>
      </c>
      <c r="C6148" s="3" t="s">
        <v>1090</v>
      </c>
      <c r="D6148" s="3"/>
      <c r="E6148" s="2" t="str">
        <f>HYPERLINK("https://old.ukr-mobil.com/zadnyaya_kryshka_oneplus_nord_ac2001_ac2003_so_steklom_kamery_original_blue_marble_10003369", "Перейти")</f>
        <v>Перейти</v>
      </c>
      <c r="F6148" s="2">
        <v>10003369</v>
      </c>
      <c r="G6148" s="4" t="s">
        <v>6348</v>
      </c>
      <c r="H6148" s="1">
        <v>2</v>
      </c>
      <c r="I6148" s="1">
        <v>1</v>
      </c>
      <c r="J6148" s="1">
        <v>0</v>
      </c>
      <c r="K6148" s="2">
        <v>11.5</v>
      </c>
    </row>
    <row r="6149" spans="1:12">
      <c r="A6149" s="3" t="s">
        <v>3663</v>
      </c>
      <c r="B6149" s="3" t="s">
        <v>3749</v>
      </c>
      <c r="C6149" s="3" t="s">
        <v>1090</v>
      </c>
      <c r="D6149" s="3"/>
      <c r="E6149" s="2" t="str">
        <f>HYPERLINK("https://old.ukr-mobil.com/zadnyaya_kryshka_oneplus_nord_ac2001_ac2003_so_steklom_kamery_original_gray_onyx_10003368", "Перейти")</f>
        <v>Перейти</v>
      </c>
      <c r="F6149" s="2">
        <v>10003368</v>
      </c>
      <c r="G6149" s="4" t="s">
        <v>6349</v>
      </c>
      <c r="H6149" s="1">
        <v>0</v>
      </c>
      <c r="I6149" s="1">
        <v>0</v>
      </c>
      <c r="J6149" s="1">
        <v>0</v>
      </c>
      <c r="K6149" s="2">
        <v>11.5</v>
      </c>
    </row>
    <row r="6150" spans="1:12">
      <c r="A6150" s="3" t="s">
        <v>3663</v>
      </c>
      <c r="B6150" s="3" t="s">
        <v>3749</v>
      </c>
      <c r="C6150" s="3" t="s">
        <v>1090</v>
      </c>
      <c r="D6150" s="3"/>
      <c r="E6150" s="2" t="str">
        <f>HYPERLINK("https://old.ukr-mobil.com/zadnyaya_kryshka_oneplus_nord_2_dn2103_dn2101_so_steklom_kamery_original_blue_haze_10003349", "Перейти")</f>
        <v>Перейти</v>
      </c>
      <c r="F6150" s="2">
        <v>10003349</v>
      </c>
      <c r="G6150" s="4" t="s">
        <v>6350</v>
      </c>
      <c r="H6150" s="1">
        <v>0</v>
      </c>
      <c r="I6150" s="1">
        <v>1</v>
      </c>
      <c r="J6150" s="1">
        <v>2</v>
      </c>
      <c r="K6150" s="2">
        <v>14.0</v>
      </c>
    </row>
    <row r="6151" spans="1:12">
      <c r="A6151" s="3" t="s">
        <v>3663</v>
      </c>
      <c r="B6151" s="3" t="s">
        <v>3749</v>
      </c>
      <c r="C6151" s="3" t="s">
        <v>1090</v>
      </c>
      <c r="D6151" s="3"/>
      <c r="E6151" s="2" t="str">
        <f>HYPERLINK("https://old.ukr-mobil.com/zadnyaya_kryshka_oneplus_nord_2_dn2103_dn2101_so_steklom_kamery_original_gray_sierra_10003348", "Перейти")</f>
        <v>Перейти</v>
      </c>
      <c r="F6151" s="2">
        <v>10003348</v>
      </c>
      <c r="G6151" s="4" t="s">
        <v>6351</v>
      </c>
      <c r="H6151" s="1">
        <v>0</v>
      </c>
      <c r="I6151" s="1">
        <v>0</v>
      </c>
      <c r="J6151" s="1">
        <v>0</v>
      </c>
      <c r="K6151" s="2">
        <v>13.75</v>
      </c>
    </row>
    <row r="6152" spans="1:12">
      <c r="A6152" s="3" t="s">
        <v>3663</v>
      </c>
      <c r="B6152" s="3" t="s">
        <v>3749</v>
      </c>
      <c r="C6152" s="3" t="s">
        <v>1090</v>
      </c>
      <c r="D6152" s="3"/>
      <c r="E6152" s="2" t="str">
        <f>HYPERLINK("https://old.ukr-mobil.com/zadnyaya_kryshka_oneplus_nord_ce_2_lite_5g_original_bahama_blue_10003351", "Перейти")</f>
        <v>Перейти</v>
      </c>
      <c r="F6152" s="2">
        <v>10003351</v>
      </c>
      <c r="G6152" s="4" t="s">
        <v>6352</v>
      </c>
      <c r="H6152" s="1">
        <v>2</v>
      </c>
      <c r="I6152" s="1">
        <v>2</v>
      </c>
      <c r="J6152" s="1">
        <v>2</v>
      </c>
      <c r="K6152" s="2">
        <v>10.0</v>
      </c>
    </row>
    <row r="6153" spans="1:12">
      <c r="A6153" s="3" t="s">
        <v>3663</v>
      </c>
      <c r="B6153" s="3" t="s">
        <v>3749</v>
      </c>
      <c r="C6153" s="3" t="s">
        <v>1090</v>
      </c>
      <c r="D6153" s="3"/>
      <c r="E6153" s="2" t="str">
        <f>HYPERLINK("https://old.ukr-mobil.com/zadnyaya_kryshka_oneplus_nord_ce_2_lite_5g_original_black_dusk_10003350", "Перейти")</f>
        <v>Перейти</v>
      </c>
      <c r="F6153" s="2">
        <v>10003350</v>
      </c>
      <c r="G6153" s="4" t="s">
        <v>6353</v>
      </c>
      <c r="H6153" s="1">
        <v>4</v>
      </c>
      <c r="I6153" s="1">
        <v>2</v>
      </c>
      <c r="J6153" s="1">
        <v>1</v>
      </c>
      <c r="K6153" s="2">
        <v>10.0</v>
      </c>
    </row>
    <row r="6154" spans="1:12">
      <c r="A6154" s="3" t="s">
        <v>3663</v>
      </c>
      <c r="B6154" s="3" t="s">
        <v>3749</v>
      </c>
      <c r="C6154" s="3" t="s">
        <v>796</v>
      </c>
      <c r="D6154" s="3"/>
      <c r="E6154" s="2" t="str">
        <f>HYPERLINK("https://old.ukr-mobil.com/zadnyaya_kryshka_oppo_a12_original_prc_black_10001230", "Перейти")</f>
        <v>Перейти</v>
      </c>
      <c r="F6154" s="2">
        <v>10001230</v>
      </c>
      <c r="G6154" s="4" t="s">
        <v>6354</v>
      </c>
      <c r="H6154" s="1">
        <v>0</v>
      </c>
      <c r="I6154" s="1">
        <v>0</v>
      </c>
      <c r="J6154" s="1">
        <v>0</v>
      </c>
      <c r="K6154" s="2">
        <v>8.0</v>
      </c>
    </row>
    <row r="6155" spans="1:12">
      <c r="A6155" s="3" t="s">
        <v>3663</v>
      </c>
      <c r="B6155" s="3" t="s">
        <v>3749</v>
      </c>
      <c r="C6155" s="3" t="s">
        <v>796</v>
      </c>
      <c r="D6155" s="3"/>
      <c r="E6155" s="2" t="str">
        <f>HYPERLINK("https://old.ukr-mobil.com/zadnyaya_kryshka_oppo_a12_original_prc_blue_10001231", "Перейти")</f>
        <v>Перейти</v>
      </c>
      <c r="F6155" s="2">
        <v>10001231</v>
      </c>
      <c r="G6155" s="4" t="s">
        <v>6355</v>
      </c>
      <c r="H6155" s="1">
        <v>1</v>
      </c>
      <c r="I6155" s="1">
        <v>0</v>
      </c>
      <c r="J6155" s="1">
        <v>0</v>
      </c>
      <c r="K6155" s="2">
        <v>9.0</v>
      </c>
    </row>
    <row r="6156" spans="1:12">
      <c r="A6156" s="3" t="s">
        <v>3663</v>
      </c>
      <c r="B6156" s="3" t="s">
        <v>3749</v>
      </c>
      <c r="C6156" s="3" t="s">
        <v>796</v>
      </c>
      <c r="D6156" s="3"/>
      <c r="E6156" s="2" t="str">
        <f>HYPERLINK("https://old.ukr-mobil.com/zadnyaya_kryshka_oppo_a31_original_prc_black_10001232", "Перейти")</f>
        <v>Перейти</v>
      </c>
      <c r="F6156" s="2">
        <v>10001232</v>
      </c>
      <c r="G6156" s="4" t="s">
        <v>6356</v>
      </c>
      <c r="H6156" s="1">
        <v>8</v>
      </c>
      <c r="I6156" s="1">
        <v>1</v>
      </c>
      <c r="J6156" s="1">
        <v>2</v>
      </c>
      <c r="K6156" s="2">
        <v>9.0</v>
      </c>
    </row>
    <row r="6157" spans="1:12">
      <c r="A6157" s="3" t="s">
        <v>3663</v>
      </c>
      <c r="B6157" s="3" t="s">
        <v>3749</v>
      </c>
      <c r="C6157" s="3" t="s">
        <v>796</v>
      </c>
      <c r="D6157" s="3"/>
      <c r="E6157" s="2" t="str">
        <f>HYPERLINK("https://old.ukr-mobil.com/zadnyaya_kryshka_oppo_a31_original_prc_green_10001233", "Перейти")</f>
        <v>Перейти</v>
      </c>
      <c r="F6157" s="2">
        <v>10001233</v>
      </c>
      <c r="G6157" s="4" t="s">
        <v>6357</v>
      </c>
      <c r="H6157" s="1">
        <v>1</v>
      </c>
      <c r="I6157" s="1">
        <v>0</v>
      </c>
      <c r="J6157" s="1">
        <v>0</v>
      </c>
      <c r="K6157" s="2">
        <v>9.0</v>
      </c>
    </row>
    <row r="6158" spans="1:12">
      <c r="A6158" s="3" t="s">
        <v>3663</v>
      </c>
      <c r="B6158" s="3" t="s">
        <v>3749</v>
      </c>
      <c r="C6158" s="3" t="s">
        <v>796</v>
      </c>
      <c r="D6158" s="3"/>
      <c r="E6158" s="2" t="str">
        <f>HYPERLINK("https://old.ukr-mobil.com/zadnyaya_kryshka_oppo_a5_2020_original_prc_black_10001234", "Перейти")</f>
        <v>Перейти</v>
      </c>
      <c r="F6158" s="2">
        <v>10001234</v>
      </c>
      <c r="G6158" s="4" t="s">
        <v>6358</v>
      </c>
      <c r="H6158" s="1">
        <v>0</v>
      </c>
      <c r="I6158" s="1">
        <v>0</v>
      </c>
      <c r="J6158" s="1">
        <v>0</v>
      </c>
      <c r="K6158" s="2">
        <v>5.5</v>
      </c>
    </row>
    <row r="6159" spans="1:12">
      <c r="A6159" s="3" t="s">
        <v>3663</v>
      </c>
      <c r="B6159" s="3" t="s">
        <v>3749</v>
      </c>
      <c r="C6159" s="3" t="s">
        <v>796</v>
      </c>
      <c r="D6159" s="3"/>
      <c r="E6159" s="2" t="str">
        <f>HYPERLINK("https://old.ukr-mobil.com/zadnyaya_kryshka_oppo_a5_2020_original_prc_blue_10001235", "Перейти")</f>
        <v>Перейти</v>
      </c>
      <c r="F6159" s="2">
        <v>10001235</v>
      </c>
      <c r="G6159" s="4" t="s">
        <v>6359</v>
      </c>
      <c r="H6159" s="1">
        <v>2</v>
      </c>
      <c r="I6159" s="1">
        <v>2</v>
      </c>
      <c r="J6159" s="1">
        <v>2</v>
      </c>
      <c r="K6159" s="2">
        <v>5.5</v>
      </c>
    </row>
    <row r="6160" spans="1:12">
      <c r="A6160" s="3" t="s">
        <v>3663</v>
      </c>
      <c r="B6160" s="3" t="s">
        <v>3749</v>
      </c>
      <c r="C6160" s="3" t="s">
        <v>796</v>
      </c>
      <c r="D6160" s="3"/>
      <c r="E6160" s="2" t="str">
        <f>HYPERLINK("https://old.ukr-mobil.com/zadnyaya_kryshka_oppo_a52_original_prc_black_10001236", "Перейти")</f>
        <v>Перейти</v>
      </c>
      <c r="F6160" s="2">
        <v>10001236</v>
      </c>
      <c r="G6160" s="4" t="s">
        <v>6360</v>
      </c>
      <c r="H6160" s="1">
        <v>7</v>
      </c>
      <c r="I6160" s="1">
        <v>4</v>
      </c>
      <c r="J6160" s="1">
        <v>3</v>
      </c>
      <c r="K6160" s="2">
        <v>6.0</v>
      </c>
    </row>
    <row r="6161" spans="1:12">
      <c r="A6161" s="3" t="s">
        <v>3663</v>
      </c>
      <c r="B6161" s="3" t="s">
        <v>3749</v>
      </c>
      <c r="C6161" s="3" t="s">
        <v>796</v>
      </c>
      <c r="D6161" s="3"/>
      <c r="E6161" s="2" t="str">
        <f>HYPERLINK("https://old.ukr-mobil.com/zadnyaya_kryshka_oppo_a53_original_prc_black_10001237", "Перейти")</f>
        <v>Перейти</v>
      </c>
      <c r="F6161" s="2">
        <v>10001237</v>
      </c>
      <c r="G6161" s="4" t="s">
        <v>6361</v>
      </c>
      <c r="H6161" s="1">
        <v>1</v>
      </c>
      <c r="I6161" s="1">
        <v>3</v>
      </c>
      <c r="J6161" s="1">
        <v>2</v>
      </c>
      <c r="K6161" s="2">
        <v>7.0</v>
      </c>
    </row>
    <row r="6162" spans="1:12">
      <c r="A6162" s="3" t="s">
        <v>3663</v>
      </c>
      <c r="B6162" s="3" t="s">
        <v>3749</v>
      </c>
      <c r="C6162" s="3" t="s">
        <v>796</v>
      </c>
      <c r="D6162" s="3"/>
      <c r="E6162" s="2" t="str">
        <f>HYPERLINK("https://old.ukr-mobil.com/zadnyaya_kryshka_oppo_a53_original_prc_blue_10001238", "Перейти")</f>
        <v>Перейти</v>
      </c>
      <c r="F6162" s="2">
        <v>10001238</v>
      </c>
      <c r="G6162" s="4" t="s">
        <v>6362</v>
      </c>
      <c r="H6162" s="1">
        <v>0</v>
      </c>
      <c r="I6162" s="1">
        <v>3</v>
      </c>
      <c r="J6162" s="1">
        <v>3</v>
      </c>
      <c r="K6162" s="2">
        <v>7.0</v>
      </c>
    </row>
    <row r="6163" spans="1:12">
      <c r="A6163" s="3" t="s">
        <v>3663</v>
      </c>
      <c r="B6163" s="3" t="s">
        <v>3749</v>
      </c>
      <c r="C6163" s="3" t="s">
        <v>796</v>
      </c>
      <c r="D6163" s="3"/>
      <c r="E6163" s="2" t="str">
        <f>HYPERLINK("https://old.ukr-mobil.com/zadnyaya_kryshka_oppo_a53_original_prc_white_10001255", "Перейти")</f>
        <v>Перейти</v>
      </c>
      <c r="F6163" s="2">
        <v>10001255</v>
      </c>
      <c r="G6163" s="4" t="s">
        <v>6363</v>
      </c>
      <c r="H6163" s="1">
        <v>3</v>
      </c>
      <c r="I6163" s="1">
        <v>2</v>
      </c>
      <c r="J6163" s="1">
        <v>1</v>
      </c>
      <c r="K6163" s="2">
        <v>7.0</v>
      </c>
    </row>
    <row r="6164" spans="1:12">
      <c r="A6164" s="3" t="s">
        <v>3663</v>
      </c>
      <c r="B6164" s="3" t="s">
        <v>3749</v>
      </c>
      <c r="C6164" s="3" t="s">
        <v>796</v>
      </c>
      <c r="D6164" s="3"/>
      <c r="E6164" s="2" t="str">
        <f>HYPERLINK("https://old.ukr-mobil.com/zadnyaya_kryshka_oppo_a9_2020_original_prc_black_10001240", "Перейти")</f>
        <v>Перейти</v>
      </c>
      <c r="F6164" s="2">
        <v>10001240</v>
      </c>
      <c r="G6164" s="4" t="s">
        <v>6364</v>
      </c>
      <c r="H6164" s="1">
        <v>4</v>
      </c>
      <c r="I6164" s="1">
        <v>1</v>
      </c>
      <c r="J6164" s="1">
        <v>2</v>
      </c>
      <c r="K6164" s="2">
        <v>5.5</v>
      </c>
    </row>
    <row r="6165" spans="1:12">
      <c r="A6165" s="3" t="s">
        <v>3663</v>
      </c>
      <c r="B6165" s="3" t="s">
        <v>3749</v>
      </c>
      <c r="C6165" s="3" t="s">
        <v>796</v>
      </c>
      <c r="D6165" s="3"/>
      <c r="E6165" s="2" t="str">
        <f>HYPERLINK("https://old.ukr-mobil.com/zadnyaya_kryshka_oppo_a9_2020_original_prc_blue_10001241", "Перейти")</f>
        <v>Перейти</v>
      </c>
      <c r="F6165" s="2">
        <v>10001241</v>
      </c>
      <c r="G6165" s="4" t="s">
        <v>6365</v>
      </c>
      <c r="H6165" s="1">
        <v>0</v>
      </c>
      <c r="I6165" s="1">
        <v>1</v>
      </c>
      <c r="J6165" s="1">
        <v>1</v>
      </c>
      <c r="K6165" s="2">
        <v>5.5</v>
      </c>
    </row>
    <row r="6166" spans="1:12">
      <c r="A6166" s="3" t="s">
        <v>3663</v>
      </c>
      <c r="B6166" s="3" t="s">
        <v>3749</v>
      </c>
      <c r="C6166" s="3" t="s">
        <v>796</v>
      </c>
      <c r="D6166" s="3"/>
      <c r="E6166" s="2" t="str">
        <f>HYPERLINK("https://old.ukr-mobil.com/zadnyaya_kryshka_oppo_a91_original_prc_black_10001242", "Перейти")</f>
        <v>Перейти</v>
      </c>
      <c r="F6166" s="2">
        <v>10001242</v>
      </c>
      <c r="G6166" s="4" t="s">
        <v>6366</v>
      </c>
      <c r="H6166" s="1">
        <v>11</v>
      </c>
      <c r="I6166" s="1">
        <v>2</v>
      </c>
      <c r="J6166" s="1">
        <v>2</v>
      </c>
      <c r="K6166" s="2">
        <v>7.0</v>
      </c>
    </row>
    <row r="6167" spans="1:12">
      <c r="A6167" s="3" t="s">
        <v>3663</v>
      </c>
      <c r="B6167" s="3" t="s">
        <v>3749</v>
      </c>
      <c r="C6167" s="3" t="s">
        <v>796</v>
      </c>
      <c r="D6167" s="3"/>
      <c r="E6167" s="2" t="str">
        <f>HYPERLINK("https://old.ukr-mobil.com/zadnyaya_kryshka_oppo_a91_original_prc_blue_10001243", "Перейти")</f>
        <v>Перейти</v>
      </c>
      <c r="F6167" s="2">
        <v>10001243</v>
      </c>
      <c r="G6167" s="4" t="s">
        <v>6367</v>
      </c>
      <c r="H6167" s="1">
        <v>0</v>
      </c>
      <c r="I6167" s="1">
        <v>1</v>
      </c>
      <c r="J6167" s="1">
        <v>1</v>
      </c>
      <c r="K6167" s="2">
        <v>7.0</v>
      </c>
    </row>
    <row r="6168" spans="1:12">
      <c r="A6168" s="3" t="s">
        <v>3663</v>
      </c>
      <c r="B6168" s="3" t="s">
        <v>3749</v>
      </c>
      <c r="C6168" s="3" t="s">
        <v>796</v>
      </c>
      <c r="D6168" s="3"/>
      <c r="E6168" s="2" t="str">
        <f>HYPERLINK("https://old.ukr-mobil.com/zadnyaya_kryshka_oppo_realme_6_pro_original_prc_red_10002200", "Перейти")</f>
        <v>Перейти</v>
      </c>
      <c r="F6168" s="2">
        <v>10002200</v>
      </c>
      <c r="G6168" s="4" t="s">
        <v>6368</v>
      </c>
      <c r="H6168" s="1">
        <v>0</v>
      </c>
      <c r="I6168" s="1">
        <v>0</v>
      </c>
      <c r="J6168" s="1">
        <v>0</v>
      </c>
      <c r="K6168" s="2">
        <v>10.0</v>
      </c>
    </row>
    <row r="6169" spans="1:12">
      <c r="A6169" s="3" t="s">
        <v>3663</v>
      </c>
      <c r="B6169" s="3" t="s">
        <v>3749</v>
      </c>
      <c r="C6169" s="3" t="s">
        <v>796</v>
      </c>
      <c r="D6169" s="3"/>
      <c r="E6169" s="2" t="str">
        <f>HYPERLINK("https://old.ukr-mobil.com/zadnyaya_kryshka_oppo_realme_6_original_prc_black_10002197", "Перейти")</f>
        <v>Перейти</v>
      </c>
      <c r="F6169" s="2">
        <v>10002197</v>
      </c>
      <c r="G6169" s="4" t="s">
        <v>6369</v>
      </c>
      <c r="H6169" s="1">
        <v>0</v>
      </c>
      <c r="I6169" s="1">
        <v>0</v>
      </c>
      <c r="J6169" s="1">
        <v>0</v>
      </c>
      <c r="K6169" s="2">
        <v>3.5</v>
      </c>
    </row>
    <row r="6170" spans="1:12">
      <c r="A6170" s="3" t="s">
        <v>3663</v>
      </c>
      <c r="B6170" s="3" t="s">
        <v>3749</v>
      </c>
      <c r="C6170" s="3" t="s">
        <v>796</v>
      </c>
      <c r="D6170" s="3"/>
      <c r="E6170" s="2" t="str">
        <f>HYPERLINK("https://old.ukr-mobil.com/zadnyaya_kryshka_oppo_realme_6_original_prc_white_10002198", "Перейти")</f>
        <v>Перейти</v>
      </c>
      <c r="F6170" s="2">
        <v>10002198</v>
      </c>
      <c r="G6170" s="4" t="s">
        <v>6370</v>
      </c>
      <c r="H6170" s="1">
        <v>0</v>
      </c>
      <c r="I6170" s="1">
        <v>0</v>
      </c>
      <c r="J6170" s="1">
        <v>0</v>
      </c>
      <c r="K6170" s="2">
        <v>3.5</v>
      </c>
    </row>
    <row r="6171" spans="1:12">
      <c r="A6171" s="3" t="s">
        <v>3663</v>
      </c>
      <c r="B6171" s="3" t="s">
        <v>3749</v>
      </c>
      <c r="C6171" s="3" t="s">
        <v>796</v>
      </c>
      <c r="D6171" s="3"/>
      <c r="E6171" s="2" t="str">
        <f>HYPERLINK("https://old.ukr-mobil.com/zadnyaya_kryshka_oppo_realme_6i_original_prc_black_10001244", "Перейти")</f>
        <v>Перейти</v>
      </c>
      <c r="F6171" s="2">
        <v>10001244</v>
      </c>
      <c r="G6171" s="4" t="s">
        <v>6371</v>
      </c>
      <c r="H6171" s="1">
        <v>0</v>
      </c>
      <c r="I6171" s="1">
        <v>0</v>
      </c>
      <c r="J6171" s="1">
        <v>0</v>
      </c>
      <c r="K6171" s="2">
        <v>6.0</v>
      </c>
    </row>
    <row r="6172" spans="1:12">
      <c r="A6172" s="3" t="s">
        <v>3663</v>
      </c>
      <c r="B6172" s="3" t="s">
        <v>3749</v>
      </c>
      <c r="C6172" s="3" t="s">
        <v>796</v>
      </c>
      <c r="D6172" s="3"/>
      <c r="E6172" s="2" t="str">
        <f>HYPERLINK("https://old.ukr-mobil.com/zadnyaya_kryshka_oppo_realme_c11_original_prc_green_10002201", "Перейти")</f>
        <v>Перейти</v>
      </c>
      <c r="F6172" s="2">
        <v>10002201</v>
      </c>
      <c r="G6172" s="4" t="s">
        <v>6372</v>
      </c>
      <c r="H6172" s="1">
        <v>3</v>
      </c>
      <c r="I6172" s="1">
        <v>2</v>
      </c>
      <c r="J6172" s="1">
        <v>3</v>
      </c>
      <c r="K6172" s="2">
        <v>5.0</v>
      </c>
    </row>
    <row r="6173" spans="1:12">
      <c r="A6173" s="3" t="s">
        <v>3663</v>
      </c>
      <c r="B6173" s="3" t="s">
        <v>3749</v>
      </c>
      <c r="C6173" s="3" t="s">
        <v>796</v>
      </c>
      <c r="D6173" s="3"/>
      <c r="E6173" s="2" t="str">
        <f>HYPERLINK("https://old.ukr-mobil.com/zadnyaya_kryshka_oppo_realme_c3_original_prc_red_10001254", "Перейти")</f>
        <v>Перейти</v>
      </c>
      <c r="F6173" s="2">
        <v>10001254</v>
      </c>
      <c r="G6173" s="4" t="s">
        <v>6373</v>
      </c>
      <c r="H6173" s="1">
        <v>2</v>
      </c>
      <c r="I6173" s="1">
        <v>5</v>
      </c>
      <c r="J6173" s="1">
        <v>3</v>
      </c>
      <c r="K6173" s="2">
        <v>8.0</v>
      </c>
    </row>
    <row r="6174" spans="1:12">
      <c r="A6174" s="3" t="s">
        <v>3663</v>
      </c>
      <c r="B6174" s="3" t="s">
        <v>3749</v>
      </c>
      <c r="C6174" s="3" t="s">
        <v>653</v>
      </c>
      <c r="D6174" s="3"/>
      <c r="E6174" s="2" t="str">
        <f>HYPERLINK("https://old.ukr-mobil.com/zadnyaya_kryshka_samsung_a01_galaxy_a015_original_prc_black_10001895", "Перейти")</f>
        <v>Перейти</v>
      </c>
      <c r="F6174" s="2">
        <v>10001895</v>
      </c>
      <c r="G6174" s="4" t="s">
        <v>6374</v>
      </c>
      <c r="H6174" s="1">
        <v>1</v>
      </c>
      <c r="I6174" s="1">
        <v>1</v>
      </c>
      <c r="J6174" s="1">
        <v>1</v>
      </c>
      <c r="K6174" s="2">
        <v>6.75</v>
      </c>
    </row>
    <row r="6175" spans="1:12">
      <c r="A6175" s="3" t="s">
        <v>3663</v>
      </c>
      <c r="B6175" s="3" t="s">
        <v>3749</v>
      </c>
      <c r="C6175" s="3" t="s">
        <v>653</v>
      </c>
      <c r="D6175" s="3"/>
      <c r="E6175" s="2" t="str">
        <f>HYPERLINK("https://old.ukr-mobil.com/zadnyaya_kryshka_samsung_a022_galaxy_a02_original_prc_black_10001856", "Перейти")</f>
        <v>Перейти</v>
      </c>
      <c r="F6175" s="2">
        <v>10001856</v>
      </c>
      <c r="G6175" s="4" t="s">
        <v>6375</v>
      </c>
      <c r="H6175" s="1">
        <v>0</v>
      </c>
      <c r="I6175" s="1">
        <v>1</v>
      </c>
      <c r="J6175" s="1">
        <v>0</v>
      </c>
      <c r="K6175" s="2">
        <v>4.75</v>
      </c>
    </row>
    <row r="6176" spans="1:12">
      <c r="A6176" s="3" t="s">
        <v>3663</v>
      </c>
      <c r="B6176" s="3" t="s">
        <v>3749</v>
      </c>
      <c r="C6176" s="3" t="s">
        <v>653</v>
      </c>
      <c r="D6176" s="3"/>
      <c r="E6176" s="2" t="str">
        <f>HYPERLINK("https://old.ukr-mobil.com/zadnyaya_kryshka_samsung_a207_galaxy_a20s_original_prc_black_10001860", "Перейти")</f>
        <v>Перейти</v>
      </c>
      <c r="F6176" s="2">
        <v>10001860</v>
      </c>
      <c r="G6176" s="4" t="s">
        <v>6376</v>
      </c>
      <c r="H6176" s="1">
        <v>17</v>
      </c>
      <c r="I6176" s="1">
        <v>7</v>
      </c>
      <c r="J6176" s="1">
        <v>5</v>
      </c>
      <c r="K6176" s="2">
        <v>2.1</v>
      </c>
    </row>
    <row r="6177" spans="1:12">
      <c r="A6177" s="3" t="s">
        <v>3663</v>
      </c>
      <c r="B6177" s="3" t="s">
        <v>3749</v>
      </c>
      <c r="C6177" s="3" t="s">
        <v>653</v>
      </c>
      <c r="D6177" s="3"/>
      <c r="E6177" s="2" t="str">
        <f>HYPERLINK("https://old.ukr-mobil.com/zadnyaya_kryshka_samsung_a207_galaxy_a20s_original_prc_blue_10001861", "Перейти")</f>
        <v>Перейти</v>
      </c>
      <c r="F6177" s="2">
        <v>10001861</v>
      </c>
      <c r="G6177" s="4" t="s">
        <v>6377</v>
      </c>
      <c r="H6177" s="1">
        <v>1</v>
      </c>
      <c r="I6177" s="1">
        <v>0</v>
      </c>
      <c r="J6177" s="1">
        <v>1</v>
      </c>
      <c r="K6177" s="2">
        <v>2.1</v>
      </c>
    </row>
    <row r="6178" spans="1:12">
      <c r="A6178" s="3" t="s">
        <v>3663</v>
      </c>
      <c r="B6178" s="3" t="s">
        <v>3749</v>
      </c>
      <c r="C6178" s="3" t="s">
        <v>653</v>
      </c>
      <c r="D6178" s="3"/>
      <c r="E6178" s="2" t="str">
        <f>HYPERLINK("https://old.ukr-mobil.com/zadnyaya_kryshka_samsung_a207_galaxy_a20s_original_prc_green_10001862", "Перейти")</f>
        <v>Перейти</v>
      </c>
      <c r="F6178" s="2">
        <v>10001862</v>
      </c>
      <c r="G6178" s="4" t="s">
        <v>6378</v>
      </c>
      <c r="H6178" s="1">
        <v>0</v>
      </c>
      <c r="I6178" s="1">
        <v>2</v>
      </c>
      <c r="J6178" s="1">
        <v>1</v>
      </c>
      <c r="K6178" s="2">
        <v>2.1</v>
      </c>
    </row>
    <row r="6179" spans="1:12">
      <c r="A6179" s="3" t="s">
        <v>3663</v>
      </c>
      <c r="B6179" s="3" t="s">
        <v>3749</v>
      </c>
      <c r="C6179" s="3" t="s">
        <v>653</v>
      </c>
      <c r="D6179" s="3"/>
      <c r="E6179" s="2" t="str">
        <f>HYPERLINK("https://old.ukr-mobil.com/zadnyaya_kryshka_samsung_a217_galaxy_a21s_original_prc_black_10001863", "Перейти")</f>
        <v>Перейти</v>
      </c>
      <c r="F6179" s="2">
        <v>10001863</v>
      </c>
      <c r="G6179" s="4" t="s">
        <v>6379</v>
      </c>
      <c r="H6179" s="1">
        <v>3</v>
      </c>
      <c r="I6179" s="1">
        <v>1</v>
      </c>
      <c r="J6179" s="1">
        <v>4</v>
      </c>
      <c r="K6179" s="2">
        <v>2.5</v>
      </c>
    </row>
    <row r="6180" spans="1:12">
      <c r="A6180" s="3" t="s">
        <v>3663</v>
      </c>
      <c r="B6180" s="3" t="s">
        <v>3749</v>
      </c>
      <c r="C6180" s="3" t="s">
        <v>653</v>
      </c>
      <c r="D6180" s="3"/>
      <c r="E6180" s="2" t="str">
        <f>HYPERLINK("https://old.ukr-mobil.com/zadnyaya_kryshka_samsung_a217_galaxy_a21s_original_prc_white_10001865", "Перейти")</f>
        <v>Перейти</v>
      </c>
      <c r="F6180" s="2">
        <v>10001865</v>
      </c>
      <c r="G6180" s="4" t="s">
        <v>6380</v>
      </c>
      <c r="H6180" s="1">
        <v>0</v>
      </c>
      <c r="I6180" s="1">
        <v>0</v>
      </c>
      <c r="J6180" s="1">
        <v>0</v>
      </c>
      <c r="K6180" s="2">
        <v>2.55</v>
      </c>
    </row>
    <row r="6181" spans="1:12">
      <c r="A6181" s="3" t="s">
        <v>3663</v>
      </c>
      <c r="B6181" s="3" t="s">
        <v>3749</v>
      </c>
      <c r="C6181" s="3" t="s">
        <v>653</v>
      </c>
      <c r="D6181" s="3"/>
      <c r="E6181" s="2" t="str">
        <f>HYPERLINK("https://old.ukr-mobil.com/zadnyaya_kryshka_samsung_a315_galaxy_a31_original_prc_black_10001866", "Перейти")</f>
        <v>Перейти</v>
      </c>
      <c r="F6181" s="2">
        <v>10001866</v>
      </c>
      <c r="G6181" s="4" t="s">
        <v>6381</v>
      </c>
      <c r="H6181" s="1">
        <v>0</v>
      </c>
      <c r="I6181" s="1">
        <v>6</v>
      </c>
      <c r="J6181" s="1">
        <v>6</v>
      </c>
      <c r="K6181" s="2">
        <v>2.5</v>
      </c>
    </row>
    <row r="6182" spans="1:12">
      <c r="A6182" s="3" t="s">
        <v>3663</v>
      </c>
      <c r="B6182" s="3" t="s">
        <v>3749</v>
      </c>
      <c r="C6182" s="3" t="s">
        <v>653</v>
      </c>
      <c r="D6182" s="3"/>
      <c r="E6182" s="2" t="str">
        <f>HYPERLINK("https://old.ukr-mobil.com/zadnyaya_kryshka_samsung_a515_galaxy_a51_original_prc_black_10001867", "Перейти")</f>
        <v>Перейти</v>
      </c>
      <c r="F6182" s="2">
        <v>10001867</v>
      </c>
      <c r="G6182" s="4" t="s">
        <v>6382</v>
      </c>
      <c r="H6182" s="1">
        <v>0</v>
      </c>
      <c r="I6182" s="1">
        <v>0</v>
      </c>
      <c r="J6182" s="1">
        <v>1</v>
      </c>
      <c r="K6182" s="2">
        <v>2.75</v>
      </c>
    </row>
    <row r="6183" spans="1:12">
      <c r="A6183" s="3" t="s">
        <v>3663</v>
      </c>
      <c r="B6183" s="3" t="s">
        <v>3749</v>
      </c>
      <c r="C6183" s="3" t="s">
        <v>653</v>
      </c>
      <c r="D6183" s="3"/>
      <c r="E6183" s="2" t="str">
        <f>HYPERLINK("https://old.ukr-mobil.com/zadnyaya_kryshka_samsung_g950_galaxy_s8_high_copy_orchid_gray_9984", "Перейти")</f>
        <v>Перейти</v>
      </c>
      <c r="F6183" s="2">
        <v>9984</v>
      </c>
      <c r="G6183" s="4" t="s">
        <v>6383</v>
      </c>
      <c r="H6183" s="1">
        <v>0</v>
      </c>
      <c r="I6183" s="1">
        <v>0</v>
      </c>
      <c r="J6183" s="1">
        <v>2</v>
      </c>
      <c r="K6183" s="2">
        <v>4.0</v>
      </c>
    </row>
    <row r="6184" spans="1:12">
      <c r="A6184" s="3" t="s">
        <v>3663</v>
      </c>
      <c r="B6184" s="3" t="s">
        <v>3749</v>
      </c>
      <c r="C6184" s="3" t="s">
        <v>653</v>
      </c>
      <c r="D6184" s="3"/>
      <c r="E6184" s="2" t="str">
        <f>HYPERLINK("https://old.ukr-mobil.com/zadnyaya_kryshka_samsung_g955_galaxy_s8_plus_high_copy_orchid_gray_9973", "Перейти")</f>
        <v>Перейти</v>
      </c>
      <c r="F6184" s="2">
        <v>9973</v>
      </c>
      <c r="G6184" s="4" t="s">
        <v>6384</v>
      </c>
      <c r="H6184" s="1">
        <v>13</v>
      </c>
      <c r="I6184" s="1">
        <v>6</v>
      </c>
      <c r="J6184" s="1">
        <v>4</v>
      </c>
      <c r="K6184" s="2">
        <v>4.0</v>
      </c>
    </row>
    <row r="6185" spans="1:12">
      <c r="A6185" s="3" t="s">
        <v>3663</v>
      </c>
      <c r="B6185" s="3" t="s">
        <v>3749</v>
      </c>
      <c r="C6185" s="3" t="s">
        <v>653</v>
      </c>
      <c r="D6185" s="3"/>
      <c r="E6185" s="2" t="str">
        <f>HYPERLINK("https://old.ukr-mobil.com/zadnyaya_kryshka_samsung_g980_galaxy_s20_original_black_10001555", "Перейти")</f>
        <v>Перейти</v>
      </c>
      <c r="F6185" s="2">
        <v>10001555</v>
      </c>
      <c r="G6185" s="4" t="s">
        <v>6385</v>
      </c>
      <c r="H6185" s="1">
        <v>0</v>
      </c>
      <c r="I6185" s="1">
        <v>1</v>
      </c>
      <c r="J6185" s="1">
        <v>2</v>
      </c>
      <c r="K6185" s="2">
        <v>10.0</v>
      </c>
    </row>
    <row r="6186" spans="1:12">
      <c r="A6186" s="3" t="s">
        <v>3663</v>
      </c>
      <c r="B6186" s="3" t="s">
        <v>3749</v>
      </c>
      <c r="C6186" s="3" t="s">
        <v>653</v>
      </c>
      <c r="D6186" s="3"/>
      <c r="E6186" s="2" t="str">
        <f>HYPERLINK("https://old.ukr-mobil.com/zadnyaya_kryshka_samsung_g985_galaxy_s20_plus_original_black_10001554", "Перейти")</f>
        <v>Перейти</v>
      </c>
      <c r="F6186" s="2">
        <v>10001554</v>
      </c>
      <c r="G6186" s="4" t="s">
        <v>6386</v>
      </c>
      <c r="H6186" s="1">
        <v>1</v>
      </c>
      <c r="I6186" s="1">
        <v>1</v>
      </c>
      <c r="J6186" s="1">
        <v>1</v>
      </c>
      <c r="K6186" s="2">
        <v>10.5</v>
      </c>
    </row>
    <row r="6187" spans="1:12">
      <c r="A6187" s="3" t="s">
        <v>3663</v>
      </c>
      <c r="B6187" s="3" t="s">
        <v>3749</v>
      </c>
      <c r="C6187" s="3" t="s">
        <v>653</v>
      </c>
      <c r="D6187" s="3"/>
      <c r="E6187" s="2" t="str">
        <f>HYPERLINK("https://old.ukr-mobil.com/zadnyaya_kryshka_samsung_g988_galaxy_s20_ultra_original_black_10000650", "Перейти")</f>
        <v>Перейти</v>
      </c>
      <c r="F6187" s="2">
        <v>10000650</v>
      </c>
      <c r="G6187" s="4" t="s">
        <v>6387</v>
      </c>
      <c r="H6187" s="1">
        <v>3</v>
      </c>
      <c r="I6187" s="1">
        <v>5</v>
      </c>
      <c r="J6187" s="1">
        <v>5</v>
      </c>
      <c r="K6187" s="2">
        <v>10.25</v>
      </c>
    </row>
    <row r="6188" spans="1:12">
      <c r="A6188" s="3" t="s">
        <v>3663</v>
      </c>
      <c r="B6188" s="3" t="s">
        <v>3749</v>
      </c>
      <c r="C6188" s="3" t="s">
        <v>653</v>
      </c>
      <c r="D6188" s="3"/>
      <c r="E6188" s="2" t="str">
        <f>HYPERLINK("https://old.ukr-mobil.com/zadnyaya_kryshka_samsung_g991_galaxy_s21_original_prc_phantom_grey_10002108", "Перейти")</f>
        <v>Перейти</v>
      </c>
      <c r="F6188" s="2">
        <v>10002108</v>
      </c>
      <c r="G6188" s="4" t="s">
        <v>6388</v>
      </c>
      <c r="H6188" s="1">
        <v>6</v>
      </c>
      <c r="I6188" s="1">
        <v>4</v>
      </c>
      <c r="J6188" s="1">
        <v>4</v>
      </c>
      <c r="K6188" s="2">
        <v>8.0</v>
      </c>
    </row>
    <row r="6189" spans="1:12">
      <c r="A6189" s="3" t="s">
        <v>3663</v>
      </c>
      <c r="B6189" s="3" t="s">
        <v>3749</v>
      </c>
      <c r="C6189" s="3" t="s">
        <v>653</v>
      </c>
      <c r="D6189" s="3"/>
      <c r="E6189" s="2" t="str">
        <f>HYPERLINK("https://old.ukr-mobil.com/zadnyaya_kryshka_samsung_g998_galaxy_s21_ultra_original_prc_phantom_black_10002109", "Перейти")</f>
        <v>Перейти</v>
      </c>
      <c r="F6189" s="2">
        <v>10002109</v>
      </c>
      <c r="G6189" s="4" t="s">
        <v>6389</v>
      </c>
      <c r="H6189" s="1">
        <v>2</v>
      </c>
      <c r="I6189" s="1">
        <v>4</v>
      </c>
      <c r="J6189" s="1">
        <v>4</v>
      </c>
      <c r="K6189" s="2">
        <v>11.5</v>
      </c>
    </row>
    <row r="6190" spans="1:12">
      <c r="A6190" s="3" t="s">
        <v>3663</v>
      </c>
      <c r="B6190" s="3" t="s">
        <v>3749</v>
      </c>
      <c r="C6190" s="3" t="s">
        <v>653</v>
      </c>
      <c r="D6190" s="3"/>
      <c r="E6190" s="2" t="str">
        <f>HYPERLINK("https://old.ukr-mobil.com/zadnyaya_kryshka_samsung_n950_galaxy_note_8_black_9974", "Перейти")</f>
        <v>Перейти</v>
      </c>
      <c r="F6190" s="2">
        <v>9974</v>
      </c>
      <c r="G6190" s="4" t="s">
        <v>6390</v>
      </c>
      <c r="H6190" s="1">
        <v>1</v>
      </c>
      <c r="I6190" s="1">
        <v>0</v>
      </c>
      <c r="J6190" s="1">
        <v>0</v>
      </c>
      <c r="K6190" s="2">
        <v>3.5</v>
      </c>
    </row>
    <row r="6191" spans="1:12">
      <c r="A6191" s="3" t="s">
        <v>3663</v>
      </c>
      <c r="B6191" s="3" t="s">
        <v>3749</v>
      </c>
      <c r="C6191" s="3" t="s">
        <v>653</v>
      </c>
      <c r="D6191" s="3"/>
      <c r="E6191" s="2" t="str">
        <f>HYPERLINK("https://old.ukr-mobil.com/zadnyaya_kryshka_samsung_n950_galaxy_note_8_silver_9980", "Перейти")</f>
        <v>Перейти</v>
      </c>
      <c r="F6191" s="2">
        <v>9980</v>
      </c>
      <c r="G6191" s="4" t="s">
        <v>6391</v>
      </c>
      <c r="H6191" s="1">
        <v>1</v>
      </c>
      <c r="I6191" s="1">
        <v>0</v>
      </c>
      <c r="J6191" s="1">
        <v>0</v>
      </c>
      <c r="K6191" s="2">
        <v>4.0</v>
      </c>
    </row>
    <row r="6192" spans="1:12">
      <c r="A6192" s="3" t="s">
        <v>3663</v>
      </c>
      <c r="B6192" s="3" t="s">
        <v>3749</v>
      </c>
      <c r="C6192" s="3" t="s">
        <v>653</v>
      </c>
      <c r="D6192" s="3"/>
      <c r="E6192" s="2" t="str">
        <f>HYPERLINK("https://old.ukr-mobil.com/zadnyaya_kryshka_samsung_n960_galaxy_note_9_midnight_black_12158", "Перейти")</f>
        <v>Перейти</v>
      </c>
      <c r="F6192" s="2">
        <v>12158</v>
      </c>
      <c r="G6192" s="4" t="s">
        <v>6392</v>
      </c>
      <c r="H6192" s="1">
        <v>0</v>
      </c>
      <c r="I6192" s="1">
        <v>4</v>
      </c>
      <c r="J6192" s="1">
        <v>0</v>
      </c>
      <c r="K6192" s="2">
        <v>3.65</v>
      </c>
    </row>
    <row r="6193" spans="1:12">
      <c r="A6193" s="3" t="s">
        <v>3663</v>
      </c>
      <c r="B6193" s="3" t="s">
        <v>3749</v>
      </c>
      <c r="C6193" s="3" t="s">
        <v>653</v>
      </c>
      <c r="D6193" s="3"/>
      <c r="E6193" s="2" t="str">
        <f>HYPERLINK("https://old.ukr-mobil.com/zadnyaya_kryshka_samsung_n960_galaxy_note_9_ocean_blue_12160", "Перейти")</f>
        <v>Перейти</v>
      </c>
      <c r="F6193" s="2">
        <v>12160</v>
      </c>
      <c r="G6193" s="4" t="s">
        <v>6393</v>
      </c>
      <c r="H6193" s="1">
        <v>1</v>
      </c>
      <c r="I6193" s="1">
        <v>1</v>
      </c>
      <c r="J6193" s="1">
        <v>5</v>
      </c>
      <c r="K6193" s="2">
        <v>5.0</v>
      </c>
    </row>
    <row r="6194" spans="1:12">
      <c r="A6194" s="3" t="s">
        <v>3663</v>
      </c>
      <c r="B6194" s="3" t="s">
        <v>3749</v>
      </c>
      <c r="C6194" s="3" t="s">
        <v>653</v>
      </c>
      <c r="D6194" s="3"/>
      <c r="E6194" s="2" t="str">
        <f>HYPERLINK("https://old.ukr-mobil.com/zadnyaya_kryshka_samsung_n970_galaxy_note_10_original_prc_black_10002110", "Перейти")</f>
        <v>Перейти</v>
      </c>
      <c r="F6194" s="2">
        <v>10002110</v>
      </c>
      <c r="G6194" s="4" t="s">
        <v>6394</v>
      </c>
      <c r="H6194" s="1">
        <v>0</v>
      </c>
      <c r="I6194" s="1">
        <v>0</v>
      </c>
      <c r="J6194" s="1">
        <v>0</v>
      </c>
      <c r="K6194" s="2">
        <v>5.0</v>
      </c>
    </row>
    <row r="6195" spans="1:12">
      <c r="A6195" s="3" t="s">
        <v>3663</v>
      </c>
      <c r="B6195" s="3" t="s">
        <v>3749</v>
      </c>
      <c r="C6195" s="3" t="s">
        <v>653</v>
      </c>
      <c r="D6195" s="3"/>
      <c r="E6195" s="2" t="str">
        <f>HYPERLINK("https://old.ukr-mobil.com/zadnyaya_kryshka_samsung_n975_galaxy_note_10_plus_original_prc_black_10002111", "Перейти")</f>
        <v>Перейти</v>
      </c>
      <c r="F6195" s="2">
        <v>10002111</v>
      </c>
      <c r="G6195" s="4" t="s">
        <v>6395</v>
      </c>
      <c r="H6195" s="1">
        <v>0</v>
      </c>
      <c r="I6195" s="1">
        <v>0</v>
      </c>
      <c r="J6195" s="1">
        <v>0</v>
      </c>
      <c r="K6195" s="2">
        <v>5.5</v>
      </c>
    </row>
    <row r="6196" spans="1:12">
      <c r="A6196" s="3" t="s">
        <v>3663</v>
      </c>
      <c r="B6196" s="3" t="s">
        <v>3749</v>
      </c>
      <c r="C6196" s="3" t="s">
        <v>653</v>
      </c>
      <c r="D6196" s="3"/>
      <c r="E6196" s="2" t="str">
        <f>HYPERLINK("https://old.ukr-mobil.com/zadnyaya_kryshka_samsung_n980_galaxy_note_20_n981_galaxy_note_20_5g_original_prc_grey_10002112", "Перейти")</f>
        <v>Перейти</v>
      </c>
      <c r="F6196" s="2">
        <v>10002112</v>
      </c>
      <c r="G6196" s="4" t="s">
        <v>6396</v>
      </c>
      <c r="H6196" s="1">
        <v>0</v>
      </c>
      <c r="I6196" s="1">
        <v>1</v>
      </c>
      <c r="J6196" s="1">
        <v>1</v>
      </c>
      <c r="K6196" s="2">
        <v>7.0</v>
      </c>
    </row>
    <row r="6197" spans="1:12">
      <c r="A6197" s="3" t="s">
        <v>3663</v>
      </c>
      <c r="B6197" s="3" t="s">
        <v>3749</v>
      </c>
      <c r="C6197" s="3" t="s">
        <v>676</v>
      </c>
      <c r="D6197" s="3"/>
      <c r="E6197" s="2" t="str">
        <f>HYPERLINK("https://old.ukr-mobil.com/zadnyaya_kryshka_sony_c6902_xperia_z1_c6903_xperia_z1_white_4850", "Перейти")</f>
        <v>Перейти</v>
      </c>
      <c r="F6197" s="2">
        <v>4850</v>
      </c>
      <c r="G6197" s="4" t="s">
        <v>6397</v>
      </c>
      <c r="H6197" s="1">
        <v>9</v>
      </c>
      <c r="I6197" s="1">
        <v>1</v>
      </c>
      <c r="J6197" s="1">
        <v>2</v>
      </c>
      <c r="K6197" s="2">
        <v>1.76</v>
      </c>
    </row>
    <row r="6198" spans="1:12">
      <c r="A6198" s="3" t="s">
        <v>3663</v>
      </c>
      <c r="B6198" s="3" t="s">
        <v>3749</v>
      </c>
      <c r="C6198" s="3" t="s">
        <v>676</v>
      </c>
      <c r="D6198" s="3"/>
      <c r="E6198" s="2" t="str">
        <f>HYPERLINK("https://old.ukr-mobil.com/zadnyaya_kryshka_sony_d5503_xperia_z1_compact_black_6803", "Перейти")</f>
        <v>Перейти</v>
      </c>
      <c r="F6198" s="2">
        <v>6803</v>
      </c>
      <c r="G6198" s="4" t="s">
        <v>6398</v>
      </c>
      <c r="H6198" s="1">
        <v>5</v>
      </c>
      <c r="I6198" s="1">
        <v>0</v>
      </c>
      <c r="J6198" s="1">
        <v>0</v>
      </c>
      <c r="K6198" s="2">
        <v>1.86</v>
      </c>
    </row>
    <row r="6199" spans="1:12">
      <c r="A6199" s="3" t="s">
        <v>3663</v>
      </c>
      <c r="B6199" s="3" t="s">
        <v>3749</v>
      </c>
      <c r="C6199" s="3" t="s">
        <v>676</v>
      </c>
      <c r="D6199" s="3"/>
      <c r="E6199" s="2" t="str">
        <f>HYPERLINK("https://old.ukr-mobil.com/zadnyaya_kryshka_sony_d6502_xperia_z2_d6503_xperia_z2_white_6031", "Перейти")</f>
        <v>Перейти</v>
      </c>
      <c r="F6199" s="2">
        <v>6031</v>
      </c>
      <c r="G6199" s="4" t="s">
        <v>6399</v>
      </c>
      <c r="H6199" s="1">
        <v>5</v>
      </c>
      <c r="I6199" s="1">
        <v>2</v>
      </c>
      <c r="J6199" s="1">
        <v>0</v>
      </c>
      <c r="K6199" s="2">
        <v>2.52</v>
      </c>
    </row>
    <row r="6200" spans="1:12">
      <c r="A6200" s="3" t="s">
        <v>3663</v>
      </c>
      <c r="B6200" s="3" t="s">
        <v>3749</v>
      </c>
      <c r="C6200" s="3" t="s">
        <v>676</v>
      </c>
      <c r="D6200" s="3"/>
      <c r="E6200" s="2" t="str">
        <f>HYPERLINK("https://old.ukr-mobil.com/zadnyaya_kryshka_sony_e6833_xperia_z5_premium_dual_e6853_xperia_z5_premium_e6883_xperia_z5_premium_dual_grey_9296", "Перейти")</f>
        <v>Перейти</v>
      </c>
      <c r="F6200" s="2">
        <v>9296</v>
      </c>
      <c r="G6200" s="4" t="s">
        <v>6400</v>
      </c>
      <c r="H6200" s="1">
        <v>0</v>
      </c>
      <c r="I6200" s="1">
        <v>0</v>
      </c>
      <c r="J6200" s="1">
        <v>0</v>
      </c>
      <c r="K6200" s="2">
        <v>2.0</v>
      </c>
    </row>
    <row r="6201" spans="1:12">
      <c r="A6201" s="3" t="s">
        <v>3663</v>
      </c>
      <c r="B6201" s="3" t="s">
        <v>3749</v>
      </c>
      <c r="C6201" s="3" t="s">
        <v>676</v>
      </c>
      <c r="D6201" s="3"/>
      <c r="E6201" s="2" t="str">
        <f>HYPERLINK("https://old.ukr-mobil.com/zadnyaya_kryshka_sony_f3111_xperia_xa_f3112_xperia_xa_dual_f3113_xperia_xa_f3115_xperia_xa_f3116_xperia_xa_dual_black_9298", "Перейти")</f>
        <v>Перейти</v>
      </c>
      <c r="F6201" s="2">
        <v>9298</v>
      </c>
      <c r="G6201" s="4" t="s">
        <v>6401</v>
      </c>
      <c r="H6201" s="1">
        <v>11</v>
      </c>
      <c r="I6201" s="1">
        <v>3</v>
      </c>
      <c r="J6201" s="1">
        <v>3</v>
      </c>
      <c r="K6201" s="2">
        <v>2.75</v>
      </c>
    </row>
    <row r="6202" spans="1:12">
      <c r="A6202" s="3" t="s">
        <v>3663</v>
      </c>
      <c r="B6202" s="3" t="s">
        <v>3749</v>
      </c>
      <c r="C6202" s="3" t="s">
        <v>676</v>
      </c>
      <c r="D6202" s="3"/>
      <c r="E6202" s="2" t="str">
        <f>HYPERLINK("https://old.ukr-mobil.com/zadnyaya_kryshka_sony_g3311_xperia_l1_g3312_xperia_l1_g3313_xperia_l1_black_12121", "Перейти")</f>
        <v>Перейти</v>
      </c>
      <c r="F6202" s="2">
        <v>12121</v>
      </c>
      <c r="G6202" s="4" t="s">
        <v>6402</v>
      </c>
      <c r="H6202" s="1">
        <v>2</v>
      </c>
      <c r="I6202" s="1">
        <v>0</v>
      </c>
      <c r="J6202" s="1">
        <v>4</v>
      </c>
      <c r="K6202" s="2">
        <v>3.5</v>
      </c>
    </row>
    <row r="6203" spans="1:12">
      <c r="A6203" s="3" t="s">
        <v>3663</v>
      </c>
      <c r="B6203" s="3" t="s">
        <v>3749</v>
      </c>
      <c r="C6203" s="3" t="s">
        <v>812</v>
      </c>
      <c r="D6203" s="3"/>
      <c r="E6203" s="2" t="str">
        <f>HYPERLINK("https://old.ukr-mobil.com/zadnyaya_kryshka_vivo_y15_original_prc_black_10001247", "Перейти")</f>
        <v>Перейти</v>
      </c>
      <c r="F6203" s="2">
        <v>10001247</v>
      </c>
      <c r="G6203" s="4" t="s">
        <v>6403</v>
      </c>
      <c r="H6203" s="1">
        <v>4</v>
      </c>
      <c r="I6203" s="1">
        <v>3</v>
      </c>
      <c r="J6203" s="1">
        <v>3</v>
      </c>
      <c r="K6203" s="2">
        <v>8.0</v>
      </c>
    </row>
    <row r="6204" spans="1:12">
      <c r="A6204" s="3" t="s">
        <v>3663</v>
      </c>
      <c r="B6204" s="3" t="s">
        <v>3749</v>
      </c>
      <c r="C6204" s="3" t="s">
        <v>812</v>
      </c>
      <c r="D6204" s="3"/>
      <c r="E6204" s="2" t="str">
        <f>HYPERLINK("https://old.ukr-mobil.com/zadnyaya_kryshka_vivo_y15_original_prc_burgundy_red_10001252", "Перейти")</f>
        <v>Перейти</v>
      </c>
      <c r="F6204" s="2">
        <v>10001252</v>
      </c>
      <c r="G6204" s="4" t="s">
        <v>6404</v>
      </c>
      <c r="H6204" s="1">
        <v>0</v>
      </c>
      <c r="I6204" s="1">
        <v>2</v>
      </c>
      <c r="J6204" s="1">
        <v>0</v>
      </c>
      <c r="K6204" s="2">
        <v>9.0</v>
      </c>
    </row>
    <row r="6205" spans="1:12">
      <c r="A6205" s="3" t="s">
        <v>3663</v>
      </c>
      <c r="B6205" s="3" t="s">
        <v>3749</v>
      </c>
      <c r="C6205" s="3" t="s">
        <v>812</v>
      </c>
      <c r="D6205" s="3"/>
      <c r="E6205" s="2" t="str">
        <f>HYPERLINK("https://old.ukr-mobil.com/zadnyaya_kryshka_vivo_y30_original_prc_black_10001248", "Перейти")</f>
        <v>Перейти</v>
      </c>
      <c r="F6205" s="2">
        <v>10001248</v>
      </c>
      <c r="G6205" s="4" t="s">
        <v>6405</v>
      </c>
      <c r="H6205" s="1">
        <v>6</v>
      </c>
      <c r="I6205" s="1">
        <v>5</v>
      </c>
      <c r="J6205" s="1">
        <v>3</v>
      </c>
      <c r="K6205" s="2">
        <v>8.0</v>
      </c>
    </row>
    <row r="6206" spans="1:12">
      <c r="A6206" s="3" t="s">
        <v>3663</v>
      </c>
      <c r="B6206" s="3" t="s">
        <v>3749</v>
      </c>
      <c r="C6206" s="3" t="s">
        <v>812</v>
      </c>
      <c r="D6206" s="3"/>
      <c r="E6206" s="2" t="str">
        <f>HYPERLINK("https://old.ukr-mobil.com/zadnyaya_kryshka_vivo_y30_original_prc_purple_10001253", "Перейти")</f>
        <v>Перейти</v>
      </c>
      <c r="F6206" s="2">
        <v>10001253</v>
      </c>
      <c r="G6206" s="4" t="s">
        <v>6406</v>
      </c>
      <c r="H6206" s="1">
        <v>0</v>
      </c>
      <c r="I6206" s="1">
        <v>0</v>
      </c>
      <c r="J6206" s="1">
        <v>0</v>
      </c>
      <c r="K6206" s="2">
        <v>8.0</v>
      </c>
    </row>
    <row r="6207" spans="1:12">
      <c r="A6207" s="3" t="s">
        <v>3663</v>
      </c>
      <c r="B6207" s="3" t="s">
        <v>3749</v>
      </c>
      <c r="C6207" s="3" t="s">
        <v>814</v>
      </c>
      <c r="D6207" s="3"/>
      <c r="E6207" s="2" t="str">
        <f>HYPERLINK("https://old.ukr-mobil.com/zadnyaya_kryshka_poco_m3_original_prc_black_10002105", "Перейти")</f>
        <v>Перейти</v>
      </c>
      <c r="F6207" s="2">
        <v>10002105</v>
      </c>
      <c r="G6207" s="4" t="s">
        <v>6407</v>
      </c>
      <c r="H6207" s="1">
        <v>1</v>
      </c>
      <c r="I6207" s="1">
        <v>0</v>
      </c>
      <c r="J6207" s="1">
        <v>2</v>
      </c>
      <c r="K6207" s="2">
        <v>5.5</v>
      </c>
    </row>
    <row r="6208" spans="1:12">
      <c r="A6208" s="3" t="s">
        <v>3663</v>
      </c>
      <c r="B6208" s="3" t="s">
        <v>3749</v>
      </c>
      <c r="C6208" s="3" t="s">
        <v>814</v>
      </c>
      <c r="D6208" s="3"/>
      <c r="E6208" s="2" t="str">
        <f>HYPERLINK("https://old.ukr-mobil.com/zadnyaya_kryshka_poco_m3_original_prc_blue_10002106", "Перейти")</f>
        <v>Перейти</v>
      </c>
      <c r="F6208" s="2">
        <v>10002106</v>
      </c>
      <c r="G6208" s="4" t="s">
        <v>6408</v>
      </c>
      <c r="H6208" s="1">
        <v>4</v>
      </c>
      <c r="I6208" s="1">
        <v>3</v>
      </c>
      <c r="J6208" s="1">
        <v>3</v>
      </c>
      <c r="K6208" s="2">
        <v>5.5</v>
      </c>
    </row>
    <row r="6209" spans="1:12">
      <c r="A6209" s="3" t="s">
        <v>3663</v>
      </c>
      <c r="B6209" s="3" t="s">
        <v>3749</v>
      </c>
      <c r="C6209" s="3" t="s">
        <v>814</v>
      </c>
      <c r="D6209" s="3"/>
      <c r="E6209" s="2" t="str">
        <f>HYPERLINK("https://old.ukr-mobil.com/zadnyaya_kryshka_redmi_note_10_redmi_note_10s_original_prc_pebble_white_10002099", "Перейти")</f>
        <v>Перейти</v>
      </c>
      <c r="F6209" s="2">
        <v>10002099</v>
      </c>
      <c r="G6209" s="4" t="s">
        <v>6409</v>
      </c>
      <c r="H6209" s="1">
        <v>16</v>
      </c>
      <c r="I6209" s="1">
        <v>4</v>
      </c>
      <c r="J6209" s="1">
        <v>1</v>
      </c>
      <c r="K6209" s="2">
        <v>4.5</v>
      </c>
    </row>
    <row r="6210" spans="1:12">
      <c r="A6210" s="3" t="s">
        <v>3663</v>
      </c>
      <c r="B6210" s="3" t="s">
        <v>3749</v>
      </c>
      <c r="C6210" s="3" t="s">
        <v>814</v>
      </c>
      <c r="D6210" s="3"/>
      <c r="E6210" s="2" t="str">
        <f>HYPERLINK("https://old.ukr-mobil.com/zadnyaya_kryshka_redmi_note_10_redmi_note_10s_original_prc_starlight_purple_10002100", "Перейти")</f>
        <v>Перейти</v>
      </c>
      <c r="F6210" s="2">
        <v>10002100</v>
      </c>
      <c r="G6210" s="4" t="s">
        <v>6410</v>
      </c>
      <c r="H6210" s="1">
        <v>5</v>
      </c>
      <c r="I6210" s="1">
        <v>1</v>
      </c>
      <c r="J6210" s="1">
        <v>1</v>
      </c>
      <c r="K6210" s="2">
        <v>5.0</v>
      </c>
    </row>
    <row r="6211" spans="1:12">
      <c r="A6211" s="3" t="s">
        <v>3663</v>
      </c>
      <c r="B6211" s="3" t="s">
        <v>3749</v>
      </c>
      <c r="C6211" s="3" t="s">
        <v>814</v>
      </c>
      <c r="D6211" s="3"/>
      <c r="E6211" s="2" t="str">
        <f>HYPERLINK("https://old.ukr-mobil.com/zadnyaya_kryshka_xiaomi_mi_11_lite_original_prc_pink_10003198", "Перейти")</f>
        <v>Перейти</v>
      </c>
      <c r="F6211" s="2">
        <v>10003198</v>
      </c>
      <c r="G6211" s="4" t="s">
        <v>6411</v>
      </c>
      <c r="H6211" s="1">
        <v>0</v>
      </c>
      <c r="I6211" s="1">
        <v>0</v>
      </c>
      <c r="J6211" s="1">
        <v>2</v>
      </c>
      <c r="K6211" s="2">
        <v>4.75</v>
      </c>
    </row>
    <row r="6212" spans="1:12">
      <c r="A6212" s="3" t="s">
        <v>3663</v>
      </c>
      <c r="B6212" s="3" t="s">
        <v>3749</v>
      </c>
      <c r="C6212" s="3" t="s">
        <v>814</v>
      </c>
      <c r="D6212" s="3"/>
      <c r="E6212" s="2" t="str">
        <f>HYPERLINK("https://old.ukr-mobil.com/zadnyaya_kryshka_xiaomi_mi_11i_original_prc_celestial_silver_10003220", "Перейти")</f>
        <v>Перейти</v>
      </c>
      <c r="F6212" s="2">
        <v>10003220</v>
      </c>
      <c r="G6212" s="4" t="s">
        <v>6412</v>
      </c>
      <c r="H6212" s="1">
        <v>0</v>
      </c>
      <c r="I6212" s="1">
        <v>0</v>
      </c>
      <c r="J6212" s="1">
        <v>0</v>
      </c>
      <c r="K6212" s="2">
        <v>6.5</v>
      </c>
    </row>
    <row r="6213" spans="1:12">
      <c r="A6213" s="3" t="s">
        <v>3663</v>
      </c>
      <c r="B6213" s="3" t="s">
        <v>3749</v>
      </c>
      <c r="C6213" s="3" t="s">
        <v>814</v>
      </c>
      <c r="D6213" s="3"/>
      <c r="E6213" s="2" t="str">
        <f>HYPERLINK("https://old.ukr-mobil.com/zadnyaya_kryshka_xiaomi_mi_11i_original_prc_frosty_white_10003221", "Перейти")</f>
        <v>Перейти</v>
      </c>
      <c r="F6213" s="2">
        <v>10003221</v>
      </c>
      <c r="G6213" s="4" t="s">
        <v>6413</v>
      </c>
      <c r="H6213" s="1">
        <v>3</v>
      </c>
      <c r="I6213" s="1">
        <v>3</v>
      </c>
      <c r="J6213" s="1">
        <v>3</v>
      </c>
      <c r="K6213" s="2">
        <v>6.5</v>
      </c>
    </row>
    <row r="6214" spans="1:12">
      <c r="A6214" s="3" t="s">
        <v>3663</v>
      </c>
      <c r="B6214" s="3" t="s">
        <v>3749</v>
      </c>
      <c r="C6214" s="3" t="s">
        <v>814</v>
      </c>
      <c r="D6214" s="3"/>
      <c r="E6214" s="2" t="str">
        <f>HYPERLINK("https://old.ukr-mobil.com/zadnyaya_kryshka_xiaomi_mi_8_so_steklom_kamery_black_10002457", "Перейти")</f>
        <v>Перейти</v>
      </c>
      <c r="F6214" s="2">
        <v>10002457</v>
      </c>
      <c r="G6214" s="4" t="s">
        <v>6414</v>
      </c>
      <c r="H6214" s="1">
        <v>2</v>
      </c>
      <c r="I6214" s="1">
        <v>0</v>
      </c>
      <c r="J6214" s="1">
        <v>0</v>
      </c>
      <c r="K6214" s="2">
        <v>5.5</v>
      </c>
    </row>
    <row r="6215" spans="1:12">
      <c r="A6215" s="3" t="s">
        <v>3663</v>
      </c>
      <c r="B6215" s="3" t="s">
        <v>3749</v>
      </c>
      <c r="C6215" s="3" t="s">
        <v>814</v>
      </c>
      <c r="D6215" s="3"/>
      <c r="E6215" s="2" t="str">
        <f>HYPERLINK("https://old.ukr-mobil.com/zadnyaya_kryshka_xiaomi_redmi_9t_original_prc_blue_10002090", "Перейти")</f>
        <v>Перейти</v>
      </c>
      <c r="F6215" s="2">
        <v>10002090</v>
      </c>
      <c r="G6215" s="4" t="s">
        <v>6415</v>
      </c>
      <c r="H6215" s="1">
        <v>2</v>
      </c>
      <c r="I6215" s="1">
        <v>1</v>
      </c>
      <c r="J6215" s="1">
        <v>4</v>
      </c>
      <c r="K6215" s="2">
        <v>5.0</v>
      </c>
    </row>
    <row r="6216" spans="1:12">
      <c r="A6216" s="3" t="s">
        <v>3663</v>
      </c>
      <c r="B6216" s="3" t="s">
        <v>3749</v>
      </c>
      <c r="C6216" s="3" t="s">
        <v>814</v>
      </c>
      <c r="D6216" s="3"/>
      <c r="E6216" s="2" t="str">
        <f>HYPERLINK("https://old.ukr-mobil.com/zadnyaya_kryshka_xiaomi_redmi_note_7_pink_10002607", "Перейти")</f>
        <v>Перейти</v>
      </c>
      <c r="F6216" s="2">
        <v>10002607</v>
      </c>
      <c r="G6216" s="4" t="s">
        <v>6416</v>
      </c>
      <c r="H6216" s="1">
        <v>0</v>
      </c>
      <c r="I6216" s="1">
        <v>0</v>
      </c>
      <c r="J6216" s="1">
        <v>0</v>
      </c>
      <c r="K6216" s="2">
        <v>3.5</v>
      </c>
    </row>
    <row r="6217" spans="1:12">
      <c r="A6217" s="3" t="s">
        <v>3663</v>
      </c>
      <c r="B6217" s="3" t="s">
        <v>3749</v>
      </c>
      <c r="C6217" s="3" t="s">
        <v>814</v>
      </c>
      <c r="D6217" s="3"/>
      <c r="E6217" s="2" t="str">
        <f>HYPERLINK("https://old.ukr-mobil.com/zadnyaya_kryshka_xiaomi_redmi_note_8_pro_so_steklom_kamery_green_10002469", "Перейти")</f>
        <v>Перейти</v>
      </c>
      <c r="F6217" s="2">
        <v>10002469</v>
      </c>
      <c r="G6217" s="4" t="s">
        <v>6417</v>
      </c>
      <c r="H6217" s="1">
        <v>0</v>
      </c>
      <c r="I6217" s="1">
        <v>0</v>
      </c>
      <c r="J6217" s="1">
        <v>0</v>
      </c>
      <c r="K6217" s="2">
        <v>7.0</v>
      </c>
    </row>
    <row r="6218" spans="1:12">
      <c r="A6218" s="3" t="s">
        <v>3663</v>
      </c>
      <c r="B6218" s="3" t="s">
        <v>3749</v>
      </c>
      <c r="C6218" s="3" t="s">
        <v>814</v>
      </c>
      <c r="D6218" s="3"/>
      <c r="E6218" s="2" t="str">
        <f>HYPERLINK("https://old.ukr-mobil.com/zadnyaya_kryshka_xiaomi_redmi_note_9_original_prc_onyx_black_10001178", "Перейти")</f>
        <v>Перейти</v>
      </c>
      <c r="F6218" s="2">
        <v>10001178</v>
      </c>
      <c r="G6218" s="4" t="s">
        <v>6418</v>
      </c>
      <c r="H6218" s="1">
        <v>1</v>
      </c>
      <c r="I6218" s="1">
        <v>9</v>
      </c>
      <c r="J6218" s="1">
        <v>4</v>
      </c>
      <c r="K6218" s="2">
        <v>5.0</v>
      </c>
    </row>
    <row r="6219" spans="1:12">
      <c r="A6219" s="3" t="s">
        <v>6419</v>
      </c>
      <c r="B6219" s="3" t="s">
        <v>6420</v>
      </c>
      <c r="C6219" s="3" t="s">
        <v>6421</v>
      </c>
      <c r="D6219" s="3"/>
      <c r="E6219" s="2" t="str">
        <f>HYPERLINK("https://old.ukr-mobil.com/bga_shariki_mechanic_0_55mm_10000_sht_sostav_sn_63_pb_37_12310", "Перейти")</f>
        <v>Перейти</v>
      </c>
      <c r="F6219" s="2">
        <v>12310</v>
      </c>
      <c r="G6219" s="4" t="s">
        <v>6422</v>
      </c>
      <c r="H6219" s="1">
        <v>0</v>
      </c>
      <c r="I6219" s="1">
        <v>0</v>
      </c>
      <c r="J6219" s="1">
        <v>0</v>
      </c>
      <c r="K6219" s="2">
        <v>5.04</v>
      </c>
    </row>
    <row r="6220" spans="1:12">
      <c r="A6220" s="3" t="s">
        <v>6419</v>
      </c>
      <c r="B6220" s="3" t="s">
        <v>6420</v>
      </c>
      <c r="C6220" s="3" t="s">
        <v>6421</v>
      </c>
      <c r="D6220" s="3"/>
      <c r="E6220" s="2" t="str">
        <f>HYPERLINK("https://old.ukr-mobil.com/bga_shariki_mechanic_0_65mm_10000_sht_sostav_sn_63_pb_37_12309", "Перейти")</f>
        <v>Перейти</v>
      </c>
      <c r="F6220" s="2">
        <v>12309</v>
      </c>
      <c r="G6220" s="4" t="s">
        <v>6423</v>
      </c>
      <c r="H6220" s="1">
        <v>0</v>
      </c>
      <c r="I6220" s="1">
        <v>0</v>
      </c>
      <c r="J6220" s="1">
        <v>0</v>
      </c>
      <c r="K6220" s="2">
        <v>5.04</v>
      </c>
    </row>
    <row r="6221" spans="1:12">
      <c r="A6221" s="3" t="s">
        <v>6419</v>
      </c>
      <c r="B6221" s="3" t="s">
        <v>6420</v>
      </c>
      <c r="C6221" s="3" t="s">
        <v>6424</v>
      </c>
      <c r="D6221" s="3"/>
      <c r="E6221" s="2" t="str">
        <f>HYPERLINK("https://old.ukr-mobil.com/zhalo_900-t-i_s_re_665", "Перейти")</f>
        <v>Перейти</v>
      </c>
      <c r="F6221" s="2">
        <v>665</v>
      </c>
      <c r="G6221" s="4" t="s">
        <v>6425</v>
      </c>
      <c r="H6221" s="1">
        <v>0</v>
      </c>
      <c r="I6221" s="1">
        <v>0</v>
      </c>
      <c r="J6221" s="1">
        <v>0</v>
      </c>
      <c r="K6221" s="2">
        <v>1.31</v>
      </c>
    </row>
    <row r="6222" spans="1:12">
      <c r="A6222" s="3" t="s">
        <v>6419</v>
      </c>
      <c r="B6222" s="3" t="s">
        <v>6420</v>
      </c>
      <c r="C6222" s="3" t="s">
        <v>6424</v>
      </c>
      <c r="D6222" s="3"/>
      <c r="E6222" s="2" t="str">
        <f>HYPERLINK("https://old.ukr-mobil.com/zhalo_900m-t-2_4d_med_kitaj_6795", "Перейти")</f>
        <v>Перейти</v>
      </c>
      <c r="F6222" s="2">
        <v>6795</v>
      </c>
      <c r="G6222" s="4" t="s">
        <v>6426</v>
      </c>
      <c r="H6222" s="1">
        <v>0</v>
      </c>
      <c r="I6222" s="1">
        <v>0</v>
      </c>
      <c r="J6222" s="1">
        <v>0</v>
      </c>
      <c r="K6222" s="2">
        <v>2.02</v>
      </c>
    </row>
    <row r="6223" spans="1:12">
      <c r="A6223" s="3" t="s">
        <v>6419</v>
      </c>
      <c r="B6223" s="3" t="s">
        <v>6420</v>
      </c>
      <c r="C6223" s="3" t="s">
        <v>6424</v>
      </c>
      <c r="D6223" s="3"/>
      <c r="E6223" s="2" t="str">
        <f>HYPERLINK("https://old.ukr-mobil.com/zhalo_900m-t-fi_gsm-sources_bez_svinca_11836", "Перейти")</f>
        <v>Перейти</v>
      </c>
      <c r="F6223" s="2">
        <v>11836</v>
      </c>
      <c r="G6223" s="4" t="s">
        <v>6427</v>
      </c>
      <c r="H6223" s="1">
        <v>2</v>
      </c>
      <c r="I6223" s="1">
        <v>0</v>
      </c>
      <c r="J6223" s="1">
        <v>2</v>
      </c>
      <c r="K6223" s="2">
        <v>2.97</v>
      </c>
    </row>
    <row r="6224" spans="1:12">
      <c r="A6224" s="3" t="s">
        <v>6419</v>
      </c>
      <c r="B6224" s="3" t="s">
        <v>6420</v>
      </c>
      <c r="C6224" s="3" t="s">
        <v>6424</v>
      </c>
      <c r="D6224" s="3"/>
      <c r="E6224" s="2" t="str">
        <f>HYPERLINK("https://old.ukr-mobil.com/zhalo_900m-t-fs_gsm-sources_izognutoe_bez_svinca_11837", "Перейти")</f>
        <v>Перейти</v>
      </c>
      <c r="F6224" s="2">
        <v>11837</v>
      </c>
      <c r="G6224" s="4" t="s">
        <v>6428</v>
      </c>
      <c r="H6224" s="1">
        <v>7</v>
      </c>
      <c r="I6224" s="1">
        <v>0</v>
      </c>
      <c r="J6224" s="1">
        <v>0</v>
      </c>
      <c r="K6224" s="2">
        <v>2.97</v>
      </c>
    </row>
    <row r="6225" spans="1:12">
      <c r="A6225" s="3" t="s">
        <v>6419</v>
      </c>
      <c r="B6225" s="3" t="s">
        <v>6420</v>
      </c>
      <c r="C6225" s="3" t="s">
        <v>6424</v>
      </c>
      <c r="D6225" s="3"/>
      <c r="E6225" s="2" t="str">
        <f>HYPERLINK("https://old.ukr-mobil.com/zhalo_900m-t-i_relife_bez_svinca_10000700", "Перейти")</f>
        <v>Перейти</v>
      </c>
      <c r="F6225" s="2">
        <v>10000700</v>
      </c>
      <c r="G6225" s="4" t="s">
        <v>6429</v>
      </c>
      <c r="H6225" s="1">
        <v>0</v>
      </c>
      <c r="I6225" s="1">
        <v>0</v>
      </c>
      <c r="J6225" s="1">
        <v>0</v>
      </c>
      <c r="K6225" s="2">
        <v>2.5</v>
      </c>
    </row>
    <row r="6226" spans="1:12">
      <c r="A6226" s="3" t="s">
        <v>6419</v>
      </c>
      <c r="B6226" s="3" t="s">
        <v>6420</v>
      </c>
      <c r="C6226" s="3" t="s">
        <v>6424</v>
      </c>
      <c r="D6226" s="3"/>
      <c r="E6226" s="2" t="str">
        <f>HYPERLINK("https://old.ukr-mobil.com/zhalo_900m-t-i_med_kitaj_6794", "Перейти")</f>
        <v>Перейти</v>
      </c>
      <c r="F6226" s="2">
        <v>6794</v>
      </c>
      <c r="G6226" s="4" t="s">
        <v>6430</v>
      </c>
      <c r="H6226" s="1">
        <v>50</v>
      </c>
      <c r="I6226" s="1">
        <v>0</v>
      </c>
      <c r="J6226" s="1">
        <v>26</v>
      </c>
      <c r="K6226" s="2">
        <v>1.75</v>
      </c>
    </row>
    <row r="6227" spans="1:12">
      <c r="A6227" s="3" t="s">
        <v>6419</v>
      </c>
      <c r="B6227" s="3" t="s">
        <v>6420</v>
      </c>
      <c r="C6227" s="3" t="s">
        <v>6424</v>
      </c>
      <c r="D6227" s="3"/>
      <c r="E6227" s="2" t="str">
        <f>HYPERLINK("https://old.ukr-mobil.com/zhalo_900m-t-is_relife_izognutoe_bez_svinca_10000699", "Перейти")</f>
        <v>Перейти</v>
      </c>
      <c r="F6227" s="2">
        <v>10000699</v>
      </c>
      <c r="G6227" s="4" t="s">
        <v>6431</v>
      </c>
      <c r="H6227" s="1">
        <v>0</v>
      </c>
      <c r="I6227" s="1">
        <v>0</v>
      </c>
      <c r="J6227" s="1">
        <v>0</v>
      </c>
      <c r="K6227" s="2">
        <v>2.75</v>
      </c>
    </row>
    <row r="6228" spans="1:12">
      <c r="A6228" s="3" t="s">
        <v>6419</v>
      </c>
      <c r="B6228" s="3" t="s">
        <v>6420</v>
      </c>
      <c r="C6228" s="3" t="s">
        <v>6424</v>
      </c>
      <c r="D6228" s="3"/>
      <c r="E6228" s="2" t="str">
        <f>HYPERLINK("https://old.ukr-mobil.com/zhalo_900m-t-is_izognutoe_med_kitaj_11819", "Перейти")</f>
        <v>Перейти</v>
      </c>
      <c r="F6228" s="2">
        <v>11819</v>
      </c>
      <c r="G6228" s="4" t="s">
        <v>6432</v>
      </c>
      <c r="H6228" s="1">
        <v>0</v>
      </c>
      <c r="I6228" s="1">
        <v>0</v>
      </c>
      <c r="J6228" s="1">
        <v>0</v>
      </c>
      <c r="K6228" s="2">
        <v>2.02</v>
      </c>
    </row>
    <row r="6229" spans="1:12">
      <c r="A6229" s="3" t="s">
        <v>6419</v>
      </c>
      <c r="B6229" s="3" t="s">
        <v>6420</v>
      </c>
      <c r="C6229" s="3" t="s">
        <v>6424</v>
      </c>
      <c r="D6229" s="3"/>
      <c r="E6229" s="2" t="str">
        <f>HYPERLINK("https://old.ukr-mobil.com/zhalo_900m-t-k_med_kitaj_6796", "Перейти")</f>
        <v>Перейти</v>
      </c>
      <c r="F6229" s="2">
        <v>6796</v>
      </c>
      <c r="G6229" s="4" t="s">
        <v>6433</v>
      </c>
      <c r="H6229" s="1">
        <v>0</v>
      </c>
      <c r="I6229" s="1">
        <v>0</v>
      </c>
      <c r="J6229" s="1">
        <v>0</v>
      </c>
      <c r="K6229" s="2">
        <v>2.02</v>
      </c>
    </row>
    <row r="6230" spans="1:12">
      <c r="A6230" s="3" t="s">
        <v>6419</v>
      </c>
      <c r="B6230" s="3" t="s">
        <v>6420</v>
      </c>
      <c r="C6230" s="3" t="s">
        <v>6424</v>
      </c>
      <c r="D6230" s="3"/>
      <c r="E6230" s="2" t="str">
        <f>HYPERLINK("https://old.ukr-mobil.com/zhalo_aina_900m-t-i_s_re_1558", "Перейти")</f>
        <v>Перейти</v>
      </c>
      <c r="F6230" s="2">
        <v>1558</v>
      </c>
      <c r="G6230" s="4" t="s">
        <v>6434</v>
      </c>
      <c r="H6230" s="1">
        <v>5</v>
      </c>
      <c r="I6230" s="1">
        <v>0</v>
      </c>
      <c r="J6230" s="1">
        <v>0</v>
      </c>
      <c r="K6230" s="2">
        <v>2.27</v>
      </c>
    </row>
    <row r="6231" spans="1:12">
      <c r="A6231" s="3" t="s">
        <v>6419</v>
      </c>
      <c r="B6231" s="3" t="s">
        <v>6420</v>
      </c>
      <c r="C6231" s="3" t="s">
        <v>6424</v>
      </c>
      <c r="D6231" s="3"/>
      <c r="E6231" s="2" t="str">
        <f>HYPERLINK("https://old.ukr-mobil.com/zhalo_baku_bk-900-t-i_s_re_1sht_2933", "Перейти")</f>
        <v>Перейти</v>
      </c>
      <c r="F6231" s="2">
        <v>2933</v>
      </c>
      <c r="G6231" s="4" t="s">
        <v>6435</v>
      </c>
      <c r="H6231" s="1">
        <v>0</v>
      </c>
      <c r="I6231" s="1">
        <v>0</v>
      </c>
      <c r="J6231" s="1">
        <v>0</v>
      </c>
      <c r="K6231" s="2">
        <v>1.7</v>
      </c>
    </row>
    <row r="6232" spans="1:12">
      <c r="A6232" s="3" t="s">
        <v>6419</v>
      </c>
      <c r="B6232" s="3" t="s">
        <v>6420</v>
      </c>
      <c r="C6232" s="3" t="s">
        <v>6424</v>
      </c>
      <c r="D6232" s="3"/>
      <c r="E6232" s="2" t="str">
        <f>HYPERLINK("https://old.ukr-mobil.com/zhalo_baku_bk-900-t-ic_10000365", "Перейти")</f>
        <v>Перейти</v>
      </c>
      <c r="F6232" s="2">
        <v>10000365</v>
      </c>
      <c r="G6232" s="4" t="s">
        <v>6436</v>
      </c>
      <c r="H6232" s="1">
        <v>2</v>
      </c>
      <c r="I6232" s="1">
        <v>0</v>
      </c>
      <c r="J6232" s="1">
        <v>0</v>
      </c>
      <c r="K6232" s="2">
        <v>1.7</v>
      </c>
    </row>
    <row r="6233" spans="1:12">
      <c r="A6233" s="3" t="s">
        <v>6419</v>
      </c>
      <c r="B6233" s="3" t="s">
        <v>6420</v>
      </c>
      <c r="C6233" s="3" t="s">
        <v>6424</v>
      </c>
      <c r="D6233" s="3"/>
      <c r="E6233" s="2" t="str">
        <f>HYPERLINK("https://old.ukr-mobil.com/zhalo_baku_bk-900-t-s_10000364", "Перейти")</f>
        <v>Перейти</v>
      </c>
      <c r="F6233" s="2">
        <v>10000364</v>
      </c>
      <c r="G6233" s="4" t="s">
        <v>6437</v>
      </c>
      <c r="H6233" s="1">
        <v>3</v>
      </c>
      <c r="I6233" s="1">
        <v>0</v>
      </c>
      <c r="J6233" s="1">
        <v>2</v>
      </c>
      <c r="K6233" s="2">
        <v>1.7</v>
      </c>
    </row>
    <row r="6234" spans="1:12">
      <c r="A6234" s="3" t="s">
        <v>6419</v>
      </c>
      <c r="B6234" s="3" t="s">
        <v>6420</v>
      </c>
      <c r="C6234" s="3" t="s">
        <v>6424</v>
      </c>
      <c r="D6234" s="3"/>
      <c r="E6234" s="2" t="str">
        <f>HYPERLINK("https://old.ukr-mobil.com/zhalo_hako_900m-m-k_2_4d_9902", "Перейти")</f>
        <v>Перейти</v>
      </c>
      <c r="F6234" s="2">
        <v>9902</v>
      </c>
      <c r="G6234" s="4" t="s">
        <v>6438</v>
      </c>
      <c r="H6234" s="1">
        <v>7</v>
      </c>
      <c r="I6234" s="1">
        <v>0</v>
      </c>
      <c r="J6234" s="1">
        <v>0</v>
      </c>
      <c r="K6234" s="2">
        <v>2.82</v>
      </c>
    </row>
    <row r="6235" spans="1:12">
      <c r="A6235" s="3" t="s">
        <v>6419</v>
      </c>
      <c r="B6235" s="3" t="s">
        <v>6420</v>
      </c>
      <c r="C6235" s="3" t="s">
        <v>6424</v>
      </c>
      <c r="D6235" s="3"/>
      <c r="E6235" s="2" t="str">
        <f>HYPERLINK("https://old.ukr-mobil.com/zhalo_hako_900m-t-i_2893", "Перейти")</f>
        <v>Перейти</v>
      </c>
      <c r="F6235" s="2">
        <v>2893</v>
      </c>
      <c r="G6235" s="4" t="s">
        <v>6439</v>
      </c>
      <c r="H6235" s="1">
        <v>0</v>
      </c>
      <c r="I6235" s="1">
        <v>0</v>
      </c>
      <c r="J6235" s="1">
        <v>0</v>
      </c>
      <c r="K6235" s="2">
        <v>2.52</v>
      </c>
    </row>
    <row r="6236" spans="1:12">
      <c r="A6236" s="3" t="s">
        <v>6419</v>
      </c>
      <c r="B6236" s="3" t="s">
        <v>6420</v>
      </c>
      <c r="C6236" s="3" t="s">
        <v>6424</v>
      </c>
      <c r="D6236" s="3"/>
      <c r="E6236" s="2" t="str">
        <f>HYPERLINK("https://old.ukr-mobil.com/zhalo_hako_900m-t-k_9904", "Перейти")</f>
        <v>Перейти</v>
      </c>
      <c r="F6236" s="2">
        <v>9904</v>
      </c>
      <c r="G6236" s="4" t="s">
        <v>6440</v>
      </c>
      <c r="H6236" s="1">
        <v>0</v>
      </c>
      <c r="I6236" s="1">
        <v>0</v>
      </c>
      <c r="J6236" s="1">
        <v>0</v>
      </c>
      <c r="K6236" s="2">
        <v>2.82</v>
      </c>
    </row>
    <row r="6237" spans="1:12">
      <c r="A6237" s="3" t="s">
        <v>6419</v>
      </c>
      <c r="B6237" s="3" t="s">
        <v>6420</v>
      </c>
      <c r="C6237" s="3" t="s">
        <v>6424</v>
      </c>
      <c r="D6237" s="3"/>
      <c r="E6237" s="2" t="str">
        <f>HYPERLINK("https://old.ukr-mobil.com/zhalo_quick_936_900-i_10004330", "Перейти")</f>
        <v>Перейти</v>
      </c>
      <c r="F6237" s="2">
        <v>10004330</v>
      </c>
      <c r="G6237" s="4" t="s">
        <v>6441</v>
      </c>
      <c r="H6237" s="1">
        <v>11</v>
      </c>
      <c r="I6237" s="1">
        <v>3</v>
      </c>
      <c r="J6237" s="1">
        <v>2</v>
      </c>
      <c r="K6237" s="2">
        <v>1.8</v>
      </c>
    </row>
    <row r="6238" spans="1:12">
      <c r="A6238" s="3" t="s">
        <v>6419</v>
      </c>
      <c r="B6238" s="3" t="s">
        <v>6420</v>
      </c>
      <c r="C6238" s="3" t="s">
        <v>6424</v>
      </c>
      <c r="D6238" s="3"/>
      <c r="E6238" s="2" t="str">
        <f>HYPERLINK("https://old.ukr-mobil.com/zhalo_quick_936_900-k_10004327", "Перейти")</f>
        <v>Перейти</v>
      </c>
      <c r="F6238" s="2">
        <v>10004327</v>
      </c>
      <c r="G6238" s="4" t="s">
        <v>6442</v>
      </c>
      <c r="H6238" s="1">
        <v>1</v>
      </c>
      <c r="I6238" s="1">
        <v>6</v>
      </c>
      <c r="J6238" s="1">
        <v>0</v>
      </c>
      <c r="K6238" s="2">
        <v>1.8</v>
      </c>
    </row>
    <row r="6239" spans="1:12">
      <c r="A6239" s="3" t="s">
        <v>6419</v>
      </c>
      <c r="B6239" s="3" t="s">
        <v>6420</v>
      </c>
      <c r="C6239" s="3" t="s">
        <v>6424</v>
      </c>
      <c r="D6239" s="3"/>
      <c r="E6239" s="2" t="str">
        <f>HYPERLINK("https://old.ukr-mobil.com/zhalo_quick_936_900-si_10004329", "Перейти")</f>
        <v>Перейти</v>
      </c>
      <c r="F6239" s="2">
        <v>10004329</v>
      </c>
      <c r="G6239" s="4" t="s">
        <v>6443</v>
      </c>
      <c r="H6239" s="1">
        <v>0</v>
      </c>
      <c r="I6239" s="1">
        <v>2</v>
      </c>
      <c r="J6239" s="1">
        <v>1</v>
      </c>
      <c r="K6239" s="2">
        <v>1.8</v>
      </c>
    </row>
    <row r="6240" spans="1:12">
      <c r="A6240" s="3" t="s">
        <v>6419</v>
      </c>
      <c r="B6240" s="3" t="s">
        <v>6420</v>
      </c>
      <c r="C6240" s="3" t="s">
        <v>6424</v>
      </c>
      <c r="D6240" s="3"/>
      <c r="E6240" s="2" t="str">
        <f>HYPERLINK("https://old.ukr-mobil.com/zhalo_quick_936_900-sk_10004328", "Перейти")</f>
        <v>Перейти</v>
      </c>
      <c r="F6240" s="2">
        <v>10004328</v>
      </c>
      <c r="G6240" s="4" t="s">
        <v>6444</v>
      </c>
      <c r="H6240" s="1">
        <v>0</v>
      </c>
      <c r="I6240" s="1">
        <v>1</v>
      </c>
      <c r="J6240" s="1">
        <v>0</v>
      </c>
      <c r="K6240" s="2">
        <v>1.8</v>
      </c>
    </row>
    <row r="6241" spans="1:12">
      <c r="A6241" s="3" t="s">
        <v>6419</v>
      </c>
      <c r="B6241" s="3" t="s">
        <v>6420</v>
      </c>
      <c r="C6241" s="3" t="s">
        <v>6424</v>
      </c>
      <c r="D6241" s="3"/>
      <c r="E6241" s="2" t="str">
        <f>HYPERLINK("https://old.ukr-mobil.com/zhalo_dlya_indukcionnoj_payalnoj_stancii_quick_203h_tip_zhala_1c_10001763", "Перейти")</f>
        <v>Перейти</v>
      </c>
      <c r="F6241" s="2">
        <v>10001763</v>
      </c>
      <c r="G6241" s="4" t="s">
        <v>6445</v>
      </c>
      <c r="H6241" s="1">
        <v>14</v>
      </c>
      <c r="I6241" s="1">
        <v>4</v>
      </c>
      <c r="J6241" s="1">
        <v>3</v>
      </c>
      <c r="K6241" s="2">
        <v>2.5</v>
      </c>
    </row>
    <row r="6242" spans="1:12">
      <c r="A6242" s="3" t="s">
        <v>6419</v>
      </c>
      <c r="B6242" s="3" t="s">
        <v>6420</v>
      </c>
      <c r="C6242" s="3" t="s">
        <v>6424</v>
      </c>
      <c r="D6242" s="3"/>
      <c r="E6242" s="2" t="str">
        <f>HYPERLINK("https://old.ukr-mobil.com/zhalo_dlya_indukcionnoj_payalnoj_stancii_quick_203h_tip_zhala_3c_10001765", "Перейти")</f>
        <v>Перейти</v>
      </c>
      <c r="F6242" s="2">
        <v>10001765</v>
      </c>
      <c r="G6242" s="4" t="s">
        <v>6446</v>
      </c>
      <c r="H6242" s="1">
        <v>0</v>
      </c>
      <c r="I6242" s="1">
        <v>0</v>
      </c>
      <c r="J6242" s="1">
        <v>0</v>
      </c>
      <c r="K6242" s="2">
        <v>2.75</v>
      </c>
    </row>
    <row r="6243" spans="1:12">
      <c r="A6243" s="3" t="s">
        <v>6419</v>
      </c>
      <c r="B6243" s="3" t="s">
        <v>6420</v>
      </c>
      <c r="C6243" s="3" t="s">
        <v>6424</v>
      </c>
      <c r="D6243" s="3"/>
      <c r="E6243" s="2" t="str">
        <f>HYPERLINK("https://old.ukr-mobil.com/zhalo_dlya_indukcionnoj_payalnoj_stancii_quick_203h_tip_zhala_i_10001768", "Перейти")</f>
        <v>Перейти</v>
      </c>
      <c r="F6243" s="2">
        <v>10001768</v>
      </c>
      <c r="G6243" s="4" t="s">
        <v>6447</v>
      </c>
      <c r="H6243" s="1">
        <v>12</v>
      </c>
      <c r="I6243" s="1">
        <v>6</v>
      </c>
      <c r="J6243" s="1">
        <v>2</v>
      </c>
      <c r="K6243" s="2">
        <v>2.5</v>
      </c>
    </row>
    <row r="6244" spans="1:12">
      <c r="A6244" s="3" t="s">
        <v>6419</v>
      </c>
      <c r="B6244" s="3" t="s">
        <v>6420</v>
      </c>
      <c r="C6244" s="3" t="s">
        <v>6424</v>
      </c>
      <c r="D6244" s="3"/>
      <c r="E6244" s="2" t="str">
        <f>HYPERLINK("https://old.ukr-mobil.com/zhalo_dlya_indukcionnoj_payalnoj_stancii_quick_203h_tip_zhala_j_10001766", "Перейти")</f>
        <v>Перейти</v>
      </c>
      <c r="F6244" s="2">
        <v>10001766</v>
      </c>
      <c r="G6244" s="4" t="s">
        <v>6448</v>
      </c>
      <c r="H6244" s="1">
        <v>6</v>
      </c>
      <c r="I6244" s="1">
        <v>6</v>
      </c>
      <c r="J6244" s="1">
        <v>0</v>
      </c>
      <c r="K6244" s="2">
        <v>2.5</v>
      </c>
    </row>
    <row r="6245" spans="1:12">
      <c r="A6245" s="3" t="s">
        <v>6419</v>
      </c>
      <c r="B6245" s="3" t="s">
        <v>6420</v>
      </c>
      <c r="C6245" s="3" t="s">
        <v>6424</v>
      </c>
      <c r="D6245" s="3"/>
      <c r="E6245" s="2" t="str">
        <f>HYPERLINK("https://old.ukr-mobil.com/zhalo_dlya_indukcionnoj_payalnoj_stancii_quick_203h_tip_zhala_li_10001767", "Перейти")</f>
        <v>Перейти</v>
      </c>
      <c r="F6245" s="2">
        <v>10001767</v>
      </c>
      <c r="G6245" s="4" t="s">
        <v>6449</v>
      </c>
      <c r="H6245" s="1">
        <v>6</v>
      </c>
      <c r="I6245" s="1">
        <v>3</v>
      </c>
      <c r="J6245" s="1">
        <v>2</v>
      </c>
      <c r="K6245" s="2">
        <v>2.5</v>
      </c>
    </row>
    <row r="6246" spans="1:12">
      <c r="A6246" s="3" t="s">
        <v>6419</v>
      </c>
      <c r="B6246" s="3" t="s">
        <v>6420</v>
      </c>
      <c r="C6246" s="3" t="s">
        <v>6424</v>
      </c>
      <c r="D6246" s="3"/>
      <c r="E6246" s="2" t="str">
        <f>HYPERLINK("https://old.ukr-mobil.com/zhalo_dlya_indukcionnoj_payalnoj_stancii_quick_203h_tip_zhala_sk_10001764", "Перейти")</f>
        <v>Перейти</v>
      </c>
      <c r="F6246" s="2">
        <v>10001764</v>
      </c>
      <c r="G6246" s="4" t="s">
        <v>6450</v>
      </c>
      <c r="H6246" s="1">
        <v>0</v>
      </c>
      <c r="I6246" s="1">
        <v>0</v>
      </c>
      <c r="J6246" s="1">
        <v>0</v>
      </c>
      <c r="K6246" s="2">
        <v>2.5</v>
      </c>
    </row>
    <row r="6247" spans="1:12">
      <c r="A6247" s="3" t="s">
        <v>6419</v>
      </c>
      <c r="B6247" s="3" t="s">
        <v>6420</v>
      </c>
      <c r="C6247" s="3" t="s">
        <v>6424</v>
      </c>
      <c r="D6247" s="3"/>
      <c r="E6247" s="2" t="str">
        <f>HYPERLINK("https://old.ukr-mobil.com/zhalo_dlya_payalnikov_quick_ts1200a_tss02-3c_10001650", "Перейти")</f>
        <v>Перейти</v>
      </c>
      <c r="F6247" s="2">
        <v>10001650</v>
      </c>
      <c r="G6247" s="4" t="s">
        <v>6451</v>
      </c>
      <c r="H6247" s="1">
        <v>3</v>
      </c>
      <c r="I6247" s="1">
        <v>4</v>
      </c>
      <c r="J6247" s="1">
        <v>4</v>
      </c>
      <c r="K6247" s="2">
        <v>13.0</v>
      </c>
    </row>
    <row r="6248" spans="1:12">
      <c r="A6248" s="3" t="s">
        <v>6419</v>
      </c>
      <c r="B6248" s="3" t="s">
        <v>6420</v>
      </c>
      <c r="C6248" s="3" t="s">
        <v>6424</v>
      </c>
      <c r="D6248" s="3"/>
      <c r="E6248" s="2" t="str">
        <f>HYPERLINK("https://old.ukr-mobil.com/zhalo_dlya_payalnikov_quick_ts1200a_tss02-i_12286", "Перейти")</f>
        <v>Перейти</v>
      </c>
      <c r="F6248" s="2">
        <v>12286</v>
      </c>
      <c r="G6248" s="4" t="s">
        <v>6452</v>
      </c>
      <c r="H6248" s="1">
        <v>3</v>
      </c>
      <c r="I6248" s="1">
        <v>5</v>
      </c>
      <c r="J6248" s="1">
        <v>3</v>
      </c>
      <c r="K6248" s="2">
        <v>14.0</v>
      </c>
    </row>
    <row r="6249" spans="1:12">
      <c r="A6249" s="3" t="s">
        <v>6419</v>
      </c>
      <c r="B6249" s="3" t="s">
        <v>6420</v>
      </c>
      <c r="C6249" s="3" t="s">
        <v>6424</v>
      </c>
      <c r="D6249" s="3"/>
      <c r="E6249" s="2" t="str">
        <f>HYPERLINK("https://old.ukr-mobil.com/zhalo_dlya_payalnikov_quick_ts1200a_tss02-j_10001649", "Перейти")</f>
        <v>Перейти</v>
      </c>
      <c r="F6249" s="2">
        <v>10001649</v>
      </c>
      <c r="G6249" s="4" t="s">
        <v>6453</v>
      </c>
      <c r="H6249" s="1">
        <v>9</v>
      </c>
      <c r="I6249" s="1">
        <v>3</v>
      </c>
      <c r="J6249" s="1">
        <v>4</v>
      </c>
      <c r="K6249" s="2">
        <v>14.0</v>
      </c>
    </row>
    <row r="6250" spans="1:12">
      <c r="A6250" s="3" t="s">
        <v>6419</v>
      </c>
      <c r="B6250" s="3" t="s">
        <v>6420</v>
      </c>
      <c r="C6250" s="3" t="s">
        <v>6424</v>
      </c>
      <c r="D6250" s="3"/>
      <c r="E6250" s="2" t="str">
        <f>HYPERLINK("https://old.ukr-mobil.com/zhalo_dlya_payalnikov_quick_ts1200a_tss02-k_10001651", "Перейти")</f>
        <v>Перейти</v>
      </c>
      <c r="F6250" s="2">
        <v>10001651</v>
      </c>
      <c r="G6250" s="4" t="s">
        <v>6454</v>
      </c>
      <c r="H6250" s="1">
        <v>1</v>
      </c>
      <c r="I6250" s="1">
        <v>2</v>
      </c>
      <c r="J6250" s="1">
        <v>1</v>
      </c>
      <c r="K6250" s="2">
        <v>14.0</v>
      </c>
    </row>
    <row r="6251" spans="1:12">
      <c r="A6251" s="3" t="s">
        <v>6419</v>
      </c>
      <c r="B6251" s="3" t="s">
        <v>6420</v>
      </c>
      <c r="C6251" s="3" t="s">
        <v>6424</v>
      </c>
      <c r="D6251" s="3"/>
      <c r="E6251" s="2" t="str">
        <f>HYPERLINK("https://old.ukr-mobil.com/zhalo_dlya_payalnikov_quick_ts1200a_tss02-sk_12287", "Перейти")</f>
        <v>Перейти</v>
      </c>
      <c r="F6251" s="2">
        <v>12287</v>
      </c>
      <c r="G6251" s="4" t="s">
        <v>6455</v>
      </c>
      <c r="H6251" s="1">
        <v>0</v>
      </c>
      <c r="I6251" s="1">
        <v>1</v>
      </c>
      <c r="J6251" s="1">
        <v>1</v>
      </c>
      <c r="K6251" s="2">
        <v>14.0</v>
      </c>
    </row>
    <row r="6252" spans="1:12">
      <c r="A6252" s="3" t="s">
        <v>6419</v>
      </c>
      <c r="B6252" s="3" t="s">
        <v>6420</v>
      </c>
      <c r="C6252" s="3" t="s">
        <v>6424</v>
      </c>
      <c r="D6252" s="3"/>
      <c r="E6252" s="2" t="str">
        <f>HYPERLINK("https://old.ukr-mobil.com/zhalo_dlya_payalnikov_quick_ts1200a_tss02b-i-02_10001646", "Перейти")</f>
        <v>Перейти</v>
      </c>
      <c r="F6252" s="2">
        <v>10001646</v>
      </c>
      <c r="G6252" s="4" t="s">
        <v>6456</v>
      </c>
      <c r="H6252" s="1">
        <v>6</v>
      </c>
      <c r="I6252" s="1">
        <v>5</v>
      </c>
      <c r="J6252" s="1">
        <v>6</v>
      </c>
      <c r="K6252" s="2">
        <v>12.65</v>
      </c>
    </row>
    <row r="6253" spans="1:12">
      <c r="A6253" s="3" t="s">
        <v>6419</v>
      </c>
      <c r="B6253" s="3" t="s">
        <v>6420</v>
      </c>
      <c r="C6253" s="3" t="s">
        <v>6424</v>
      </c>
      <c r="D6253" s="3"/>
      <c r="E6253" s="2" t="str">
        <f>HYPERLINK("https://old.ukr-mobil.com/zhalo_dlya_payalnikov_quick_ts1200a_tss02b-j-02_10001647", "Перейти")</f>
        <v>Перейти</v>
      </c>
      <c r="F6253" s="2">
        <v>10001647</v>
      </c>
      <c r="G6253" s="4" t="s">
        <v>6457</v>
      </c>
      <c r="H6253" s="1">
        <v>2</v>
      </c>
      <c r="I6253" s="1">
        <v>2</v>
      </c>
      <c r="J6253" s="1">
        <v>0</v>
      </c>
      <c r="K6253" s="2">
        <v>14.0</v>
      </c>
    </row>
    <row r="6254" spans="1:12">
      <c r="A6254" s="3" t="s">
        <v>6419</v>
      </c>
      <c r="B6254" s="3" t="s">
        <v>6420</v>
      </c>
      <c r="C6254" s="3" t="s">
        <v>6424</v>
      </c>
      <c r="D6254" s="3"/>
      <c r="E6254" s="2" t="str">
        <f>HYPERLINK("https://old.ukr-mobil.com/zhalo_dlya_payalnikov_quick_ts1200a_tss02b-sk-02_10001648", "Перейти")</f>
        <v>Перейти</v>
      </c>
      <c r="F6254" s="2">
        <v>10001648</v>
      </c>
      <c r="G6254" s="4" t="s">
        <v>6458</v>
      </c>
      <c r="H6254" s="1">
        <v>1</v>
      </c>
      <c r="I6254" s="1">
        <v>0</v>
      </c>
      <c r="J6254" s="1">
        <v>0</v>
      </c>
      <c r="K6254" s="2">
        <v>13.0</v>
      </c>
    </row>
    <row r="6255" spans="1:12">
      <c r="A6255" s="3" t="s">
        <v>6419</v>
      </c>
      <c r="B6255" s="3" t="s">
        <v>6420</v>
      </c>
      <c r="C6255" s="3" t="s">
        <v>6424</v>
      </c>
      <c r="D6255" s="3"/>
      <c r="E6255" s="2" t="str">
        <f>HYPERLINK("https://old.ukr-mobil.com/sredstvo_dlya_ochistki_zhal_mechanic_s9_12297", "Перейти")</f>
        <v>Перейти</v>
      </c>
      <c r="F6255" s="2">
        <v>12297</v>
      </c>
      <c r="G6255" s="4" t="s">
        <v>6459</v>
      </c>
      <c r="H6255" s="1">
        <v>22</v>
      </c>
      <c r="I6255" s="1">
        <v>1</v>
      </c>
      <c r="J6255" s="1">
        <v>1</v>
      </c>
      <c r="K6255" s="2">
        <v>4.5</v>
      </c>
    </row>
    <row r="6256" spans="1:12">
      <c r="A6256" s="3" t="s">
        <v>6419</v>
      </c>
      <c r="B6256" s="3" t="s">
        <v>6420</v>
      </c>
      <c r="C6256" s="3" t="s">
        <v>6424</v>
      </c>
      <c r="D6256" s="3"/>
      <c r="E6256" s="2" t="str">
        <f>HYPERLINK("https://old.ukr-mobil.com/sredstvo_dlya_ochistki_zhal_relife_rl-461_12250", "Перейти")</f>
        <v>Перейти</v>
      </c>
      <c r="F6256" s="2">
        <v>12250</v>
      </c>
      <c r="G6256" s="4" t="s">
        <v>6460</v>
      </c>
      <c r="H6256" s="1">
        <v>0</v>
      </c>
      <c r="I6256" s="1">
        <v>0</v>
      </c>
      <c r="J6256" s="1">
        <v>0</v>
      </c>
      <c r="K6256" s="2">
        <v>4.28</v>
      </c>
    </row>
    <row r="6257" spans="1:12">
      <c r="A6257" s="3" t="s">
        <v>6419</v>
      </c>
      <c r="B6257" s="3" t="s">
        <v>6420</v>
      </c>
      <c r="C6257" s="3" t="s">
        <v>6461</v>
      </c>
      <c r="D6257" s="3"/>
      <c r="E6257" s="2" t="str">
        <f>HYPERLINK("https://old.ukr-mobil.com/rastvoritel_dlya_udaleniya_kleyaz_bga_m_kroskhem_yaxun_yx-535_20ml_5356", "Перейти")</f>
        <v>Перейти</v>
      </c>
      <c r="F6257" s="2">
        <v>5356</v>
      </c>
      <c r="G6257" s="4" t="s">
        <v>6462</v>
      </c>
      <c r="H6257" s="1">
        <v>0</v>
      </c>
      <c r="I6257" s="1">
        <v>0</v>
      </c>
      <c r="J6257" s="1">
        <v>0</v>
      </c>
      <c r="K6257" s="2">
        <v>13.1</v>
      </c>
    </row>
    <row r="6258" spans="1:12">
      <c r="A6258" s="3" t="s">
        <v>6419</v>
      </c>
      <c r="B6258" s="3" t="s">
        <v>6420</v>
      </c>
      <c r="C6258" s="3" t="s">
        <v>6463</v>
      </c>
      <c r="D6258" s="3"/>
      <c r="E6258" s="2" t="str">
        <f>HYPERLINK("https://old.ukr-mobil.com/antistaticheskij_termostojkij_kovrik_dlya_pajki_silikonovyj_s120_7388", "Перейти")</f>
        <v>Перейти</v>
      </c>
      <c r="F6258" s="2">
        <v>7388</v>
      </c>
      <c r="G6258" s="4" t="s">
        <v>6464</v>
      </c>
      <c r="H6258" s="1">
        <v>0</v>
      </c>
      <c r="I6258" s="1">
        <v>0</v>
      </c>
      <c r="J6258" s="1">
        <v>0</v>
      </c>
      <c r="K6258" s="2">
        <v>5.04</v>
      </c>
    </row>
    <row r="6259" spans="1:12">
      <c r="A6259" s="3" t="s">
        <v>6419</v>
      </c>
      <c r="B6259" s="3" t="s">
        <v>6420</v>
      </c>
      <c r="C6259" s="3" t="s">
        <v>6463</v>
      </c>
      <c r="D6259" s="3"/>
      <c r="E6259" s="2" t="str">
        <f>HYPERLINK("https://old.ukr-mobil.com/antistaticheskij_termostojkij_kovrik_dlya_pajki_s_magnitnymi_zonami_silikonovyj_s160_8502", "Перейти")</f>
        <v>Перейти</v>
      </c>
      <c r="F6259" s="2">
        <v>8502</v>
      </c>
      <c r="G6259" s="4" t="s">
        <v>6465</v>
      </c>
      <c r="H6259" s="1">
        <v>5</v>
      </c>
      <c r="I6259" s="1">
        <v>6</v>
      </c>
      <c r="J6259" s="1">
        <v>10</v>
      </c>
      <c r="K6259" s="2">
        <v>11.5</v>
      </c>
    </row>
    <row r="6260" spans="1:12">
      <c r="A6260" s="3" t="s">
        <v>6419</v>
      </c>
      <c r="B6260" s="3" t="s">
        <v>6420</v>
      </c>
      <c r="C6260" s="3" t="s">
        <v>6466</v>
      </c>
      <c r="D6260" s="3"/>
      <c r="E6260" s="2" t="str">
        <f>HYPERLINK("https://old.ukr-mobil.com/nabor_mechanic_gs2_dlya_vosstanovlenie_kontaktnyh_ploshchadok_pyatakov_10002780", "Перейти")</f>
        <v>Перейти</v>
      </c>
      <c r="F6260" s="2">
        <v>10002780</v>
      </c>
      <c r="G6260" s="4" t="s">
        <v>6467</v>
      </c>
      <c r="H6260" s="1">
        <v>0</v>
      </c>
      <c r="I6260" s="1">
        <v>0</v>
      </c>
      <c r="J6260" s="1">
        <v>0</v>
      </c>
      <c r="K6260" s="2">
        <v>8.5</v>
      </c>
    </row>
    <row r="6261" spans="1:12">
      <c r="A6261" s="3" t="s">
        <v>6419</v>
      </c>
      <c r="B6261" s="3" t="s">
        <v>6420</v>
      </c>
      <c r="C6261" s="3" t="s">
        <v>6468</v>
      </c>
      <c r="D6261" s="3"/>
      <c r="E6261" s="2" t="str">
        <f>HYPERLINK("https://old.ukr-mobil.com/opletka_dlya_snyatiya_pripoya_baku_bk-2015_1_5m_2_0mm_6598", "Перейти")</f>
        <v>Перейти</v>
      </c>
      <c r="F6261" s="2">
        <v>6598</v>
      </c>
      <c r="G6261" s="4" t="s">
        <v>6469</v>
      </c>
      <c r="H6261" s="1">
        <v>0</v>
      </c>
      <c r="I6261" s="1">
        <v>0</v>
      </c>
      <c r="J6261" s="1">
        <v>0</v>
      </c>
      <c r="K6261" s="2">
        <v>1.56</v>
      </c>
    </row>
    <row r="6262" spans="1:12">
      <c r="A6262" s="3" t="s">
        <v>6419</v>
      </c>
      <c r="B6262" s="3" t="s">
        <v>6420</v>
      </c>
      <c r="C6262" s="3" t="s">
        <v>6468</v>
      </c>
      <c r="D6262" s="3"/>
      <c r="E6262" s="2" t="str">
        <f>HYPERLINK("https://old.ukr-mobil.com/opletka_dlya_snyatiya_pripoya_mechanic_r300_1015_dlina_1_5_m_shirina_1_0_mm_10002760", "Перейти")</f>
        <v>Перейти</v>
      </c>
      <c r="F6262" s="2">
        <v>10002760</v>
      </c>
      <c r="G6262" s="4" t="s">
        <v>6470</v>
      </c>
      <c r="H6262" s="1">
        <v>18</v>
      </c>
      <c r="I6262" s="1">
        <v>4</v>
      </c>
      <c r="J6262" s="1">
        <v>10</v>
      </c>
      <c r="K6262" s="2">
        <v>2.25</v>
      </c>
    </row>
    <row r="6263" spans="1:12">
      <c r="A6263" s="3" t="s">
        <v>6419</v>
      </c>
      <c r="B6263" s="3" t="s">
        <v>6420</v>
      </c>
      <c r="C6263" s="3" t="s">
        <v>6468</v>
      </c>
      <c r="D6263" s="3"/>
      <c r="E6263" s="2" t="str">
        <f>HYPERLINK("https://old.ukr-mobil.com/opletka_dlya_snyatiya_pripoya_mechanic_1_5m_1_5mm_11955", "Перейти")</f>
        <v>Перейти</v>
      </c>
      <c r="F6263" s="2">
        <v>11955</v>
      </c>
      <c r="G6263" s="4" t="s">
        <v>6471</v>
      </c>
      <c r="H6263" s="1">
        <v>72</v>
      </c>
      <c r="I6263" s="1">
        <v>11</v>
      </c>
      <c r="J6263" s="1">
        <v>17</v>
      </c>
      <c r="K6263" s="2">
        <v>2.25</v>
      </c>
    </row>
    <row r="6264" spans="1:12">
      <c r="A6264" s="3" t="s">
        <v>6419</v>
      </c>
      <c r="B6264" s="3" t="s">
        <v>6420</v>
      </c>
      <c r="C6264" s="3" t="s">
        <v>6468</v>
      </c>
      <c r="D6264" s="3"/>
      <c r="E6264" s="2" t="str">
        <f>HYPERLINK("https://old.ukr-mobil.com/opletka_dlya_snyatiya_pripoya_mechanic_r350_1015_dlina_1_5_m_shirina_1_0_mm_10002759", "Перейти")</f>
        <v>Перейти</v>
      </c>
      <c r="F6264" s="2">
        <v>10002759</v>
      </c>
      <c r="G6264" s="4" t="s">
        <v>6472</v>
      </c>
      <c r="H6264" s="1">
        <v>59</v>
      </c>
      <c r="I6264" s="1">
        <v>8</v>
      </c>
      <c r="J6264" s="1">
        <v>19</v>
      </c>
      <c r="K6264" s="2">
        <v>2.5</v>
      </c>
    </row>
    <row r="6265" spans="1:12">
      <c r="A6265" s="3" t="s">
        <v>6419</v>
      </c>
      <c r="B6265" s="3" t="s">
        <v>6420</v>
      </c>
      <c r="C6265" s="3" t="s">
        <v>6468</v>
      </c>
      <c r="D6265" s="3"/>
      <c r="E6265" s="2" t="str">
        <f>HYPERLINK("https://old.ukr-mobil.com/opletka_dlya_snyatiya_pripoya_mechanic_r350_1_5m_1_5mm_11954", "Перейти")</f>
        <v>Перейти</v>
      </c>
      <c r="F6265" s="2">
        <v>11954</v>
      </c>
      <c r="G6265" s="4" t="s">
        <v>6473</v>
      </c>
      <c r="H6265" s="1">
        <v>11</v>
      </c>
      <c r="I6265" s="1">
        <v>3</v>
      </c>
      <c r="J6265" s="1">
        <v>2</v>
      </c>
      <c r="K6265" s="2">
        <v>2.25</v>
      </c>
    </row>
    <row r="6266" spans="1:12">
      <c r="A6266" s="3" t="s">
        <v>6419</v>
      </c>
      <c r="B6266" s="3" t="s">
        <v>6420</v>
      </c>
      <c r="C6266" s="3" t="s">
        <v>6474</v>
      </c>
      <c r="D6266" s="3"/>
      <c r="E6266" s="2" t="str">
        <f>HYPERLINK("https://old.ukr-mobil.com/payalnaya_maska_baku_bk-126_8g_zelenaya_11038", "Перейти")</f>
        <v>Перейти</v>
      </c>
      <c r="F6266" s="2">
        <v>11038</v>
      </c>
      <c r="G6266" s="4" t="s">
        <v>6475</v>
      </c>
      <c r="H6266" s="1">
        <v>0</v>
      </c>
      <c r="I6266" s="1">
        <v>0</v>
      </c>
      <c r="J6266" s="1">
        <v>0</v>
      </c>
      <c r="K6266" s="2">
        <v>2.67</v>
      </c>
    </row>
    <row r="6267" spans="1:12">
      <c r="A6267" s="3" t="s">
        <v>6419</v>
      </c>
      <c r="B6267" s="3" t="s">
        <v>6420</v>
      </c>
      <c r="C6267" s="3" t="s">
        <v>6474</v>
      </c>
      <c r="D6267" s="3"/>
      <c r="E6267" s="2" t="str">
        <f>HYPERLINK("https://old.ukr-mobil.com/payalnaya_maska_mechanic_hy-uvh900_odnokomponentnaya_s_uf-otverzhdeniem_zelenyj_10ml_9863", "Перейти")</f>
        <v>Перейти</v>
      </c>
      <c r="F6267" s="2">
        <v>9863</v>
      </c>
      <c r="G6267" s="4" t="s">
        <v>6476</v>
      </c>
      <c r="H6267" s="1">
        <v>0</v>
      </c>
      <c r="I6267" s="1">
        <v>0</v>
      </c>
      <c r="J6267" s="1">
        <v>0</v>
      </c>
      <c r="K6267" s="2">
        <v>3.53</v>
      </c>
    </row>
    <row r="6268" spans="1:12">
      <c r="A6268" s="3" t="s">
        <v>6419</v>
      </c>
      <c r="B6268" s="3" t="s">
        <v>6420</v>
      </c>
      <c r="C6268" s="3" t="s">
        <v>6474</v>
      </c>
      <c r="D6268" s="3"/>
      <c r="E6268" s="2" t="str">
        <f>HYPERLINK("https://old.ukr-mobil.com/payalnaya_maska_mechanic_hy-uvh900_odnokomponentnaya_s_uf-otverzhdeniem_krasnyj_10ml_11786", "Перейти")</f>
        <v>Перейти</v>
      </c>
      <c r="F6268" s="2">
        <v>11786</v>
      </c>
      <c r="G6268" s="4" t="s">
        <v>6477</v>
      </c>
      <c r="H6268" s="1">
        <v>0</v>
      </c>
      <c r="I6268" s="1">
        <v>0</v>
      </c>
      <c r="J6268" s="1">
        <v>0</v>
      </c>
      <c r="K6268" s="2">
        <v>3.28</v>
      </c>
    </row>
    <row r="6269" spans="1:12">
      <c r="A6269" s="3" t="s">
        <v>6419</v>
      </c>
      <c r="B6269" s="3" t="s">
        <v>6420</v>
      </c>
      <c r="C6269" s="3" t="s">
        <v>6474</v>
      </c>
      <c r="D6269" s="3"/>
      <c r="E6269" s="2" t="str">
        <f>HYPERLINK("https://old.ukr-mobil.com/payalnaya_maska_mechanic_hy-uvh900_odnokomponentnaya_s_uf-otverzhdeniem_chernaya_10ml_9862", "Перейти")</f>
        <v>Перейти</v>
      </c>
      <c r="F6269" s="2">
        <v>9862</v>
      </c>
      <c r="G6269" s="4" t="s">
        <v>6478</v>
      </c>
      <c r="H6269" s="1">
        <v>0</v>
      </c>
      <c r="I6269" s="1">
        <v>0</v>
      </c>
      <c r="J6269" s="1">
        <v>0</v>
      </c>
      <c r="K6269" s="2">
        <v>3.78</v>
      </c>
    </row>
    <row r="6270" spans="1:12">
      <c r="A6270" s="3" t="s">
        <v>6419</v>
      </c>
      <c r="B6270" s="3" t="s">
        <v>6420</v>
      </c>
      <c r="C6270" s="3" t="s">
        <v>6474</v>
      </c>
      <c r="D6270" s="3"/>
      <c r="E6270" s="2" t="str">
        <f>HYPERLINK("https://old.ukr-mobil.com/payalnaya_maska_mechanic_lvh900-hy_odnokomponentnaya_s_ultrafioletovym_otverzhdeniem_chyornaya_10_ml_10002757", "Перейти")</f>
        <v>Перейти</v>
      </c>
      <c r="F6270" s="2">
        <v>10002757</v>
      </c>
      <c r="G6270" s="4" t="s">
        <v>6479</v>
      </c>
      <c r="H6270" s="1">
        <v>12</v>
      </c>
      <c r="I6270" s="1">
        <v>3</v>
      </c>
      <c r="J6270" s="1">
        <v>3</v>
      </c>
      <c r="K6270" s="2">
        <v>5.0</v>
      </c>
    </row>
    <row r="6271" spans="1:12">
      <c r="A6271" s="3" t="s">
        <v>6419</v>
      </c>
      <c r="B6271" s="3" t="s">
        <v>6420</v>
      </c>
      <c r="C6271" s="3" t="s">
        <v>6474</v>
      </c>
      <c r="D6271" s="3"/>
      <c r="E6271" s="2" t="str">
        <f>HYPERLINK("https://old.ukr-mobil.com/payalnaya_maska_mechanic_lvh900-ly_odnokomponentnaya_s_ultrafioletovym_otverzhdeniem_zelenaya_10_ml_10002756", "Перейти")</f>
        <v>Перейти</v>
      </c>
      <c r="F6271" s="2">
        <v>10002756</v>
      </c>
      <c r="G6271" s="4" t="s">
        <v>6480</v>
      </c>
      <c r="H6271" s="1">
        <v>8</v>
      </c>
      <c r="I6271" s="1">
        <v>0</v>
      </c>
      <c r="J6271" s="1">
        <v>0</v>
      </c>
      <c r="K6271" s="2">
        <v>5.0</v>
      </c>
    </row>
    <row r="6272" spans="1:12">
      <c r="A6272" s="3" t="s">
        <v>6419</v>
      </c>
      <c r="B6272" s="3" t="s">
        <v>6420</v>
      </c>
      <c r="C6272" s="3" t="s">
        <v>6474</v>
      </c>
      <c r="D6272" s="3"/>
      <c r="E6272" s="2" t="str">
        <f>HYPERLINK("https://old.ukr-mobil.com/payalnaya_maska_mechanic_lvh900-ry_odnokomponentnaya_s_ultrafioletovym_otverzhdeniem_krasnaya_10_ml_10002758", "Перейти")</f>
        <v>Перейти</v>
      </c>
      <c r="F6272" s="2">
        <v>10002758</v>
      </c>
      <c r="G6272" s="4" t="s">
        <v>6481</v>
      </c>
      <c r="H6272" s="1">
        <v>20</v>
      </c>
      <c r="I6272" s="1">
        <v>8</v>
      </c>
      <c r="J6272" s="1">
        <v>4</v>
      </c>
      <c r="K6272" s="2">
        <v>5.0</v>
      </c>
    </row>
    <row r="6273" spans="1:12">
      <c r="A6273" s="3" t="s">
        <v>6419</v>
      </c>
      <c r="B6273" s="3" t="s">
        <v>6420</v>
      </c>
      <c r="C6273" s="3" t="s">
        <v>6482</v>
      </c>
      <c r="D6273" s="3"/>
      <c r="E6273" s="2" t="str">
        <f>HYPERLINK("https://old.ukr-mobil.com/pasta_bga_dlya_nakatyvaniya_sharov_mechanic_mcn-300_20g_9562", "Перейти")</f>
        <v>Перейти</v>
      </c>
      <c r="F6273" s="2">
        <v>9562</v>
      </c>
      <c r="G6273" s="4" t="s">
        <v>6483</v>
      </c>
      <c r="H6273" s="1">
        <v>0</v>
      </c>
      <c r="I6273" s="1">
        <v>0</v>
      </c>
      <c r="J6273" s="1">
        <v>0</v>
      </c>
      <c r="K6273" s="2">
        <v>3.53</v>
      </c>
    </row>
    <row r="6274" spans="1:12">
      <c r="A6274" s="3" t="s">
        <v>6419</v>
      </c>
      <c r="B6274" s="3" t="s">
        <v>6420</v>
      </c>
      <c r="C6274" s="3" t="s">
        <v>6482</v>
      </c>
      <c r="D6274" s="3"/>
      <c r="E6274" s="2" t="str">
        <f>HYPERLINK("https://old.ukr-mobil.com/pasta_bga_dlya_nakatyvaniya_sharov_mechanic_ns38_temperatura_plavleniya_138_c_40g_bezsvincovaya_10001513", "Перейти")</f>
        <v>Перейти</v>
      </c>
      <c r="F6274" s="2">
        <v>10001513</v>
      </c>
      <c r="G6274" s="4" t="s">
        <v>6484</v>
      </c>
      <c r="H6274" s="1">
        <v>0</v>
      </c>
      <c r="I6274" s="1">
        <v>0</v>
      </c>
      <c r="J6274" s="1">
        <v>0</v>
      </c>
      <c r="K6274" s="2">
        <v>7.0</v>
      </c>
    </row>
    <row r="6275" spans="1:12">
      <c r="A6275" s="3" t="s">
        <v>6419</v>
      </c>
      <c r="B6275" s="3" t="s">
        <v>6420</v>
      </c>
      <c r="C6275" s="3" t="s">
        <v>6482</v>
      </c>
      <c r="D6275" s="3"/>
      <c r="E6275" s="2" t="str">
        <f>HYPERLINK("https://old.ukr-mobil.com/pasta_bga_dlya_nakatyvaniya_sharov_mechanic_v3b45_temperatura_plavleniya_138_c_20g_10001510", "Перейти")</f>
        <v>Перейти</v>
      </c>
      <c r="F6275" s="2">
        <v>10001510</v>
      </c>
      <c r="G6275" s="4" t="s">
        <v>6485</v>
      </c>
      <c r="H6275" s="1">
        <v>0</v>
      </c>
      <c r="I6275" s="1">
        <v>0</v>
      </c>
      <c r="J6275" s="1">
        <v>0</v>
      </c>
      <c r="K6275" s="2">
        <v>2.95</v>
      </c>
    </row>
    <row r="6276" spans="1:12">
      <c r="A6276" s="3" t="s">
        <v>6419</v>
      </c>
      <c r="B6276" s="3" t="s">
        <v>6420</v>
      </c>
      <c r="C6276" s="3" t="s">
        <v>6482</v>
      </c>
      <c r="D6276" s="3"/>
      <c r="E6276" s="2" t="str">
        <f>HYPERLINK("https://old.ukr-mobil.com/pasta_bga_dlya_nakatyvaniya_sharov_mechanic_v4b48_temperatura_plavleniya_138_c_35g_10001511", "Перейти")</f>
        <v>Перейти</v>
      </c>
      <c r="F6276" s="2">
        <v>10001511</v>
      </c>
      <c r="G6276" s="4" t="s">
        <v>6486</v>
      </c>
      <c r="H6276" s="1">
        <v>0</v>
      </c>
      <c r="I6276" s="1">
        <v>0</v>
      </c>
      <c r="J6276" s="1">
        <v>0</v>
      </c>
      <c r="K6276" s="2">
        <v>4.5</v>
      </c>
    </row>
    <row r="6277" spans="1:12">
      <c r="A6277" s="3" t="s">
        <v>6419</v>
      </c>
      <c r="B6277" s="3" t="s">
        <v>6420</v>
      </c>
      <c r="C6277" s="3" t="s">
        <v>6482</v>
      </c>
      <c r="D6277" s="3"/>
      <c r="E6277" s="2" t="str">
        <f>HYPERLINK("https://old.ukr-mobil.com/pasta_bga_dlya_nakatyvaniya_sharov_mechanic_v4s38_temperatura_plavleniya_217_c_35g_10001512", "Перейти")</f>
        <v>Перейти</v>
      </c>
      <c r="F6277" s="2">
        <v>10001512</v>
      </c>
      <c r="G6277" s="4" t="s">
        <v>6487</v>
      </c>
      <c r="H6277" s="1">
        <v>0</v>
      </c>
      <c r="I6277" s="1">
        <v>0</v>
      </c>
      <c r="J6277" s="1">
        <v>0</v>
      </c>
      <c r="K6277" s="2">
        <v>6.0</v>
      </c>
    </row>
    <row r="6278" spans="1:12">
      <c r="A6278" s="3" t="s">
        <v>6419</v>
      </c>
      <c r="B6278" s="3" t="s">
        <v>6420</v>
      </c>
      <c r="C6278" s="3" t="s">
        <v>6482</v>
      </c>
      <c r="D6278" s="3"/>
      <c r="E6278" s="2" t="str">
        <f>HYPERLINK("https://old.ukr-mobil.com/pasta_bga_dlya_nakatyvaniya_sharov_mechanic_mcn-300_42_g_9563", "Перейти")</f>
        <v>Перейти</v>
      </c>
      <c r="F6278" s="2">
        <v>9563</v>
      </c>
      <c r="G6278" s="4" t="s">
        <v>6488</v>
      </c>
      <c r="H6278" s="1">
        <v>0</v>
      </c>
      <c r="I6278" s="1">
        <v>0</v>
      </c>
      <c r="J6278" s="1">
        <v>0</v>
      </c>
      <c r="K6278" s="2">
        <v>3.0</v>
      </c>
    </row>
    <row r="6279" spans="1:12">
      <c r="A6279" s="3" t="s">
        <v>6419</v>
      </c>
      <c r="B6279" s="3" t="s">
        <v>6420</v>
      </c>
      <c r="C6279" s="3" t="s">
        <v>6482</v>
      </c>
      <c r="D6279" s="3"/>
      <c r="E6279" s="2" t="str">
        <f>HYPERLINK("https://old.ukr-mobil.com/pasta_dlya_bga_baku_30gr_3658", "Перейти")</f>
        <v>Перейти</v>
      </c>
      <c r="F6279" s="2">
        <v>3658</v>
      </c>
      <c r="G6279" s="4" t="s">
        <v>6489</v>
      </c>
      <c r="H6279" s="1">
        <v>0</v>
      </c>
      <c r="I6279" s="1">
        <v>0</v>
      </c>
      <c r="J6279" s="1">
        <v>0</v>
      </c>
      <c r="K6279" s="2">
        <v>3.53</v>
      </c>
    </row>
    <row r="6280" spans="1:12">
      <c r="A6280" s="3" t="s">
        <v>6419</v>
      </c>
      <c r="B6280" s="3" t="s">
        <v>6420</v>
      </c>
      <c r="C6280" s="3" t="s">
        <v>6482</v>
      </c>
      <c r="D6280" s="3"/>
      <c r="E6280" s="2" t="str">
        <f>HYPERLINK("https://old.ukr-mobil.com/pasta_dlya_bga_baku_bk-050g_50gr_641", "Перейти")</f>
        <v>Перейти</v>
      </c>
      <c r="F6280" s="2">
        <v>641</v>
      </c>
      <c r="G6280" s="4" t="s">
        <v>6490</v>
      </c>
      <c r="H6280" s="1">
        <v>0</v>
      </c>
      <c r="I6280" s="1">
        <v>0</v>
      </c>
      <c r="J6280" s="1">
        <v>0</v>
      </c>
      <c r="K6280" s="2">
        <v>4.03</v>
      </c>
    </row>
    <row r="6281" spans="1:12">
      <c r="A6281" s="3" t="s">
        <v>6419</v>
      </c>
      <c r="B6281" s="3" t="s">
        <v>6420</v>
      </c>
      <c r="C6281" s="3" t="s">
        <v>6482</v>
      </c>
      <c r="D6281" s="3"/>
      <c r="E6281" s="2" t="str">
        <f>HYPERLINK("https://old.ukr-mobil.com/pasta_dlya_bga_baku_bk-6350_shpric_50gr_1569", "Перейти")</f>
        <v>Перейти</v>
      </c>
      <c r="F6281" s="2">
        <v>1569</v>
      </c>
      <c r="G6281" s="4" t="s">
        <v>6491</v>
      </c>
      <c r="H6281" s="1">
        <v>0</v>
      </c>
      <c r="I6281" s="1">
        <v>0</v>
      </c>
      <c r="J6281" s="1">
        <v>0</v>
      </c>
      <c r="K6281" s="2">
        <v>5.04</v>
      </c>
    </row>
    <row r="6282" spans="1:12">
      <c r="A6282" s="3" t="s">
        <v>6419</v>
      </c>
      <c r="B6282" s="3" t="s">
        <v>6420</v>
      </c>
      <c r="C6282" s="3" t="s">
        <v>6482</v>
      </c>
      <c r="D6282" s="3"/>
      <c r="E6282" s="2" t="str">
        <f>HYPERLINK("https://old.ukr-mobil.com/pasta_dlya_bga_worktop_wk-051g_50gr_3657", "Перейти")</f>
        <v>Перейти</v>
      </c>
      <c r="F6282" s="2">
        <v>3657</v>
      </c>
      <c r="G6282" s="4" t="s">
        <v>6492</v>
      </c>
      <c r="H6282" s="1">
        <v>0</v>
      </c>
      <c r="I6282" s="1">
        <v>0</v>
      </c>
      <c r="J6282" s="1">
        <v>0</v>
      </c>
      <c r="K6282" s="2">
        <v>3.78</v>
      </c>
    </row>
    <row r="6283" spans="1:12">
      <c r="A6283" s="3" t="s">
        <v>6419</v>
      </c>
      <c r="B6283" s="3" t="s">
        <v>6420</v>
      </c>
      <c r="C6283" s="3" t="s">
        <v>6493</v>
      </c>
      <c r="D6283" s="3"/>
      <c r="E6283" s="2" t="str">
        <f>HYPERLINK("https://old.ukr-mobil.com/pripoj_baku_bk-10004_sn_97_ag_0_3_cu_0_7_flyus_2_0_4_mm_50_g_1209", "Перейти")</f>
        <v>Перейти</v>
      </c>
      <c r="F6283" s="2">
        <v>1209</v>
      </c>
      <c r="G6283" s="4" t="s">
        <v>6494</v>
      </c>
      <c r="H6283" s="1">
        <v>0</v>
      </c>
      <c r="I6283" s="1">
        <v>0</v>
      </c>
      <c r="J6283" s="1">
        <v>0</v>
      </c>
      <c r="K6283" s="2">
        <v>3.53</v>
      </c>
    </row>
    <row r="6284" spans="1:12">
      <c r="A6284" s="3" t="s">
        <v>6419</v>
      </c>
      <c r="B6284" s="3" t="s">
        <v>6420</v>
      </c>
      <c r="C6284" s="3" t="s">
        <v>6493</v>
      </c>
      <c r="D6284" s="3"/>
      <c r="E6284" s="2" t="str">
        <f>HYPERLINK("https://old.ukr-mobil.com/pripoj_mechanic_hx-t100_sn_63_pb_37_flyus_1_3_0_3mm_50g_10984", "Перейти")</f>
        <v>Перейти</v>
      </c>
      <c r="F6284" s="2">
        <v>10984</v>
      </c>
      <c r="G6284" s="4" t="s">
        <v>6495</v>
      </c>
      <c r="H6284" s="1">
        <v>71</v>
      </c>
      <c r="I6284" s="1">
        <v>11</v>
      </c>
      <c r="J6284" s="1">
        <v>13</v>
      </c>
      <c r="K6284" s="2">
        <v>3.0</v>
      </c>
    </row>
    <row r="6285" spans="1:12">
      <c r="A6285" s="3" t="s">
        <v>6419</v>
      </c>
      <c r="B6285" s="3" t="s">
        <v>6420</v>
      </c>
      <c r="C6285" s="3" t="s">
        <v>6493</v>
      </c>
      <c r="D6285" s="3"/>
      <c r="E6285" s="2" t="str">
        <f>HYPERLINK("https://old.ukr-mobil.com/pripoj_mechanic_hx-t100_sn_63_pb_37_flyus_1_3_0_4mm_50g_9564", "Перейти")</f>
        <v>Перейти</v>
      </c>
      <c r="F6285" s="2">
        <v>9564</v>
      </c>
      <c r="G6285" s="4" t="s">
        <v>6496</v>
      </c>
      <c r="H6285" s="1">
        <v>61</v>
      </c>
      <c r="I6285" s="1">
        <v>21</v>
      </c>
      <c r="J6285" s="1">
        <v>10</v>
      </c>
      <c r="K6285" s="2">
        <v>3.0</v>
      </c>
    </row>
    <row r="6286" spans="1:12">
      <c r="A6286" s="3" t="s">
        <v>6419</v>
      </c>
      <c r="B6286" s="3" t="s">
        <v>6420</v>
      </c>
      <c r="C6286" s="3" t="s">
        <v>6493</v>
      </c>
      <c r="D6286" s="3"/>
      <c r="E6286" s="2" t="str">
        <f>HYPERLINK("https://old.ukr-mobil.com/pripoj_mechanic_hx-t100_sn_63_pb_37_flyus_1_3_0_5mm_50g_11785", "Перейти")</f>
        <v>Перейти</v>
      </c>
      <c r="F6286" s="2">
        <v>11785</v>
      </c>
      <c r="G6286" s="4" t="s">
        <v>6497</v>
      </c>
      <c r="H6286" s="1">
        <v>0</v>
      </c>
      <c r="I6286" s="1">
        <v>0</v>
      </c>
      <c r="J6286" s="1">
        <v>0</v>
      </c>
      <c r="K6286" s="2">
        <v>3.88</v>
      </c>
    </row>
    <row r="6287" spans="1:12">
      <c r="A6287" s="3" t="s">
        <v>6419</v>
      </c>
      <c r="B6287" s="3" t="s">
        <v>6420</v>
      </c>
      <c r="C6287" s="3" t="s">
        <v>6493</v>
      </c>
      <c r="D6287" s="3"/>
      <c r="E6287" s="2" t="str">
        <f>HYPERLINK("https://old.ukr-mobil.com/pripoj_ya_xun_sn_63_pb_37_flyus_1_2_0_3mm_50g_9170", "Перейти")</f>
        <v>Перейти</v>
      </c>
      <c r="F6287" s="2">
        <v>9170</v>
      </c>
      <c r="G6287" s="4" t="s">
        <v>6498</v>
      </c>
      <c r="H6287" s="1">
        <v>0</v>
      </c>
      <c r="I6287" s="1">
        <v>0</v>
      </c>
      <c r="J6287" s="1">
        <v>0</v>
      </c>
      <c r="K6287" s="2">
        <v>3.53</v>
      </c>
    </row>
    <row r="6288" spans="1:12">
      <c r="A6288" s="3" t="s">
        <v>6419</v>
      </c>
      <c r="B6288" s="3" t="s">
        <v>6420</v>
      </c>
      <c r="C6288" s="3" t="s">
        <v>6499</v>
      </c>
      <c r="D6288" s="3"/>
      <c r="E6288" s="2" t="str">
        <f>HYPERLINK("https://old.ukr-mobil.com/izoliruyushchaya_termolenta_shirina_10mm_2887", "Перейти")</f>
        <v>Перейти</v>
      </c>
      <c r="F6288" s="2">
        <v>2887</v>
      </c>
      <c r="G6288" s="4" t="s">
        <v>6500</v>
      </c>
      <c r="H6288" s="1">
        <v>0</v>
      </c>
      <c r="I6288" s="1">
        <v>0</v>
      </c>
      <c r="J6288" s="1">
        <v>0</v>
      </c>
      <c r="K6288" s="2">
        <v>1.2</v>
      </c>
    </row>
    <row r="6289" spans="1:12">
      <c r="A6289" s="3" t="s">
        <v>6419</v>
      </c>
      <c r="B6289" s="3" t="s">
        <v>6420</v>
      </c>
      <c r="C6289" s="3" t="s">
        <v>6499</v>
      </c>
      <c r="D6289" s="3"/>
      <c r="E6289" s="2" t="str">
        <f>HYPERLINK("https://old.ukr-mobil.com/izoliruyushchaya_termolenta_shirina_15mm_2881", "Перейти")</f>
        <v>Перейти</v>
      </c>
      <c r="F6289" s="2">
        <v>2881</v>
      </c>
      <c r="G6289" s="4" t="s">
        <v>6501</v>
      </c>
      <c r="H6289" s="1">
        <v>0</v>
      </c>
      <c r="I6289" s="1">
        <v>0</v>
      </c>
      <c r="J6289" s="1">
        <v>0</v>
      </c>
      <c r="K6289" s="2">
        <v>1.8</v>
      </c>
    </row>
    <row r="6290" spans="1:12">
      <c r="A6290" s="3" t="s">
        <v>6419</v>
      </c>
      <c r="B6290" s="3" t="s">
        <v>6420</v>
      </c>
      <c r="C6290" s="3" t="s">
        <v>6499</v>
      </c>
      <c r="D6290" s="3"/>
      <c r="E6290" s="2" t="str">
        <f>HYPERLINK("https://old.ukr-mobil.com/izoliruyushchaya_termolenta_termoskotch_shirina_8_mm_10002720", "Перейти")</f>
        <v>Перейти</v>
      </c>
      <c r="F6290" s="2">
        <v>10002720</v>
      </c>
      <c r="G6290" s="4" t="s">
        <v>6502</v>
      </c>
      <c r="H6290" s="1">
        <v>0</v>
      </c>
      <c r="I6290" s="1">
        <v>0</v>
      </c>
      <c r="J6290" s="1">
        <v>0</v>
      </c>
      <c r="K6290" s="2">
        <v>1.15</v>
      </c>
    </row>
    <row r="6291" spans="1:12">
      <c r="A6291" s="3" t="s">
        <v>6419</v>
      </c>
      <c r="B6291" s="3" t="s">
        <v>6420</v>
      </c>
      <c r="C6291" s="3" t="s">
        <v>6503</v>
      </c>
      <c r="D6291" s="3"/>
      <c r="E6291" s="2" t="str">
        <f>HYPERLINK("https://old.ukr-mobil.com/flyus_amtech_223_uv_2890", "Перейти")</f>
        <v>Перейти</v>
      </c>
      <c r="F6291" s="2">
        <v>2890</v>
      </c>
      <c r="G6291" s="4" t="s">
        <v>6504</v>
      </c>
      <c r="H6291" s="1">
        <v>0</v>
      </c>
      <c r="I6291" s="1">
        <v>0</v>
      </c>
      <c r="J6291" s="1">
        <v>0</v>
      </c>
      <c r="K6291" s="2">
        <v>3.78</v>
      </c>
    </row>
    <row r="6292" spans="1:12">
      <c r="A6292" s="3" t="s">
        <v>6419</v>
      </c>
      <c r="B6292" s="3" t="s">
        <v>6420</v>
      </c>
      <c r="C6292" s="3" t="s">
        <v>6503</v>
      </c>
      <c r="D6292" s="3"/>
      <c r="E6292" s="2" t="str">
        <f>HYPERLINK("https://old.ukr-mobil.com/flyus_amtech_225_10_sm3_640", "Перейти")</f>
        <v>Перейти</v>
      </c>
      <c r="F6292" s="2">
        <v>640</v>
      </c>
      <c r="G6292" s="4" t="s">
        <v>6505</v>
      </c>
      <c r="H6292" s="1">
        <v>0</v>
      </c>
      <c r="I6292" s="1">
        <v>0</v>
      </c>
      <c r="J6292" s="1">
        <v>0</v>
      </c>
      <c r="K6292" s="2">
        <v>3.53</v>
      </c>
    </row>
    <row r="6293" spans="1:12">
      <c r="A6293" s="3" t="s">
        <v>6419</v>
      </c>
      <c r="B6293" s="3" t="s">
        <v>6420</v>
      </c>
      <c r="C6293" s="3" t="s">
        <v>6503</v>
      </c>
      <c r="D6293" s="3"/>
      <c r="E6293" s="2" t="str">
        <f>HYPERLINK("https://old.ukr-mobil.com/flyus_amtech_228_10_sm3_original_4541", "Перейти")</f>
        <v>Перейти</v>
      </c>
      <c r="F6293" s="2">
        <v>4541</v>
      </c>
      <c r="G6293" s="4" t="s">
        <v>6506</v>
      </c>
      <c r="H6293" s="1">
        <v>0</v>
      </c>
      <c r="I6293" s="1">
        <v>0</v>
      </c>
      <c r="J6293" s="1">
        <v>0</v>
      </c>
      <c r="K6293" s="2">
        <v>8.06</v>
      </c>
    </row>
    <row r="6294" spans="1:12">
      <c r="A6294" s="3" t="s">
        <v>6419</v>
      </c>
      <c r="B6294" s="3" t="s">
        <v>6420</v>
      </c>
      <c r="C6294" s="3" t="s">
        <v>6503</v>
      </c>
      <c r="D6294" s="3"/>
      <c r="E6294" s="2" t="str">
        <f>HYPERLINK("https://old.ukr-mobil.com/flyus_amtech_nc-559-asm_10g_7091", "Перейти")</f>
        <v>Перейти</v>
      </c>
      <c r="F6294" s="2">
        <v>7091</v>
      </c>
      <c r="G6294" s="4" t="s">
        <v>6507</v>
      </c>
      <c r="H6294" s="1">
        <v>0</v>
      </c>
      <c r="I6294" s="1">
        <v>0</v>
      </c>
      <c r="J6294" s="1">
        <v>0</v>
      </c>
      <c r="K6294" s="2">
        <v>2.52</v>
      </c>
    </row>
    <row r="6295" spans="1:12">
      <c r="A6295" s="3" t="s">
        <v>6419</v>
      </c>
      <c r="B6295" s="3" t="s">
        <v>6420</v>
      </c>
      <c r="C6295" s="3" t="s">
        <v>6503</v>
      </c>
      <c r="D6295" s="3"/>
      <c r="E6295" s="2" t="str">
        <f>HYPERLINK("https://old.ukr-mobil.com/flyus_amtech_nc-559-asm-uv_100g_6792", "Перейти")</f>
        <v>Перейти</v>
      </c>
      <c r="F6295" s="2">
        <v>6792</v>
      </c>
      <c r="G6295" s="4" t="s">
        <v>6508</v>
      </c>
      <c r="H6295" s="1">
        <v>0</v>
      </c>
      <c r="I6295" s="1">
        <v>0</v>
      </c>
      <c r="J6295" s="1">
        <v>0</v>
      </c>
      <c r="K6295" s="2">
        <v>9.07</v>
      </c>
    </row>
    <row r="6296" spans="1:12">
      <c r="A6296" s="3" t="s">
        <v>6419</v>
      </c>
      <c r="B6296" s="3" t="s">
        <v>6420</v>
      </c>
      <c r="C6296" s="3" t="s">
        <v>6503</v>
      </c>
      <c r="D6296" s="3"/>
      <c r="E6296" s="2" t="str">
        <f>HYPERLINK("https://old.ukr-mobil.com/flyus_baku_r625_1000_639", "Перейти")</f>
        <v>Перейти</v>
      </c>
      <c r="F6296" s="2">
        <v>639</v>
      </c>
      <c r="G6296" s="4" t="s">
        <v>6509</v>
      </c>
      <c r="H6296" s="1">
        <v>11</v>
      </c>
      <c r="I6296" s="1">
        <v>0</v>
      </c>
      <c r="J6296" s="1">
        <v>1</v>
      </c>
      <c r="K6296" s="2">
        <v>3.45</v>
      </c>
    </row>
    <row r="6297" spans="1:12">
      <c r="A6297" s="3" t="s">
        <v>6419</v>
      </c>
      <c r="B6297" s="3" t="s">
        <v>6420</v>
      </c>
      <c r="C6297" s="3" t="s">
        <v>6503</v>
      </c>
      <c r="D6297" s="3"/>
      <c r="E6297" s="2" t="str">
        <f>HYPERLINK("https://old.ukr-mobil.com/flyus_bk-150_150gr_1801", "Перейти")</f>
        <v>Перейти</v>
      </c>
      <c r="F6297" s="2">
        <v>1801</v>
      </c>
      <c r="G6297" s="4" t="s">
        <v>6510</v>
      </c>
      <c r="H6297" s="1">
        <v>0</v>
      </c>
      <c r="I6297" s="1">
        <v>0</v>
      </c>
      <c r="J6297" s="1">
        <v>0</v>
      </c>
      <c r="K6297" s="2">
        <v>2.52</v>
      </c>
    </row>
    <row r="6298" spans="1:12">
      <c r="A6298" s="3" t="s">
        <v>6419</v>
      </c>
      <c r="B6298" s="3" t="s">
        <v>6420</v>
      </c>
      <c r="C6298" s="3" t="s">
        <v>6503</v>
      </c>
      <c r="D6298" s="3"/>
      <c r="E6298" s="2" t="str">
        <f>HYPERLINK("https://old.ukr-mobil.com/flyus_bk-227_5350", "Перейти")</f>
        <v>Перейти</v>
      </c>
      <c r="F6298" s="2">
        <v>5350</v>
      </c>
      <c r="G6298" s="4" t="s">
        <v>6511</v>
      </c>
      <c r="H6298" s="1">
        <v>0</v>
      </c>
      <c r="I6298" s="1">
        <v>0</v>
      </c>
      <c r="J6298" s="1">
        <v>0</v>
      </c>
      <c r="K6298" s="2">
        <v>2.27</v>
      </c>
    </row>
    <row r="6299" spans="1:12">
      <c r="A6299" s="3" t="s">
        <v>6419</v>
      </c>
      <c r="B6299" s="3" t="s">
        <v>6420</v>
      </c>
      <c r="C6299" s="3" t="s">
        <v>6503</v>
      </c>
      <c r="D6299" s="3"/>
      <c r="E6299" s="2" t="str">
        <f>HYPERLINK("https://old.ukr-mobil.com/flyus_bk-50_50gr_1208", "Перейти")</f>
        <v>Перейти</v>
      </c>
      <c r="F6299" s="2">
        <v>1208</v>
      </c>
      <c r="G6299" s="4" t="s">
        <v>6512</v>
      </c>
      <c r="H6299" s="1">
        <v>0</v>
      </c>
      <c r="I6299" s="1">
        <v>0</v>
      </c>
      <c r="J6299" s="1">
        <v>0</v>
      </c>
      <c r="K6299" s="2">
        <v>2.02</v>
      </c>
    </row>
    <row r="6300" spans="1:12">
      <c r="A6300" s="3" t="s">
        <v>6419</v>
      </c>
      <c r="B6300" s="3" t="s">
        <v>6420</v>
      </c>
      <c r="C6300" s="3" t="s">
        <v>6503</v>
      </c>
      <c r="D6300" s="3"/>
      <c r="E6300" s="2" t="str">
        <f>HYPERLINK("https://old.ukr-mobil.com/flyus_bk-80_80gr_2935", "Перейти")</f>
        <v>Перейти</v>
      </c>
      <c r="F6300" s="2">
        <v>2935</v>
      </c>
      <c r="G6300" s="4" t="s">
        <v>6513</v>
      </c>
      <c r="H6300" s="1">
        <v>0</v>
      </c>
      <c r="I6300" s="1">
        <v>0</v>
      </c>
      <c r="J6300" s="1">
        <v>0</v>
      </c>
      <c r="K6300" s="2">
        <v>2.02</v>
      </c>
    </row>
    <row r="6301" spans="1:12">
      <c r="A6301" s="3" t="s">
        <v>6419</v>
      </c>
      <c r="B6301" s="3" t="s">
        <v>6420</v>
      </c>
      <c r="C6301" s="3" t="s">
        <v>6503</v>
      </c>
      <c r="D6301" s="3"/>
      <c r="E6301" s="2" t="str">
        <f>HYPERLINK("https://old.ukr-mobil.com/flyus_mechanic_223_bezotmyvochnyj_bez_soderzhaniya_galagenov_100_g_10002771", "Перейти")</f>
        <v>Перейти</v>
      </c>
      <c r="F6301" s="2">
        <v>10002771</v>
      </c>
      <c r="G6301" s="4" t="s">
        <v>6514</v>
      </c>
      <c r="H6301" s="1">
        <v>57</v>
      </c>
      <c r="I6301" s="1">
        <v>20</v>
      </c>
      <c r="J6301" s="1">
        <v>20</v>
      </c>
      <c r="K6301" s="2">
        <v>14.0</v>
      </c>
    </row>
    <row r="6302" spans="1:12">
      <c r="A6302" s="3" t="s">
        <v>6419</v>
      </c>
      <c r="B6302" s="3" t="s">
        <v>6420</v>
      </c>
      <c r="C6302" s="3" t="s">
        <v>6503</v>
      </c>
      <c r="D6302" s="3"/>
      <c r="E6302" s="2" t="str">
        <f>HYPERLINK("https://old.ukr-mobil.com/flyus_mechanic_223_bezotmyvochnyj_bez_soderzhaniya_galagenov_s_tolkatelem_10_g_10002772", "Перейти")</f>
        <v>Перейти</v>
      </c>
      <c r="F6302" s="2">
        <v>10002772</v>
      </c>
      <c r="G6302" s="4" t="s">
        <v>6515</v>
      </c>
      <c r="H6302" s="1">
        <v>42</v>
      </c>
      <c r="I6302" s="1">
        <v>7</v>
      </c>
      <c r="J6302" s="1">
        <v>0</v>
      </c>
      <c r="K6302" s="2">
        <v>3.25</v>
      </c>
    </row>
    <row r="6303" spans="1:12">
      <c r="A6303" s="3" t="s">
        <v>6419</v>
      </c>
      <c r="B6303" s="3" t="s">
        <v>6420</v>
      </c>
      <c r="C6303" s="3" t="s">
        <v>6503</v>
      </c>
      <c r="D6303" s="3"/>
      <c r="E6303" s="2" t="str">
        <f>HYPERLINK("https://old.ukr-mobil.com/flyus_mechanic_559_bezotmyvochnyj_bez_soderzhaniya_galagenov_100_g_10002761", "Перейти")</f>
        <v>Перейти</v>
      </c>
      <c r="F6303" s="2">
        <v>10002761</v>
      </c>
      <c r="G6303" s="4" t="s">
        <v>6516</v>
      </c>
      <c r="H6303" s="1">
        <v>55</v>
      </c>
      <c r="I6303" s="1">
        <v>18</v>
      </c>
      <c r="J6303" s="1">
        <v>8</v>
      </c>
      <c r="K6303" s="2">
        <v>17.0</v>
      </c>
    </row>
    <row r="6304" spans="1:12">
      <c r="A6304" s="3" t="s">
        <v>6419</v>
      </c>
      <c r="B6304" s="3" t="s">
        <v>6420</v>
      </c>
      <c r="C6304" s="3" t="s">
        <v>6503</v>
      </c>
      <c r="D6304" s="3"/>
      <c r="E6304" s="2" t="str">
        <f>HYPERLINK("https://old.ukr-mobil.com/flyus_mechanic_559_bezotmyvochnyj_bez_soderzhaniya_galagenov_s_tolkatelem_10_g_10002762", "Перейти")</f>
        <v>Перейти</v>
      </c>
      <c r="F6304" s="2">
        <v>10002762</v>
      </c>
      <c r="G6304" s="4" t="s">
        <v>6517</v>
      </c>
      <c r="H6304" s="1">
        <v>0</v>
      </c>
      <c r="I6304" s="1">
        <v>0</v>
      </c>
      <c r="J6304" s="1">
        <v>0</v>
      </c>
      <c r="K6304" s="2">
        <v>3.5</v>
      </c>
    </row>
    <row r="6305" spans="1:12">
      <c r="A6305" s="3" t="s">
        <v>6419</v>
      </c>
      <c r="B6305" s="3" t="s">
        <v>6420</v>
      </c>
      <c r="C6305" s="3" t="s">
        <v>6503</v>
      </c>
      <c r="D6305" s="3"/>
      <c r="E6305" s="2" t="str">
        <f>HYPERLINK("https://old.ukr-mobil.com/index.php?route=product&amp;product_id=10005191", "Перейти")</f>
        <v>Перейти</v>
      </c>
      <c r="F6305" s="2">
        <v>10005191</v>
      </c>
      <c r="G6305" s="4" t="s">
        <v>6518</v>
      </c>
      <c r="H6305" s="1">
        <v>0</v>
      </c>
      <c r="I6305" s="1">
        <v>0</v>
      </c>
      <c r="J6305" s="1">
        <v>0</v>
      </c>
      <c r="K6305" s="2">
        <v>5.25</v>
      </c>
    </row>
    <row r="6306" spans="1:12">
      <c r="A6306" s="3" t="s">
        <v>6419</v>
      </c>
      <c r="B6306" s="3" t="s">
        <v>6420</v>
      </c>
      <c r="C6306" s="3" t="s">
        <v>6503</v>
      </c>
      <c r="D6306" s="3"/>
      <c r="E6306" s="2" t="str">
        <f>HYPERLINK("https://old.ukr-mobil.com/index.php?route=product&amp;product_id=10005192", "Перейти")</f>
        <v>Перейти</v>
      </c>
      <c r="F6306" s="2">
        <v>10005192</v>
      </c>
      <c r="G6306" s="4" t="s">
        <v>6519</v>
      </c>
      <c r="H6306" s="1">
        <v>0</v>
      </c>
      <c r="I6306" s="1">
        <v>0</v>
      </c>
      <c r="J6306" s="1">
        <v>0</v>
      </c>
      <c r="K6306" s="2">
        <v>5.5</v>
      </c>
    </row>
    <row r="6307" spans="1:12">
      <c r="A6307" s="3" t="s">
        <v>6419</v>
      </c>
      <c r="B6307" s="3" t="s">
        <v>6420</v>
      </c>
      <c r="C6307" s="3" t="s">
        <v>6503</v>
      </c>
      <c r="D6307" s="3"/>
      <c r="E6307" s="2" t="str">
        <f>HYPERLINK("https://old.ukr-mobil.com/flyus_mechanic_uv-223_bezotmyvochnyj_bez_soderzhaniya_galagenov_100_g_10002776", "Перейти")</f>
        <v>Перейти</v>
      </c>
      <c r="F6307" s="2">
        <v>10002776</v>
      </c>
      <c r="G6307" s="4" t="s">
        <v>6520</v>
      </c>
      <c r="H6307" s="1">
        <v>45</v>
      </c>
      <c r="I6307" s="1">
        <v>19</v>
      </c>
      <c r="J6307" s="1">
        <v>20</v>
      </c>
      <c r="K6307" s="2">
        <v>14.0</v>
      </c>
    </row>
    <row r="6308" spans="1:12">
      <c r="A6308" s="3" t="s">
        <v>6419</v>
      </c>
      <c r="B6308" s="3" t="s">
        <v>6420</v>
      </c>
      <c r="C6308" s="3" t="s">
        <v>6503</v>
      </c>
      <c r="D6308" s="3"/>
      <c r="E6308" s="2" t="str">
        <f>HYPERLINK("https://old.ukr-mobil.com/flyus_mechanic_uv-223_bezotmyvochnyj_bez_soderzhaniya_galagenov_s_tolkatelem_10_g_10002775", "Перейти")</f>
        <v>Перейти</v>
      </c>
      <c r="F6308" s="2">
        <v>10002775</v>
      </c>
      <c r="G6308" s="4" t="s">
        <v>6521</v>
      </c>
      <c r="H6308" s="1">
        <v>0</v>
      </c>
      <c r="I6308" s="1">
        <v>0</v>
      </c>
      <c r="J6308" s="1">
        <v>3</v>
      </c>
      <c r="K6308" s="2">
        <v>3.0</v>
      </c>
    </row>
    <row r="6309" spans="1:12">
      <c r="A6309" s="3" t="s">
        <v>6419</v>
      </c>
      <c r="B6309" s="3" t="s">
        <v>6420</v>
      </c>
      <c r="C6309" s="3" t="s">
        <v>6503</v>
      </c>
      <c r="D6309" s="3"/>
      <c r="E6309" s="2" t="str">
        <f>HYPERLINK("https://old.ukr-mobil.com/flyus_mechanic_uv-559_bezotmyvochnyj_bez_soderzhaniya_galagenov_100_g_10002773", "Перейти")</f>
        <v>Перейти</v>
      </c>
      <c r="F6309" s="2">
        <v>10002773</v>
      </c>
      <c r="G6309" s="4" t="s">
        <v>6522</v>
      </c>
      <c r="H6309" s="1">
        <v>0</v>
      </c>
      <c r="I6309" s="1">
        <v>0</v>
      </c>
      <c r="J6309" s="1">
        <v>0</v>
      </c>
      <c r="K6309" s="2">
        <v>16.0</v>
      </c>
    </row>
    <row r="6310" spans="1:12">
      <c r="A6310" s="3" t="s">
        <v>6419</v>
      </c>
      <c r="B6310" s="3" t="s">
        <v>6420</v>
      </c>
      <c r="C6310" s="3" t="s">
        <v>6503</v>
      </c>
      <c r="D6310" s="3"/>
      <c r="E6310" s="2" t="str">
        <f>HYPERLINK("https://old.ukr-mobil.com/flyus_mechanic_uv-559_bezotmyvochnyj_bez_soderzhaniya_galagenov_s_tolkatelem_10_g_10002774", "Перейти")</f>
        <v>Перейти</v>
      </c>
      <c r="F6310" s="2">
        <v>10002774</v>
      </c>
      <c r="G6310" s="4" t="s">
        <v>6523</v>
      </c>
      <c r="H6310" s="1">
        <v>0</v>
      </c>
      <c r="I6310" s="1">
        <v>0</v>
      </c>
      <c r="J6310" s="1">
        <v>0</v>
      </c>
      <c r="K6310" s="2">
        <v>3.5</v>
      </c>
    </row>
    <row r="6311" spans="1:12">
      <c r="A6311" s="3" t="s">
        <v>6419</v>
      </c>
      <c r="B6311" s="3" t="s">
        <v>6420</v>
      </c>
      <c r="C6311" s="3" t="s">
        <v>6503</v>
      </c>
      <c r="D6311" s="3"/>
      <c r="E6311" s="2" t="str">
        <f>HYPERLINK("https://old.ukr-mobil.com/flyus_ya_xun_yx-616_10ml_9335", "Перейти")</f>
        <v>Перейти</v>
      </c>
      <c r="F6311" s="2">
        <v>9335</v>
      </c>
      <c r="G6311" s="4" t="s">
        <v>6524</v>
      </c>
      <c r="H6311" s="1">
        <v>0</v>
      </c>
      <c r="I6311" s="1">
        <v>0</v>
      </c>
      <c r="J6311" s="1">
        <v>0</v>
      </c>
      <c r="K6311" s="2">
        <v>5.54</v>
      </c>
    </row>
    <row r="6312" spans="1:12">
      <c r="A6312" s="3" t="s">
        <v>6419</v>
      </c>
      <c r="B6312" s="3" t="s">
        <v>6420</v>
      </c>
      <c r="C6312" s="3" t="s">
        <v>6503</v>
      </c>
      <c r="D6312" s="3"/>
      <c r="E6312" s="2" t="str">
        <f>HYPERLINK("https://old.ukr-mobil.com/flyus_ya_xun_yx-617_10ml_9334", "Перейти")</f>
        <v>Перейти</v>
      </c>
      <c r="F6312" s="2">
        <v>9334</v>
      </c>
      <c r="G6312" s="4" t="s">
        <v>6525</v>
      </c>
      <c r="H6312" s="1">
        <v>0</v>
      </c>
      <c r="I6312" s="1">
        <v>0</v>
      </c>
      <c r="J6312" s="1">
        <v>0</v>
      </c>
      <c r="K6312" s="2">
        <v>4.54</v>
      </c>
    </row>
    <row r="6313" spans="1:12">
      <c r="A6313" s="3" t="s">
        <v>6419</v>
      </c>
      <c r="B6313" s="3" t="s">
        <v>6420</v>
      </c>
      <c r="C6313" s="3" t="s">
        <v>6503</v>
      </c>
      <c r="D6313" s="3"/>
      <c r="E6313" s="2" t="str">
        <f>HYPERLINK("https://old.ukr-mobil.com/flyus_dlya_bga_kingbo_rma-218_bezotmyvochnyj_100g_6791", "Перейти")</f>
        <v>Перейти</v>
      </c>
      <c r="F6313" s="2">
        <v>6791</v>
      </c>
      <c r="G6313" s="4" t="s">
        <v>6526</v>
      </c>
      <c r="H6313" s="1">
        <v>0</v>
      </c>
      <c r="I6313" s="1">
        <v>0</v>
      </c>
      <c r="J6313" s="1">
        <v>0</v>
      </c>
      <c r="K6313" s="2">
        <v>12.1</v>
      </c>
    </row>
    <row r="6314" spans="1:12">
      <c r="A6314" s="3" t="s">
        <v>6419</v>
      </c>
      <c r="B6314" s="3" t="s">
        <v>6420</v>
      </c>
      <c r="C6314" s="3" t="s">
        <v>6503</v>
      </c>
      <c r="D6314" s="3"/>
      <c r="E6314" s="2" t="str">
        <f>HYPERLINK("https://old.ukr-mobil.com/flyus-pasta_mechanic_f913_10_gr_v_shprice_bez_soderzhaniya_galagenov_10002777", "Перейти")</f>
        <v>Перейти</v>
      </c>
      <c r="F6314" s="2">
        <v>10002777</v>
      </c>
      <c r="G6314" s="4" t="s">
        <v>6527</v>
      </c>
      <c r="H6314" s="1">
        <v>0</v>
      </c>
      <c r="I6314" s="1">
        <v>0</v>
      </c>
      <c r="J6314" s="1">
        <v>0</v>
      </c>
      <c r="K6314" s="2">
        <v>4.25</v>
      </c>
    </row>
    <row r="6315" spans="1:12">
      <c r="A6315" s="3" t="s">
        <v>6419</v>
      </c>
      <c r="B6315" s="3" t="s">
        <v>6420</v>
      </c>
      <c r="C6315" s="3" t="s">
        <v>6503</v>
      </c>
      <c r="D6315" s="3"/>
      <c r="E6315" s="2" t="str">
        <f>HYPERLINK("https://old.ukr-mobil.com/flyus-pasta_mechanic_f913_30_gr_v_shprice_bez_soderzhaniya_galagenov_10002778", "Перейти")</f>
        <v>Перейти</v>
      </c>
      <c r="F6315" s="2">
        <v>10002778</v>
      </c>
      <c r="G6315" s="4" t="s">
        <v>6528</v>
      </c>
      <c r="H6315" s="1">
        <v>0</v>
      </c>
      <c r="I6315" s="1">
        <v>0</v>
      </c>
      <c r="J6315" s="1">
        <v>0</v>
      </c>
      <c r="K6315" s="2">
        <v>14.0</v>
      </c>
    </row>
    <row r="6316" spans="1:12">
      <c r="A6316" s="3" t="s">
        <v>6419</v>
      </c>
      <c r="B6316" s="3" t="s">
        <v>6420</v>
      </c>
      <c r="C6316" s="3" t="s">
        <v>6503</v>
      </c>
      <c r="D6316" s="3"/>
      <c r="E6316" s="2" t="str">
        <f>HYPERLINK("https://old.ukr-mobil.com/flyus-pasta_mechanic_rma-uv10_10_gr_v_shprice_bez_soderzhaniya_galagenov_9864", "Перейти")</f>
        <v>Перейти</v>
      </c>
      <c r="F6316" s="2">
        <v>9864</v>
      </c>
      <c r="G6316" s="4" t="s">
        <v>6529</v>
      </c>
      <c r="H6316" s="1">
        <v>0</v>
      </c>
      <c r="I6316" s="1">
        <v>0</v>
      </c>
      <c r="J6316" s="1">
        <v>0</v>
      </c>
      <c r="K6316" s="2">
        <v>3.35</v>
      </c>
    </row>
    <row r="6317" spans="1:12">
      <c r="A6317" s="3" t="s">
        <v>6419</v>
      </c>
      <c r="B6317" s="3" t="s">
        <v>6420</v>
      </c>
      <c r="C6317" s="3" t="s">
        <v>6503</v>
      </c>
      <c r="D6317" s="3"/>
      <c r="E6317" s="2" t="str">
        <f>HYPERLINK("https://old.ukr-mobil.com/flyus-pasta_mechanic_rma-uv11_10_gr_v_shprice_bez_soderzhaniya_galagenov_12291", "Перейти")</f>
        <v>Перейти</v>
      </c>
      <c r="F6317" s="2">
        <v>12291</v>
      </c>
      <c r="G6317" s="4" t="s">
        <v>6530</v>
      </c>
      <c r="H6317" s="1">
        <v>35</v>
      </c>
      <c r="I6317" s="1">
        <v>14</v>
      </c>
      <c r="J6317" s="1">
        <v>11</v>
      </c>
      <c r="K6317" s="2">
        <v>3.0</v>
      </c>
    </row>
    <row r="6318" spans="1:12">
      <c r="A6318" s="3" t="s">
        <v>6419</v>
      </c>
      <c r="B6318" s="3" t="s">
        <v>6420</v>
      </c>
      <c r="C6318" s="3" t="s">
        <v>6503</v>
      </c>
      <c r="D6318" s="3"/>
      <c r="E6318" s="2" t="str">
        <f>HYPERLINK("https://old.ukr-mobil.com/flyus-pasta_mechanic_rma-uv11bl_10_gr_v_shprice_bez_soderzhaniya_galagenov_black_12292", "Перейти")</f>
        <v>Перейти</v>
      </c>
      <c r="F6318" s="2">
        <v>12292</v>
      </c>
      <c r="G6318" s="4" t="s">
        <v>6531</v>
      </c>
      <c r="H6318" s="1">
        <v>0</v>
      </c>
      <c r="I6318" s="1">
        <v>0</v>
      </c>
      <c r="J6318" s="1">
        <v>0</v>
      </c>
      <c r="K6318" s="2">
        <v>2.95</v>
      </c>
    </row>
    <row r="6319" spans="1:12">
      <c r="A6319" s="3" t="s">
        <v>6419</v>
      </c>
      <c r="B6319" s="3" t="s">
        <v>6420</v>
      </c>
      <c r="C6319" s="3" t="s">
        <v>6503</v>
      </c>
      <c r="D6319" s="3"/>
      <c r="E6319" s="2" t="str">
        <f>HYPERLINK("https://old.ukr-mobil.com/flyus-pasta_mechanic_sd360_v_shprice_s_tolkatelem_bezotmyvochnaya_10g_10001514", "Перейти")</f>
        <v>Перейти</v>
      </c>
      <c r="F6319" s="2">
        <v>10001514</v>
      </c>
      <c r="G6319" s="4" t="s">
        <v>6532</v>
      </c>
      <c r="H6319" s="1">
        <v>0</v>
      </c>
      <c r="I6319" s="1">
        <v>0</v>
      </c>
      <c r="J6319" s="1">
        <v>0</v>
      </c>
      <c r="K6319" s="2">
        <v>7.0</v>
      </c>
    </row>
    <row r="6320" spans="1:12">
      <c r="A6320" s="3" t="s">
        <v>6419</v>
      </c>
      <c r="B6320" s="3" t="s">
        <v>6420</v>
      </c>
      <c r="C6320" s="3" t="s">
        <v>6503</v>
      </c>
      <c r="D6320" s="3"/>
      <c r="E6320" s="2" t="str">
        <f>HYPERLINK("https://old.ukr-mobil.com/flyus-pasta_mechanic_sd360_v_shprice_bezotmyvochnaya_10g_10001515", "Перейти")</f>
        <v>Перейти</v>
      </c>
      <c r="F6320" s="2">
        <v>10001515</v>
      </c>
      <c r="G6320" s="4" t="s">
        <v>6533</v>
      </c>
      <c r="H6320" s="1">
        <v>0</v>
      </c>
      <c r="I6320" s="1">
        <v>0</v>
      </c>
      <c r="J6320" s="1">
        <v>0</v>
      </c>
      <c r="K6320" s="2">
        <v>6.0</v>
      </c>
    </row>
    <row r="6321" spans="1:12">
      <c r="A6321" s="3" t="s">
        <v>6419</v>
      </c>
      <c r="B6321" s="3" t="s">
        <v>6420</v>
      </c>
      <c r="C6321" s="3" t="s">
        <v>6503</v>
      </c>
      <c r="D6321" s="3"/>
      <c r="E6321" s="2" t="str">
        <f>HYPERLINK("https://old.ukr-mobil.com/flyus-pasta_mechanic_tf350_tyubik_15ml_12308", "Перейти")</f>
        <v>Перейти</v>
      </c>
      <c r="F6321" s="2">
        <v>12308</v>
      </c>
      <c r="G6321" s="4" t="s">
        <v>6534</v>
      </c>
      <c r="H6321" s="1">
        <v>0</v>
      </c>
      <c r="I6321" s="1">
        <v>0</v>
      </c>
      <c r="J6321" s="1">
        <v>0</v>
      </c>
      <c r="K6321" s="2">
        <v>5.04</v>
      </c>
    </row>
    <row r="6322" spans="1:12">
      <c r="A6322" s="3" t="s">
        <v>6419</v>
      </c>
      <c r="B6322" s="3" t="s">
        <v>6420</v>
      </c>
      <c r="C6322" s="3" t="s">
        <v>6503</v>
      </c>
      <c r="D6322" s="3"/>
      <c r="E6322" s="2" t="str">
        <f>HYPERLINK("https://old.ukr-mobil.com/flyus-pasta_yaxun_yx-b20_50_g_4572", "Перейти")</f>
        <v>Перейти</v>
      </c>
      <c r="F6322" s="2">
        <v>4572</v>
      </c>
      <c r="G6322" s="4" t="s">
        <v>6535</v>
      </c>
      <c r="H6322" s="1">
        <v>0</v>
      </c>
      <c r="I6322" s="1">
        <v>0</v>
      </c>
      <c r="J6322" s="1">
        <v>0</v>
      </c>
      <c r="K6322" s="2">
        <v>5.04</v>
      </c>
    </row>
    <row r="6323" spans="1:12">
      <c r="A6323" s="3" t="s">
        <v>6419</v>
      </c>
      <c r="B6323" s="3" t="s">
        <v>6536</v>
      </c>
      <c r="C6323" s="3"/>
      <c r="D6323" s="3"/>
      <c r="E6323" s="2" t="str">
        <f>HYPERLINK("https://old.ukr-mobil.com/dymoulavlivatel_promyshlennyj_quick_6601_10002936", "Перейти")</f>
        <v>Перейти</v>
      </c>
      <c r="F6323" s="2">
        <v>10002936</v>
      </c>
      <c r="G6323" s="4" t="s">
        <v>6537</v>
      </c>
      <c r="H6323" s="1">
        <v>0</v>
      </c>
      <c r="I6323" s="1">
        <v>0</v>
      </c>
      <c r="J6323" s="1">
        <v>0</v>
      </c>
      <c r="K6323" s="2">
        <v>360.0</v>
      </c>
    </row>
    <row r="6324" spans="1:12">
      <c r="A6324" s="3" t="s">
        <v>6419</v>
      </c>
      <c r="B6324" s="3" t="s">
        <v>6538</v>
      </c>
      <c r="C6324" s="3" t="s">
        <v>6539</v>
      </c>
      <c r="D6324" s="3"/>
      <c r="E6324" s="2" t="str">
        <f>HYPERLINK("https://old.ukr-mobil.com/ampermetr-voltmetr_sunshine_ss-302a_usb_4v-30v_0a-5a_10004331", "Перейти")</f>
        <v>Перейти</v>
      </c>
      <c r="F6324" s="2">
        <v>10004331</v>
      </c>
      <c r="G6324" s="4" t="s">
        <v>6540</v>
      </c>
      <c r="H6324" s="1">
        <v>0</v>
      </c>
      <c r="I6324" s="1">
        <v>0</v>
      </c>
      <c r="J6324" s="1">
        <v>0</v>
      </c>
      <c r="K6324" s="2">
        <v>5.25</v>
      </c>
    </row>
    <row r="6325" spans="1:12">
      <c r="A6325" s="3" t="s">
        <v>6419</v>
      </c>
      <c r="B6325" s="3" t="s">
        <v>6538</v>
      </c>
      <c r="C6325" s="3" t="s">
        <v>6539</v>
      </c>
      <c r="D6325" s="3"/>
      <c r="E6325" s="2" t="str">
        <f>HYPERLINK("https://old.ukr-mobil.com/ampermetr-voltmetr_usb_charger_doctor_8042", "Перейти")</f>
        <v>Перейти</v>
      </c>
      <c r="F6325" s="2">
        <v>8042</v>
      </c>
      <c r="G6325" s="4" t="s">
        <v>6541</v>
      </c>
      <c r="H6325" s="1">
        <v>0</v>
      </c>
      <c r="I6325" s="1">
        <v>0</v>
      </c>
      <c r="J6325" s="1">
        <v>0</v>
      </c>
      <c r="K6325" s="2">
        <v>4.03</v>
      </c>
    </row>
    <row r="6326" spans="1:12">
      <c r="A6326" s="3" t="s">
        <v>6419</v>
      </c>
      <c r="B6326" s="3" t="s">
        <v>6538</v>
      </c>
      <c r="C6326" s="3" t="s">
        <v>6539</v>
      </c>
      <c r="D6326" s="3"/>
      <c r="E6326" s="2" t="str">
        <f>HYPERLINK("https://old.ukr-mobil.com/ampermetr-voltmetr_usb_keweisi_8043", "Перейти")</f>
        <v>Перейти</v>
      </c>
      <c r="F6326" s="2">
        <v>8043</v>
      </c>
      <c r="G6326" s="4" t="s">
        <v>6542</v>
      </c>
      <c r="H6326" s="1">
        <v>0</v>
      </c>
      <c r="I6326" s="1">
        <v>0</v>
      </c>
      <c r="J6326" s="1">
        <v>0</v>
      </c>
      <c r="K6326" s="2">
        <v>5.04</v>
      </c>
    </row>
    <row r="6327" spans="1:12">
      <c r="A6327" s="3" t="s">
        <v>6419</v>
      </c>
      <c r="B6327" s="3" t="s">
        <v>6538</v>
      </c>
      <c r="C6327" s="3" t="s">
        <v>6539</v>
      </c>
      <c r="D6327" s="3"/>
      <c r="E6327" s="2" t="str">
        <f>HYPERLINK("https://old.ukr-mobil.com/ampermetr-voltmetr_usb_keweisi_kws-mx16_11868", "Перейти")</f>
        <v>Перейти</v>
      </c>
      <c r="F6327" s="2">
        <v>11868</v>
      </c>
      <c r="G6327" s="4" t="s">
        <v>6543</v>
      </c>
      <c r="H6327" s="1">
        <v>0</v>
      </c>
      <c r="I6327" s="1">
        <v>0</v>
      </c>
      <c r="J6327" s="1">
        <v>0</v>
      </c>
      <c r="K6327" s="2">
        <v>7.56</v>
      </c>
    </row>
    <row r="6328" spans="1:12">
      <c r="A6328" s="3" t="s">
        <v>6419</v>
      </c>
      <c r="B6328" s="3" t="s">
        <v>6538</v>
      </c>
      <c r="C6328" s="3" t="s">
        <v>6539</v>
      </c>
      <c r="D6328" s="3"/>
      <c r="E6328" s="2" t="str">
        <f>HYPERLINK("https://old.ukr-mobil.com/ampermetr-voltmetr_usb_keweisi_kws-v21_9196", "Перейти")</f>
        <v>Перейти</v>
      </c>
      <c r="F6328" s="2">
        <v>9196</v>
      </c>
      <c r="G6328" s="4" t="s">
        <v>6544</v>
      </c>
      <c r="H6328" s="1">
        <v>0</v>
      </c>
      <c r="I6328" s="1">
        <v>0</v>
      </c>
      <c r="J6328" s="1">
        <v>0</v>
      </c>
      <c r="K6328" s="2">
        <v>6.3</v>
      </c>
    </row>
    <row r="6329" spans="1:12">
      <c r="A6329" s="3" t="s">
        <v>6419</v>
      </c>
      <c r="B6329" s="3" t="s">
        <v>6538</v>
      </c>
      <c r="C6329" s="3" t="s">
        <v>6545</v>
      </c>
      <c r="D6329" s="3"/>
      <c r="E6329" s="2" t="str">
        <f>HYPERLINK("https://old.ukr-mobil.com/blok_pitaniya_baku_1501d_1a_15v_4451", "Перейти")</f>
        <v>Перейти</v>
      </c>
      <c r="F6329" s="2">
        <v>4451</v>
      </c>
      <c r="G6329" s="4" t="s">
        <v>6546</v>
      </c>
      <c r="H6329" s="1">
        <v>0</v>
      </c>
      <c r="I6329" s="1">
        <v>0</v>
      </c>
      <c r="J6329" s="1">
        <v>0</v>
      </c>
      <c r="K6329" s="2">
        <v>27.22</v>
      </c>
    </row>
    <row r="6330" spans="1:12">
      <c r="A6330" s="3" t="s">
        <v>6419</v>
      </c>
      <c r="B6330" s="3" t="s">
        <v>6538</v>
      </c>
      <c r="C6330" s="3" t="s">
        <v>6545</v>
      </c>
      <c r="D6330" s="3"/>
      <c r="E6330" s="2" t="str">
        <f>HYPERLINK("https://old.ukr-mobil.com/blok_pitaniya_baku_1501t_1a_15v_1562", "Перейти")</f>
        <v>Перейти</v>
      </c>
      <c r="F6330" s="2">
        <v>1562</v>
      </c>
      <c r="G6330" s="4" t="s">
        <v>6547</v>
      </c>
      <c r="H6330" s="1">
        <v>0</v>
      </c>
      <c r="I6330" s="1">
        <v>0</v>
      </c>
      <c r="J6330" s="1">
        <v>0</v>
      </c>
      <c r="K6330" s="2">
        <v>26.21</v>
      </c>
    </row>
    <row r="6331" spans="1:12">
      <c r="A6331" s="3" t="s">
        <v>6419</v>
      </c>
      <c r="B6331" s="3" t="s">
        <v>6538</v>
      </c>
      <c r="C6331" s="3" t="s">
        <v>6545</v>
      </c>
      <c r="D6331" s="3"/>
      <c r="E6331" s="2" t="str">
        <f>HYPERLINK("https://old.ukr-mobil.com/blok_pitaniya_baku_1502d_rf_2a_1", "Перейти")</f>
        <v>Перейти</v>
      </c>
      <c r="F6331" s="2">
        <v>1</v>
      </c>
      <c r="G6331" s="4" t="s">
        <v>6548</v>
      </c>
      <c r="H6331" s="1">
        <v>0</v>
      </c>
      <c r="I6331" s="1">
        <v>0</v>
      </c>
      <c r="J6331" s="1">
        <v>0</v>
      </c>
      <c r="K6331" s="2">
        <v>29.23</v>
      </c>
    </row>
    <row r="6332" spans="1:12">
      <c r="A6332" s="3" t="s">
        <v>6419</v>
      </c>
      <c r="B6332" s="3" t="s">
        <v>6538</v>
      </c>
      <c r="C6332" s="3" t="s">
        <v>6545</v>
      </c>
      <c r="D6332" s="3"/>
      <c r="E6332" s="2" t="str">
        <f>HYPERLINK("https://old.ukr-mobil.com/blok_pitaniya_baku_1502ta_2a_0v-15v_cifrovaya_i_analogovaya_indikaciya_1720", "Перейти")</f>
        <v>Перейти</v>
      </c>
      <c r="F6332" s="2">
        <v>1720</v>
      </c>
      <c r="G6332" s="4" t="s">
        <v>6549</v>
      </c>
      <c r="H6332" s="1">
        <v>0</v>
      </c>
      <c r="I6332" s="1">
        <v>0</v>
      </c>
      <c r="J6332" s="1">
        <v>0</v>
      </c>
      <c r="K6332" s="2">
        <v>36.29</v>
      </c>
    </row>
    <row r="6333" spans="1:12">
      <c r="A6333" s="3" t="s">
        <v>6419</v>
      </c>
      <c r="B6333" s="3" t="s">
        <v>6538</v>
      </c>
      <c r="C6333" s="3" t="s">
        <v>6545</v>
      </c>
      <c r="D6333" s="3"/>
      <c r="E6333" s="2" t="str">
        <f>HYPERLINK("https://old.ukr-mobil.com/blok_pitaniya_dazheng_1302d_0-30v_2a_6109", "Перейти")</f>
        <v>Перейти</v>
      </c>
      <c r="F6333" s="2">
        <v>6109</v>
      </c>
      <c r="G6333" s="4" t="s">
        <v>6550</v>
      </c>
      <c r="H6333" s="1">
        <v>0</v>
      </c>
      <c r="I6333" s="1">
        <v>0</v>
      </c>
      <c r="J6333" s="1">
        <v>0</v>
      </c>
      <c r="K6333" s="2">
        <v>56.45</v>
      </c>
    </row>
    <row r="6334" spans="1:12">
      <c r="A6334" s="3" t="s">
        <v>6419</v>
      </c>
      <c r="B6334" s="3" t="s">
        <v>6538</v>
      </c>
      <c r="C6334" s="3" t="s">
        <v>6545</v>
      </c>
      <c r="D6334" s="3"/>
      <c r="E6334" s="2" t="str">
        <f>HYPERLINK("https://old.ukr-mobil.com/blok_pitaniya_katex_3005d_programmiruemyj_0-30v_5a_10004380", "Перейти")</f>
        <v>Перейти</v>
      </c>
      <c r="F6334" s="2">
        <v>10004380</v>
      </c>
      <c r="G6334" s="4" t="s">
        <v>6551</v>
      </c>
      <c r="H6334" s="1">
        <v>0</v>
      </c>
      <c r="I6334" s="1">
        <v>0</v>
      </c>
      <c r="J6334" s="1">
        <v>0</v>
      </c>
      <c r="K6334" s="2">
        <v>85.0</v>
      </c>
    </row>
    <row r="6335" spans="1:12">
      <c r="A6335" s="3" t="s">
        <v>6419</v>
      </c>
      <c r="B6335" s="3" t="s">
        <v>6538</v>
      </c>
      <c r="C6335" s="3" t="s">
        <v>6545</v>
      </c>
      <c r="D6335" s="3"/>
      <c r="E6335" s="2" t="str">
        <f>HYPERLINK("https://old.ukr-mobil.com/blok_pitaniya_nt_1501d_1a_0-15v_analogovo-cifrovoj_pitanie_ot_krony_2873", "Перейти")</f>
        <v>Перейти</v>
      </c>
      <c r="F6335" s="2">
        <v>2873</v>
      </c>
      <c r="G6335" s="4" t="s">
        <v>6552</v>
      </c>
      <c r="H6335" s="1">
        <v>0</v>
      </c>
      <c r="I6335" s="1">
        <v>0</v>
      </c>
      <c r="J6335" s="1">
        <v>0</v>
      </c>
      <c r="K6335" s="2">
        <v>22.18</v>
      </c>
    </row>
    <row r="6336" spans="1:12">
      <c r="A6336" s="3" t="s">
        <v>6419</v>
      </c>
      <c r="B6336" s="3" t="s">
        <v>6538</v>
      </c>
      <c r="C6336" s="3" t="s">
        <v>6545</v>
      </c>
      <c r="D6336" s="3"/>
      <c r="E6336" s="2" t="str">
        <f>HYPERLINK("https://old.ukr-mobil.com/blok_pitaniya_sunshine_p-3005da_5a_0-30v_10001379", "Перейти")</f>
        <v>Перейти</v>
      </c>
      <c r="F6336" s="2">
        <v>10001379</v>
      </c>
      <c r="G6336" s="4" t="s">
        <v>6553</v>
      </c>
      <c r="H6336" s="1">
        <v>1</v>
      </c>
      <c r="I6336" s="1">
        <v>0</v>
      </c>
      <c r="J6336" s="1">
        <v>0</v>
      </c>
      <c r="K6336" s="2">
        <v>94.0</v>
      </c>
    </row>
    <row r="6337" spans="1:12">
      <c r="A6337" s="3" t="s">
        <v>6419</v>
      </c>
      <c r="B6337" s="3" t="s">
        <v>6538</v>
      </c>
      <c r="C6337" s="3" t="s">
        <v>6545</v>
      </c>
      <c r="D6337" s="3"/>
      <c r="E6337" s="2" t="str">
        <f>HYPERLINK("https://old.ukr-mobil.com/blok_pitaniya_ya_xun_1502ds_0-15v_2a_8881", "Перейти")</f>
        <v>Перейти</v>
      </c>
      <c r="F6337" s="2">
        <v>8881</v>
      </c>
      <c r="G6337" s="4" t="s">
        <v>6554</v>
      </c>
      <c r="H6337" s="1">
        <v>0</v>
      </c>
      <c r="I6337" s="1">
        <v>0</v>
      </c>
      <c r="J6337" s="1">
        <v>0</v>
      </c>
      <c r="K6337" s="2">
        <v>26.21</v>
      </c>
    </row>
    <row r="6338" spans="1:12">
      <c r="A6338" s="3" t="s">
        <v>6419</v>
      </c>
      <c r="B6338" s="3" t="s">
        <v>6538</v>
      </c>
      <c r="C6338" s="3" t="s">
        <v>6545</v>
      </c>
      <c r="D6338" s="3"/>
      <c r="E6338" s="2" t="str">
        <f>HYPERLINK("https://old.ukr-mobil.com/blok_pitaniya_ya_xun_305d_0-30v_5a_6110", "Перейти")</f>
        <v>Перейти</v>
      </c>
      <c r="F6338" s="2">
        <v>6110</v>
      </c>
      <c r="G6338" s="4" t="s">
        <v>6555</v>
      </c>
      <c r="H6338" s="1">
        <v>0</v>
      </c>
      <c r="I6338" s="1">
        <v>0</v>
      </c>
      <c r="J6338" s="1">
        <v>0</v>
      </c>
      <c r="K6338" s="2">
        <v>60.48</v>
      </c>
    </row>
    <row r="6339" spans="1:12">
      <c r="A6339" s="3" t="s">
        <v>6419</v>
      </c>
      <c r="B6339" s="3" t="s">
        <v>6538</v>
      </c>
      <c r="C6339" s="3" t="s">
        <v>6545</v>
      </c>
      <c r="D6339" s="3"/>
      <c r="E6339" s="2" t="str">
        <f>HYPERLINK("https://old.ukr-mobil.com/kabelya_dlya_blokov_pitaniya_s_razemami_dlya_podklyucheniya_plat_sunshine_ss-905a_v7_0_dlya_iphone_6_iphone_13_pro_max_10002685", "Перейти")</f>
        <v>Перейти</v>
      </c>
      <c r="F6339" s="2">
        <v>10002685</v>
      </c>
      <c r="G6339" s="4" t="s">
        <v>6556</v>
      </c>
      <c r="H6339" s="1">
        <v>5</v>
      </c>
      <c r="I6339" s="1">
        <v>3</v>
      </c>
      <c r="J6339" s="1">
        <v>3</v>
      </c>
      <c r="K6339" s="2">
        <v>20.0</v>
      </c>
    </row>
    <row r="6340" spans="1:12">
      <c r="A6340" s="3" t="s">
        <v>6419</v>
      </c>
      <c r="B6340" s="3" t="s">
        <v>6538</v>
      </c>
      <c r="C6340" s="3" t="s">
        <v>6545</v>
      </c>
      <c r="D6340" s="3"/>
      <c r="E6340" s="2" t="str">
        <f>HYPERLINK("https://old.ukr-mobil.com/kabelya_dlya_blokov_pitaniya_s_razemami_dlya_podklyucheniya_plat_sunshine_ss-905d_v7_0_dlya_iphone_6_iphone_13_pro_max_android_10002686", "Перейти")</f>
        <v>Перейти</v>
      </c>
      <c r="F6340" s="2">
        <v>10002686</v>
      </c>
      <c r="G6340" s="4" t="s">
        <v>6557</v>
      </c>
      <c r="H6340" s="1">
        <v>10</v>
      </c>
      <c r="I6340" s="1">
        <v>4</v>
      </c>
      <c r="J6340" s="1">
        <v>1</v>
      </c>
      <c r="K6340" s="2">
        <v>22.0</v>
      </c>
    </row>
    <row r="6341" spans="1:12">
      <c r="A6341" s="3" t="s">
        <v>6419</v>
      </c>
      <c r="B6341" s="3" t="s">
        <v>6538</v>
      </c>
      <c r="C6341" s="3" t="s">
        <v>6545</v>
      </c>
      <c r="D6341" s="3"/>
      <c r="E6341" s="2" t="str">
        <f>HYPERLINK("https://old.ukr-mobil.com/cifrovoj_programmiruemyj_blok_pitaniya_sunshine_p-3005a_5a_0-30v_10001378", "Перейти")</f>
        <v>Перейти</v>
      </c>
      <c r="F6341" s="2">
        <v>10001378</v>
      </c>
      <c r="G6341" s="4" t="s">
        <v>6558</v>
      </c>
      <c r="H6341" s="1">
        <v>0</v>
      </c>
      <c r="I6341" s="1">
        <v>0</v>
      </c>
      <c r="J6341" s="1">
        <v>0</v>
      </c>
      <c r="K6341" s="2">
        <v>105.0</v>
      </c>
    </row>
    <row r="6342" spans="1:12">
      <c r="A6342" s="3" t="s">
        <v>6419</v>
      </c>
      <c r="B6342" s="3" t="s">
        <v>6538</v>
      </c>
      <c r="C6342" s="3" t="s">
        <v>5808</v>
      </c>
      <c r="D6342" s="3"/>
      <c r="E6342" s="2" t="str">
        <f>HYPERLINK("https://old.ukr-mobil.com/zaryadnoe_ustrojstvo_relife_rl-304n_4_usb_2_porta_5v_2_1_2_porta_qc_3_0_18w_2_type-c_pd_45w_pd_20w_87w_10004336", "Перейти")</f>
        <v>Перейти</v>
      </c>
      <c r="F6342" s="2">
        <v>10004336</v>
      </c>
      <c r="G6342" s="4" t="s">
        <v>6559</v>
      </c>
      <c r="H6342" s="1">
        <v>0</v>
      </c>
      <c r="I6342" s="1">
        <v>0</v>
      </c>
      <c r="J6342" s="1">
        <v>0</v>
      </c>
      <c r="K6342" s="2">
        <v>32.0</v>
      </c>
    </row>
    <row r="6343" spans="1:12">
      <c r="A6343" s="3" t="s">
        <v>6419</v>
      </c>
      <c r="B6343" s="3" t="s">
        <v>6538</v>
      </c>
      <c r="C6343" s="3" t="s">
        <v>5808</v>
      </c>
      <c r="D6343" s="3"/>
      <c r="E6343" s="2" t="str">
        <f>HYPERLINK("https://old.ukr-mobil.com/zaryadnoe_ustrojstvo_relife_rl-304p_5_usb_4_porta_5v_2_1_1_port_qc_3_0_18w_1_type-c_pd_20w_40w_10004337", "Перейти")</f>
        <v>Перейти</v>
      </c>
      <c r="F6343" s="2">
        <v>10004337</v>
      </c>
      <c r="G6343" s="4" t="s">
        <v>6560</v>
      </c>
      <c r="H6343" s="1">
        <v>0</v>
      </c>
      <c r="I6343" s="1">
        <v>0</v>
      </c>
      <c r="J6343" s="1">
        <v>0</v>
      </c>
      <c r="K6343" s="2">
        <v>26.0</v>
      </c>
    </row>
    <row r="6344" spans="1:12">
      <c r="A6344" s="3" t="s">
        <v>6419</v>
      </c>
      <c r="B6344" s="3" t="s">
        <v>6538</v>
      </c>
      <c r="C6344" s="3" t="s">
        <v>5808</v>
      </c>
      <c r="D6344" s="3"/>
      <c r="E6344" s="2" t="str">
        <f>HYPERLINK("https://old.ukr-mobil.com/zaryadnoe_ustrojstvo_relife_rl-304s_6_usb_2_type-c_bezprovodnaya_zaryadka_fast_charger_5a_45w_indikator_toka_zaryada_zashchita_ot_kz_10002577", "Перейти")</f>
        <v>Перейти</v>
      </c>
      <c r="F6344" s="2">
        <v>10002577</v>
      </c>
      <c r="G6344" s="4" t="s">
        <v>6561</v>
      </c>
      <c r="H6344" s="1">
        <v>0</v>
      </c>
      <c r="I6344" s="1">
        <v>1</v>
      </c>
      <c r="J6344" s="1">
        <v>1</v>
      </c>
      <c r="K6344" s="2">
        <v>46.0</v>
      </c>
    </row>
    <row r="6345" spans="1:12">
      <c r="A6345" s="3" t="s">
        <v>6419</v>
      </c>
      <c r="B6345" s="3" t="s">
        <v>6538</v>
      </c>
      <c r="C6345" s="3" t="s">
        <v>5808</v>
      </c>
      <c r="D6345" s="3"/>
      <c r="E6345" s="2" t="str">
        <f>HYPERLINK("https://old.ukr-mobil.com/zaryadnoe_ustrojstvo_sunshine_ss-304d_6_usb_portov_5a_30w_indikator_toka_zaryada_zashchita_ot_kz_12203", "Перейти")</f>
        <v>Перейти</v>
      </c>
      <c r="F6345" s="2">
        <v>12203</v>
      </c>
      <c r="G6345" s="4" t="s">
        <v>6562</v>
      </c>
      <c r="H6345" s="1">
        <v>10</v>
      </c>
      <c r="I6345" s="1">
        <v>2</v>
      </c>
      <c r="J6345" s="1">
        <v>4</v>
      </c>
      <c r="K6345" s="2">
        <v>22.0</v>
      </c>
    </row>
    <row r="6346" spans="1:12">
      <c r="A6346" s="3" t="s">
        <v>6419</v>
      </c>
      <c r="B6346" s="3" t="s">
        <v>6538</v>
      </c>
      <c r="C6346" s="3" t="s">
        <v>5808</v>
      </c>
      <c r="D6346" s="3"/>
      <c r="E6346" s="2" t="str">
        <f>HYPERLINK("https://old.ukr-mobil.com/zaryadnoe_ustrojstvo_sunshine_ss-304q_6_usb_portov_fast_charger_5a_30w_indikator_toka_zaryada_zashchita_ot_kz_10000578", "Перейти")</f>
        <v>Перейти</v>
      </c>
      <c r="F6346" s="2">
        <v>10000578</v>
      </c>
      <c r="G6346" s="4" t="s">
        <v>6563</v>
      </c>
      <c r="H6346" s="1">
        <v>0</v>
      </c>
      <c r="I6346" s="1">
        <v>0</v>
      </c>
      <c r="J6346" s="1">
        <v>1</v>
      </c>
      <c r="K6346" s="2">
        <v>24.0</v>
      </c>
    </row>
    <row r="6347" spans="1:12">
      <c r="A6347" s="3" t="s">
        <v>6419</v>
      </c>
      <c r="B6347" s="3" t="s">
        <v>6538</v>
      </c>
      <c r="C6347" s="3" t="s">
        <v>5808</v>
      </c>
      <c r="D6347" s="3"/>
      <c r="E6347" s="2" t="str">
        <f>HYPERLINK("https://old.ukr-mobil.com/zaryadnoe_ustrojstvo_universalnoe_imax_b6_mini_dlya_akkumulyatorov_nicd_ni-mh_li-ion_li-po_li-fe_pb_8045", "Перейти")</f>
        <v>Перейти</v>
      </c>
      <c r="F6347" s="2">
        <v>8045</v>
      </c>
      <c r="G6347" s="4" t="s">
        <v>6564</v>
      </c>
      <c r="H6347" s="1">
        <v>0</v>
      </c>
      <c r="I6347" s="1">
        <v>0</v>
      </c>
      <c r="J6347" s="1">
        <v>0</v>
      </c>
      <c r="K6347" s="2">
        <v>52.42</v>
      </c>
    </row>
    <row r="6348" spans="1:12">
      <c r="A6348" s="3" t="s">
        <v>6419</v>
      </c>
      <c r="B6348" s="3" t="s">
        <v>6538</v>
      </c>
      <c r="C6348" s="3" t="s">
        <v>6565</v>
      </c>
      <c r="D6348" s="3"/>
      <c r="E6348" s="2" t="str">
        <f>HYPERLINK("https://old.ukr-mobil.com/multimetr_cifrovoj_bk-9205_6146", "Перейти")</f>
        <v>Перейти</v>
      </c>
      <c r="F6348" s="2">
        <v>6146</v>
      </c>
      <c r="G6348" s="4" t="s">
        <v>6566</v>
      </c>
      <c r="H6348" s="1">
        <v>0</v>
      </c>
      <c r="I6348" s="1">
        <v>0</v>
      </c>
      <c r="J6348" s="1">
        <v>0</v>
      </c>
      <c r="K6348" s="2">
        <v>9.07</v>
      </c>
    </row>
    <row r="6349" spans="1:12">
      <c r="A6349" s="3" t="s">
        <v>6419</v>
      </c>
      <c r="B6349" s="3" t="s">
        <v>6538</v>
      </c>
      <c r="C6349" s="3" t="s">
        <v>6565</v>
      </c>
      <c r="D6349" s="3"/>
      <c r="E6349" s="2" t="str">
        <f>HYPERLINK("https://old.ukr-mobil.com/multimetr_cifrovoj_vc-890d_2354", "Перейти")</f>
        <v>Перейти</v>
      </c>
      <c r="F6349" s="2">
        <v>2354</v>
      </c>
      <c r="G6349" s="4" t="s">
        <v>6567</v>
      </c>
      <c r="H6349" s="1">
        <v>0</v>
      </c>
      <c r="I6349" s="1">
        <v>0</v>
      </c>
      <c r="J6349" s="1">
        <v>0</v>
      </c>
      <c r="K6349" s="2">
        <v>15.12</v>
      </c>
    </row>
    <row r="6350" spans="1:12">
      <c r="A6350" s="3" t="s">
        <v>6419</v>
      </c>
      <c r="B6350" s="3" t="s">
        <v>6538</v>
      </c>
      <c r="C6350" s="3" t="s">
        <v>6565</v>
      </c>
      <c r="D6350" s="3"/>
      <c r="E6350" s="2" t="str">
        <f>HYPERLINK("https://old.ukr-mobil.com/multimetr_cifrovoj_vc9801a_s_funkciej_avtootklyucheniya_datchikom_temperatury_tok_do_20a_8875", "Перейти")</f>
        <v>Перейти</v>
      </c>
      <c r="F6350" s="2">
        <v>8875</v>
      </c>
      <c r="G6350" s="4" t="s">
        <v>6568</v>
      </c>
      <c r="H6350" s="1">
        <v>0</v>
      </c>
      <c r="I6350" s="1">
        <v>0</v>
      </c>
      <c r="J6350" s="1">
        <v>0</v>
      </c>
      <c r="K6350" s="2">
        <v>32.26</v>
      </c>
    </row>
    <row r="6351" spans="1:12">
      <c r="A6351" s="3" t="s">
        <v>6419</v>
      </c>
      <c r="B6351" s="3" t="s">
        <v>6538</v>
      </c>
      <c r="C6351" s="3" t="s">
        <v>6565</v>
      </c>
      <c r="D6351" s="3"/>
      <c r="E6351" s="2" t="str">
        <f>HYPERLINK("https://old.ukr-mobil.com/multimetr_cifrovoj_yaxun_yx-9208al_s_izmereniem_kondensatorov_temperatury_napryazheniya_sily_toka_8876", "Перейти")</f>
        <v>Перейти</v>
      </c>
      <c r="F6351" s="2">
        <v>8876</v>
      </c>
      <c r="G6351" s="4" t="s">
        <v>6569</v>
      </c>
      <c r="H6351" s="1">
        <v>0</v>
      </c>
      <c r="I6351" s="1">
        <v>0</v>
      </c>
      <c r="J6351" s="1">
        <v>0</v>
      </c>
      <c r="K6351" s="2">
        <v>15.83</v>
      </c>
    </row>
    <row r="6352" spans="1:12">
      <c r="A6352" s="3" t="s">
        <v>6419</v>
      </c>
      <c r="B6352" s="3" t="s">
        <v>6538</v>
      </c>
      <c r="C6352" s="3" t="s">
        <v>6565</v>
      </c>
      <c r="D6352" s="3"/>
      <c r="E6352" s="2" t="str">
        <f>HYPERLINK("https://old.ukr-mobil.com/nabor_shchupov_dlya_multimetrov_2sht_11788", "Перейти")</f>
        <v>Перейти</v>
      </c>
      <c r="F6352" s="2">
        <v>11788</v>
      </c>
      <c r="G6352" s="4" t="s">
        <v>6570</v>
      </c>
      <c r="H6352" s="1">
        <v>0</v>
      </c>
      <c r="I6352" s="1">
        <v>0</v>
      </c>
      <c r="J6352" s="1">
        <v>0</v>
      </c>
      <c r="K6352" s="2">
        <v>2.77</v>
      </c>
    </row>
    <row r="6353" spans="1:12">
      <c r="A6353" s="3" t="s">
        <v>6419</v>
      </c>
      <c r="B6353" s="3" t="s">
        <v>6538</v>
      </c>
      <c r="C6353" s="3" t="s">
        <v>6571</v>
      </c>
      <c r="D6353" s="3"/>
      <c r="E6353" s="2" t="str">
        <f>HYPERLINK("https://old.ukr-mobil.com/nagrevatelnyj_ehlement_mechanic_hk-1321_dlya_payalnikov_tipa_936_937_907_968_952d_898d_909d_4_kontakta_10002768", "Перейти")</f>
        <v>Перейти</v>
      </c>
      <c r="F6353" s="2">
        <v>10002768</v>
      </c>
      <c r="G6353" s="4" t="s">
        <v>6572</v>
      </c>
      <c r="H6353" s="1">
        <v>15</v>
      </c>
      <c r="I6353" s="1">
        <v>2</v>
      </c>
      <c r="J6353" s="1">
        <v>0</v>
      </c>
      <c r="K6353" s="2">
        <v>5.35</v>
      </c>
    </row>
    <row r="6354" spans="1:12">
      <c r="A6354" s="3" t="s">
        <v>6419</v>
      </c>
      <c r="B6354" s="3" t="s">
        <v>6538</v>
      </c>
      <c r="C6354" s="3" t="s">
        <v>6571</v>
      </c>
      <c r="D6354" s="3"/>
      <c r="E6354" s="2" t="str">
        <f>HYPERLINK("https://old.ukr-mobil.com/nagrevatelnyj_ehlement_mechanic_hk-1511_pod_fen_hot_gun_850_858_859_10002766", "Перейти")</f>
        <v>Перейти</v>
      </c>
      <c r="F6354" s="2">
        <v>10002766</v>
      </c>
      <c r="G6354" s="4" t="s">
        <v>6573</v>
      </c>
      <c r="H6354" s="1">
        <v>22</v>
      </c>
      <c r="I6354" s="1">
        <v>5</v>
      </c>
      <c r="J6354" s="1">
        <v>3</v>
      </c>
      <c r="K6354" s="2">
        <v>10.0</v>
      </c>
    </row>
    <row r="6355" spans="1:12">
      <c r="A6355" s="3" t="s">
        <v>6419</v>
      </c>
      <c r="B6355" s="3" t="s">
        <v>6538</v>
      </c>
      <c r="C6355" s="3" t="s">
        <v>6571</v>
      </c>
      <c r="D6355" s="3"/>
      <c r="E6355" s="2" t="str">
        <f>HYPERLINK("https://old.ukr-mobil.com/nagrevatelnyj_ehlement_mechanic_hk-1522_pod_fen_hot_gun_850_858_859_10002767", "Перейти")</f>
        <v>Перейти</v>
      </c>
      <c r="F6355" s="2">
        <v>10002767</v>
      </c>
      <c r="G6355" s="4" t="s">
        <v>6574</v>
      </c>
      <c r="H6355" s="1">
        <v>19</v>
      </c>
      <c r="I6355" s="1">
        <v>5</v>
      </c>
      <c r="J6355" s="1">
        <v>2</v>
      </c>
      <c r="K6355" s="2">
        <v>7.0</v>
      </c>
    </row>
    <row r="6356" spans="1:12">
      <c r="A6356" s="3" t="s">
        <v>6419</v>
      </c>
      <c r="B6356" s="3" t="s">
        <v>6538</v>
      </c>
      <c r="C6356" s="3" t="s">
        <v>6571</v>
      </c>
      <c r="D6356" s="3"/>
      <c r="E6356" s="2" t="str">
        <f>HYPERLINK("https://old.ukr-mobil.com/nagrevatelnyj_ehlement_quick_a1321_dlya_payalnoj_stancii_quick_936_quick_236_keramicheskij_10004345", "Перейти")</f>
        <v>Перейти</v>
      </c>
      <c r="F6356" s="2">
        <v>10004345</v>
      </c>
      <c r="G6356" s="4" t="s">
        <v>6575</v>
      </c>
      <c r="H6356" s="1">
        <v>4</v>
      </c>
      <c r="I6356" s="1">
        <v>1</v>
      </c>
      <c r="J6356" s="1">
        <v>0</v>
      </c>
      <c r="K6356" s="2">
        <v>17.0</v>
      </c>
    </row>
    <row r="6357" spans="1:12">
      <c r="A6357" s="3" t="s">
        <v>6419</v>
      </c>
      <c r="B6357" s="3" t="s">
        <v>6538</v>
      </c>
      <c r="C6357" s="3" t="s">
        <v>6571</v>
      </c>
      <c r="D6357" s="3"/>
      <c r="E6357" s="2" t="str">
        <f>HYPERLINK("https://old.ukr-mobil.com/nagrevatelnyj_ehlement_quick_a1321a_dlya_payalnoj_stancii_quick_936a_10004344", "Перейти")</f>
        <v>Перейти</v>
      </c>
      <c r="F6357" s="2">
        <v>10004344</v>
      </c>
      <c r="G6357" s="4" t="s">
        <v>6576</v>
      </c>
      <c r="H6357" s="1">
        <v>5</v>
      </c>
      <c r="I6357" s="1">
        <v>3</v>
      </c>
      <c r="J6357" s="1">
        <v>0</v>
      </c>
      <c r="K6357" s="2">
        <v>7.0</v>
      </c>
    </row>
    <row r="6358" spans="1:12">
      <c r="A6358" s="3" t="s">
        <v>6419</v>
      </c>
      <c r="B6358" s="3" t="s">
        <v>6538</v>
      </c>
      <c r="C6358" s="3" t="s">
        <v>6571</v>
      </c>
      <c r="D6358" s="3"/>
      <c r="E6358" s="2" t="str">
        <f>HYPERLINK("https://old.ukr-mobil.com/nagrevatelnyj_ehlement_quick_tss10a_dlya_payalnoj_stancii_quick_ts1100_10004325", "Перейти")</f>
        <v>Перейти</v>
      </c>
      <c r="F6358" s="2">
        <v>10004325</v>
      </c>
      <c r="G6358" s="4" t="s">
        <v>6577</v>
      </c>
      <c r="H6358" s="1">
        <v>6</v>
      </c>
      <c r="I6358" s="1">
        <v>2</v>
      </c>
      <c r="J6358" s="1">
        <v>2</v>
      </c>
      <c r="K6358" s="2">
        <v>21.0</v>
      </c>
    </row>
    <row r="6359" spans="1:12">
      <c r="A6359" s="3" t="s">
        <v>6419</v>
      </c>
      <c r="B6359" s="3" t="s">
        <v>6538</v>
      </c>
      <c r="C6359" s="3" t="s">
        <v>6571</v>
      </c>
      <c r="D6359" s="3"/>
      <c r="E6359" s="2" t="str">
        <f>HYPERLINK("https://old.ukr-mobil.com/nagrevatelnyj_ehlement_dlya_baku_702b_dlya_fena_1577", "Перейти")</f>
        <v>Перейти</v>
      </c>
      <c r="F6359" s="2">
        <v>1577</v>
      </c>
      <c r="G6359" s="4" t="s">
        <v>6578</v>
      </c>
      <c r="H6359" s="1">
        <v>0</v>
      </c>
      <c r="I6359" s="1">
        <v>0</v>
      </c>
      <c r="J6359" s="1">
        <v>0</v>
      </c>
      <c r="K6359" s="2">
        <v>5.04</v>
      </c>
    </row>
    <row r="6360" spans="1:12">
      <c r="A6360" s="3" t="s">
        <v>6419</v>
      </c>
      <c r="B6360" s="3" t="s">
        <v>6538</v>
      </c>
      <c r="C6360" s="3" t="s">
        <v>6571</v>
      </c>
      <c r="D6360" s="3"/>
      <c r="E6360" s="2" t="str">
        <f>HYPERLINK("https://old.ukr-mobil.com/nagrevatelnyj_ehlement_dlya_baku_850_dlya_fena_5483", "Перейти")</f>
        <v>Перейти</v>
      </c>
      <c r="F6360" s="2">
        <v>5483</v>
      </c>
      <c r="G6360" s="4" t="s">
        <v>6579</v>
      </c>
      <c r="H6360" s="1">
        <v>0</v>
      </c>
      <c r="I6360" s="1">
        <v>0</v>
      </c>
      <c r="J6360" s="1">
        <v>0</v>
      </c>
      <c r="K6360" s="2">
        <v>6.05</v>
      </c>
    </row>
    <row r="6361" spans="1:12">
      <c r="A6361" s="3" t="s">
        <v>6419</v>
      </c>
      <c r="B6361" s="3" t="s">
        <v>6538</v>
      </c>
      <c r="C6361" s="3" t="s">
        <v>6571</v>
      </c>
      <c r="D6361" s="3"/>
      <c r="E6361" s="2" t="str">
        <f>HYPERLINK("https://old.ukr-mobil.com/nagrevatelnyj_ehlement_dlya_payalnika_a1322_dlya_702b_936_4_kontakta_1722", "Перейти")</f>
        <v>Перейти</v>
      </c>
      <c r="F6361" s="2">
        <v>1722</v>
      </c>
      <c r="G6361" s="4" t="s">
        <v>6580</v>
      </c>
      <c r="H6361" s="1">
        <v>0</v>
      </c>
      <c r="I6361" s="1">
        <v>0</v>
      </c>
      <c r="J6361" s="1">
        <v>0</v>
      </c>
      <c r="K6361" s="2">
        <v>3.78</v>
      </c>
    </row>
    <row r="6362" spans="1:12">
      <c r="A6362" s="3" t="s">
        <v>6419</v>
      </c>
      <c r="B6362" s="3" t="s">
        <v>6538</v>
      </c>
      <c r="C6362" s="3" t="s">
        <v>6571</v>
      </c>
      <c r="D6362" s="3"/>
      <c r="E6362" s="2" t="str">
        <f>HYPERLINK("https://old.ukr-mobil.com/nagrevatelnyj_ehlement_termofena_a1147_dlya_payalnyh_stancij_quick_857_857a_857d_857dw_706w_957dw_10004326", "Перейти")</f>
        <v>Перейти</v>
      </c>
      <c r="F6362" s="2">
        <v>10004326</v>
      </c>
      <c r="G6362" s="4" t="s">
        <v>6581</v>
      </c>
      <c r="H6362" s="1">
        <v>0</v>
      </c>
      <c r="I6362" s="1">
        <v>0</v>
      </c>
      <c r="J6362" s="1">
        <v>0</v>
      </c>
      <c r="K6362" s="2">
        <v>10.0</v>
      </c>
    </row>
    <row r="6363" spans="1:12">
      <c r="A6363" s="3" t="s">
        <v>6419</v>
      </c>
      <c r="B6363" s="3" t="s">
        <v>6538</v>
      </c>
      <c r="C6363" s="3" t="s">
        <v>6571</v>
      </c>
      <c r="D6363" s="3"/>
      <c r="E6363" s="2" t="str">
        <f>HYPERLINK("https://old.ukr-mobil.com/nagrevatelnyj_ehlement_termofena_h1901r_dlya_payalnyh_stancij_quick_ts1100_ts2200_10004343", "Перейти")</f>
        <v>Перейти</v>
      </c>
      <c r="F6363" s="2">
        <v>10004343</v>
      </c>
      <c r="G6363" s="4" t="s">
        <v>6582</v>
      </c>
      <c r="H6363" s="1">
        <v>7</v>
      </c>
      <c r="I6363" s="1">
        <v>2</v>
      </c>
      <c r="J6363" s="1">
        <v>0</v>
      </c>
      <c r="K6363" s="2">
        <v>17.0</v>
      </c>
    </row>
    <row r="6364" spans="1:12">
      <c r="A6364" s="3" t="s">
        <v>6419</v>
      </c>
      <c r="B6364" s="3" t="s">
        <v>6538</v>
      </c>
      <c r="C6364" s="3" t="s">
        <v>6583</v>
      </c>
      <c r="D6364" s="3"/>
      <c r="E6364" s="2" t="str">
        <f>HYPERLINK("https://old.ukr-mobil.com/nizhnij_podogrev_sunshine_ss-t12a_osnovnaya_chast_bez_platform_10002687", "Перейти")</f>
        <v>Перейти</v>
      </c>
      <c r="F6364" s="2">
        <v>10002687</v>
      </c>
      <c r="G6364" s="4" t="s">
        <v>6584</v>
      </c>
      <c r="H6364" s="1">
        <v>3</v>
      </c>
      <c r="I6364" s="1">
        <v>0</v>
      </c>
      <c r="J6364" s="1">
        <v>1</v>
      </c>
      <c r="K6364" s="2">
        <v>48.0</v>
      </c>
    </row>
    <row r="6365" spans="1:12">
      <c r="A6365" s="3" t="s">
        <v>6419</v>
      </c>
      <c r="B6365" s="3" t="s">
        <v>6538</v>
      </c>
      <c r="C6365" s="3" t="s">
        <v>6583</v>
      </c>
      <c r="D6365" s="3"/>
      <c r="E6365" s="2" t="str">
        <f>HYPERLINK("https://old.ukr-mobil.com/nizhnij_podogrev_sunshine_ss-t12a_face_id_platforma_dlya_ss-t12a_dlya_remonta_face_id_dlya_iphone_x_xs_xs_max_11_11_pro_11_pro_max_10002697", "Перейти")</f>
        <v>Перейти</v>
      </c>
      <c r="F6365" s="2">
        <v>10002697</v>
      </c>
      <c r="G6365" s="4" t="s">
        <v>6585</v>
      </c>
      <c r="H6365" s="1">
        <v>1</v>
      </c>
      <c r="I6365" s="1">
        <v>0</v>
      </c>
      <c r="J6365" s="1">
        <v>0</v>
      </c>
      <c r="K6365" s="2">
        <v>56.0</v>
      </c>
    </row>
    <row r="6366" spans="1:12">
      <c r="A6366" s="3" t="s">
        <v>6419</v>
      </c>
      <c r="B6366" s="3" t="s">
        <v>6538</v>
      </c>
      <c r="C6366" s="3" t="s">
        <v>6583</v>
      </c>
      <c r="D6366" s="3"/>
      <c r="E6366" s="2" t="str">
        <f>HYPERLINK("https://old.ukr-mobil.com/nizhnij_podogrev_sunshine_ss-t12a-m6_platforma_dlya_ss-t12a_iphone_x_xs_xs_max_11_11_pro_11_pro_max_cpu_a13_10002695", "Перейти")</f>
        <v>Перейти</v>
      </c>
      <c r="F6366" s="2">
        <v>10002695</v>
      </c>
      <c r="G6366" s="4" t="s">
        <v>6586</v>
      </c>
      <c r="H6366" s="1">
        <v>0</v>
      </c>
      <c r="I6366" s="1">
        <v>0</v>
      </c>
      <c r="J6366" s="1">
        <v>0</v>
      </c>
      <c r="K6366" s="2">
        <v>60.0</v>
      </c>
    </row>
    <row r="6367" spans="1:12">
      <c r="A6367" s="3" t="s">
        <v>6419</v>
      </c>
      <c r="B6367" s="3" t="s">
        <v>6538</v>
      </c>
      <c r="C6367" s="3" t="s">
        <v>6583</v>
      </c>
      <c r="D6367" s="3"/>
      <c r="E6367" s="2" t="str">
        <f>HYPERLINK("https://old.ukr-mobil.com/nizhnij_podogrev_sunshine_ss-t12a-n11_platforma_dlya_ss-t12a_dlya_iphone_11_11_pro_11_pro_max_10002696", "Перейти")</f>
        <v>Перейти</v>
      </c>
      <c r="F6367" s="2">
        <v>10002696</v>
      </c>
      <c r="G6367" s="4" t="s">
        <v>6587</v>
      </c>
      <c r="H6367" s="1">
        <v>7</v>
      </c>
      <c r="I6367" s="1">
        <v>3</v>
      </c>
      <c r="J6367" s="1">
        <v>3</v>
      </c>
      <c r="K6367" s="2">
        <v>55.0</v>
      </c>
    </row>
    <row r="6368" spans="1:12">
      <c r="A6368" s="3" t="s">
        <v>6419</v>
      </c>
      <c r="B6368" s="3" t="s">
        <v>6538</v>
      </c>
      <c r="C6368" s="3" t="s">
        <v>6583</v>
      </c>
      <c r="D6368" s="3"/>
      <c r="E6368" s="2" t="str">
        <f>HYPERLINK("https://old.ukr-mobil.com/nizhnij_podogrev_sunshine_ss-t12a-n12_platforma_dlya_ss-t12a_dlya_iphone_12_mini_12_12_pro_12_pro_max_10002694", "Перейти")</f>
        <v>Перейти</v>
      </c>
      <c r="F6368" s="2">
        <v>10002694</v>
      </c>
      <c r="G6368" s="4" t="s">
        <v>6588</v>
      </c>
      <c r="H6368" s="1">
        <v>2</v>
      </c>
      <c r="I6368" s="1">
        <v>2</v>
      </c>
      <c r="J6368" s="1">
        <v>2</v>
      </c>
      <c r="K6368" s="2">
        <v>60.0</v>
      </c>
    </row>
    <row r="6369" spans="1:12">
      <c r="A6369" s="3" t="s">
        <v>6419</v>
      </c>
      <c r="B6369" s="3" t="s">
        <v>6538</v>
      </c>
      <c r="C6369" s="3" t="s">
        <v>6583</v>
      </c>
      <c r="D6369" s="3"/>
      <c r="E6369" s="2" t="str">
        <f>HYPERLINK("https://old.ukr-mobil.com/nizhnij_podogrev_sunshine_ss-t12a-n13_platforma_dlya_ss-t12a_dlya_iphone_13_mini_13_13_pro_13_pro_max_10002693", "Перейти")</f>
        <v>Перейти</v>
      </c>
      <c r="F6369" s="2">
        <v>10002693</v>
      </c>
      <c r="G6369" s="4" t="s">
        <v>6589</v>
      </c>
      <c r="H6369" s="1">
        <v>4</v>
      </c>
      <c r="I6369" s="1">
        <v>2</v>
      </c>
      <c r="J6369" s="1">
        <v>1</v>
      </c>
      <c r="K6369" s="2">
        <v>56.0</v>
      </c>
    </row>
    <row r="6370" spans="1:12">
      <c r="A6370" s="3" t="s">
        <v>6419</v>
      </c>
      <c r="B6370" s="3" t="s">
        <v>6538</v>
      </c>
      <c r="C6370" s="3" t="s">
        <v>6583</v>
      </c>
      <c r="D6370" s="3"/>
      <c r="E6370" s="2" t="str">
        <f>HYPERLINK("https://old.ukr-mobil.com/index.php?route=product&amp;product_id=10005188", "Перейти")</f>
        <v>Перейти</v>
      </c>
      <c r="F6370" s="2">
        <v>10005188</v>
      </c>
      <c r="G6370" s="4" t="s">
        <v>6590</v>
      </c>
      <c r="H6370" s="1">
        <v>4</v>
      </c>
      <c r="I6370" s="1">
        <v>0</v>
      </c>
      <c r="J6370" s="1">
        <v>2</v>
      </c>
      <c r="K6370" s="2">
        <v>54.0</v>
      </c>
    </row>
    <row r="6371" spans="1:12">
      <c r="A6371" s="3" t="s">
        <v>6419</v>
      </c>
      <c r="B6371" s="3" t="s">
        <v>6538</v>
      </c>
      <c r="C6371" s="3" t="s">
        <v>6583</v>
      </c>
      <c r="D6371" s="3"/>
      <c r="E6371" s="2" t="str">
        <f>HYPERLINK("https://old.ukr-mobil.com/index.php?route=product&amp;product_id=10005189", "Перейти")</f>
        <v>Перейти</v>
      </c>
      <c r="F6371" s="2">
        <v>10005189</v>
      </c>
      <c r="G6371" s="4" t="s">
        <v>6591</v>
      </c>
      <c r="H6371" s="1">
        <v>2</v>
      </c>
      <c r="I6371" s="1">
        <v>1</v>
      </c>
      <c r="J6371" s="1">
        <v>2</v>
      </c>
      <c r="K6371" s="2">
        <v>58.0</v>
      </c>
    </row>
    <row r="6372" spans="1:12">
      <c r="A6372" s="3" t="s">
        <v>6419</v>
      </c>
      <c r="B6372" s="3" t="s">
        <v>6538</v>
      </c>
      <c r="C6372" s="3" t="s">
        <v>6583</v>
      </c>
      <c r="D6372" s="3"/>
      <c r="E6372" s="2" t="str">
        <f>HYPERLINK("https://old.ukr-mobil.com/nizhnij_podogrev_plat_baku_853_prednagrevatel_termovozdushnyj_1044", "Перейти")</f>
        <v>Перейти</v>
      </c>
      <c r="F6372" s="2">
        <v>1044</v>
      </c>
      <c r="G6372" s="4" t="s">
        <v>6592</v>
      </c>
      <c r="H6372" s="1">
        <v>0</v>
      </c>
      <c r="I6372" s="1">
        <v>0</v>
      </c>
      <c r="J6372" s="1">
        <v>0</v>
      </c>
      <c r="K6372" s="2">
        <v>50.4</v>
      </c>
    </row>
    <row r="6373" spans="1:12">
      <c r="A6373" s="3" t="s">
        <v>6419</v>
      </c>
      <c r="B6373" s="3" t="s">
        <v>6538</v>
      </c>
      <c r="C6373" s="3" t="s">
        <v>6583</v>
      </c>
      <c r="D6373" s="3"/>
      <c r="E6373" s="2" t="str">
        <f>HYPERLINK("https://old.ukr-mobil.com/nizhnij_podogrev_plat_yaxun_yx-853_6113", "Перейти")</f>
        <v>Перейти</v>
      </c>
      <c r="F6373" s="2">
        <v>6113</v>
      </c>
      <c r="G6373" s="4" t="s">
        <v>6593</v>
      </c>
      <c r="H6373" s="1">
        <v>0</v>
      </c>
      <c r="I6373" s="1">
        <v>0</v>
      </c>
      <c r="J6373" s="1">
        <v>0</v>
      </c>
      <c r="K6373" s="2">
        <v>84.67</v>
      </c>
    </row>
    <row r="6374" spans="1:12">
      <c r="A6374" s="3" t="s">
        <v>6419</v>
      </c>
      <c r="B6374" s="3" t="s">
        <v>6538</v>
      </c>
      <c r="C6374" s="3" t="s">
        <v>6583</v>
      </c>
      <c r="D6374" s="3"/>
      <c r="E6374" s="2" t="str">
        <f>HYPERLINK("https://old.ukr-mobil.com/nizhnij_podogrev_plat_ya_xun_yx-853a_s_fenom_1555", "Перейти")</f>
        <v>Перейти</v>
      </c>
      <c r="F6374" s="2">
        <v>1555</v>
      </c>
      <c r="G6374" s="4" t="s">
        <v>6594</v>
      </c>
      <c r="H6374" s="1">
        <v>0</v>
      </c>
      <c r="I6374" s="1">
        <v>0</v>
      </c>
      <c r="J6374" s="1">
        <v>0</v>
      </c>
      <c r="K6374" s="2">
        <v>101.64</v>
      </c>
    </row>
    <row r="6375" spans="1:12">
      <c r="A6375" s="3" t="s">
        <v>6419</v>
      </c>
      <c r="B6375" s="3" t="s">
        <v>6538</v>
      </c>
      <c r="C6375" s="3" t="s">
        <v>6595</v>
      </c>
      <c r="D6375" s="3"/>
      <c r="E6375" s="2" t="str">
        <f>HYPERLINK("https://old.ukr-mobil.com/payalnik_k_payalnoj_stancii_936_mama_3630", "Перейти")</f>
        <v>Перейти</v>
      </c>
      <c r="F6375" s="2">
        <v>3630</v>
      </c>
      <c r="G6375" s="4" t="s">
        <v>6596</v>
      </c>
      <c r="H6375" s="1">
        <v>0</v>
      </c>
      <c r="I6375" s="1">
        <v>0</v>
      </c>
      <c r="J6375" s="1">
        <v>0</v>
      </c>
      <c r="K6375" s="2">
        <v>6.55</v>
      </c>
    </row>
    <row r="6376" spans="1:12">
      <c r="A6376" s="3" t="s">
        <v>6419</v>
      </c>
      <c r="B6376" s="3" t="s">
        <v>6538</v>
      </c>
      <c r="C6376" s="3" t="s">
        <v>6595</v>
      </c>
      <c r="D6376" s="3"/>
      <c r="E6376" s="2" t="str">
        <f>HYPERLINK("https://old.ukr-mobil.com/payalnik_k_payalnoj_stancii_936_papa_643", "Перейти")</f>
        <v>Перейти</v>
      </c>
      <c r="F6376" s="2">
        <v>643</v>
      </c>
      <c r="G6376" s="4" t="s">
        <v>6597</v>
      </c>
      <c r="H6376" s="1">
        <v>0</v>
      </c>
      <c r="I6376" s="1">
        <v>0</v>
      </c>
      <c r="J6376" s="1">
        <v>0</v>
      </c>
      <c r="K6376" s="2">
        <v>6.55</v>
      </c>
    </row>
    <row r="6377" spans="1:12">
      <c r="A6377" s="3" t="s">
        <v>6419</v>
      </c>
      <c r="B6377" s="3" t="s">
        <v>6538</v>
      </c>
      <c r="C6377" s="3" t="s">
        <v>6598</v>
      </c>
      <c r="D6377" s="3"/>
      <c r="E6377" s="2" t="str">
        <f>HYPERLINK("https://old.ukr-mobil.com/payalnaya_stanciya_baku_601d_fen_payalnik_1_cifrovoj_displej_7404", "Перейти")</f>
        <v>Перейти</v>
      </c>
      <c r="F6377" s="2">
        <v>7404</v>
      </c>
      <c r="G6377" s="4" t="s">
        <v>6599</v>
      </c>
      <c r="H6377" s="1">
        <v>0</v>
      </c>
      <c r="I6377" s="1">
        <v>0</v>
      </c>
      <c r="J6377" s="1">
        <v>0</v>
      </c>
      <c r="K6377" s="2">
        <v>54.43</v>
      </c>
    </row>
    <row r="6378" spans="1:12">
      <c r="A6378" s="3" t="s">
        <v>6419</v>
      </c>
      <c r="B6378" s="3" t="s">
        <v>6538</v>
      </c>
      <c r="C6378" s="3" t="s">
        <v>6598</v>
      </c>
      <c r="D6378" s="3"/>
      <c r="E6378" s="2" t="str">
        <f>HYPERLINK("https://old.ukr-mobil.com/payalnaya_stanciya_baku_852_fen_3356", "Перейти")</f>
        <v>Перейти</v>
      </c>
      <c r="F6378" s="2">
        <v>3356</v>
      </c>
      <c r="G6378" s="4" t="s">
        <v>6600</v>
      </c>
      <c r="H6378" s="1">
        <v>0</v>
      </c>
      <c r="I6378" s="1">
        <v>0</v>
      </c>
      <c r="J6378" s="1">
        <v>0</v>
      </c>
      <c r="K6378" s="2">
        <v>50.4</v>
      </c>
    </row>
    <row r="6379" spans="1:12">
      <c r="A6379" s="3" t="s">
        <v>6419</v>
      </c>
      <c r="B6379" s="3" t="s">
        <v>6538</v>
      </c>
      <c r="C6379" s="3" t="s">
        <v>6598</v>
      </c>
      <c r="D6379" s="3"/>
      <c r="E6379" s="2" t="str">
        <f>HYPERLINK("https://old.ukr-mobil.com/payalnaya_stanciya_baku_852d_fen_payalnik_1_cifrovoj_displej_635", "Перейти")</f>
        <v>Перейти</v>
      </c>
      <c r="F6379" s="2">
        <v>635</v>
      </c>
      <c r="G6379" s="4" t="s">
        <v>6601</v>
      </c>
      <c r="H6379" s="1">
        <v>0</v>
      </c>
      <c r="I6379" s="1">
        <v>0</v>
      </c>
      <c r="J6379" s="1">
        <v>0</v>
      </c>
      <c r="K6379" s="2">
        <v>54.43</v>
      </c>
    </row>
    <row r="6380" spans="1:12">
      <c r="A6380" s="3" t="s">
        <v>6419</v>
      </c>
      <c r="B6380" s="3" t="s">
        <v>6538</v>
      </c>
      <c r="C6380" s="3" t="s">
        <v>6598</v>
      </c>
      <c r="D6380" s="3"/>
      <c r="E6380" s="2" t="str">
        <f>HYPERLINK("https://old.ukr-mobil.com/payalnaya_stanciya_baku_858d_termofen_1lcd_1046", "Перейти")</f>
        <v>Перейти</v>
      </c>
      <c r="F6380" s="2">
        <v>1046</v>
      </c>
      <c r="G6380" s="4" t="s">
        <v>6602</v>
      </c>
      <c r="H6380" s="1">
        <v>0</v>
      </c>
      <c r="I6380" s="1">
        <v>0</v>
      </c>
      <c r="J6380" s="1">
        <v>0</v>
      </c>
      <c r="K6380" s="2">
        <v>42.34</v>
      </c>
    </row>
    <row r="6381" spans="1:12">
      <c r="A6381" s="3" t="s">
        <v>6419</v>
      </c>
      <c r="B6381" s="3" t="s">
        <v>6538</v>
      </c>
      <c r="C6381" s="3" t="s">
        <v>6598</v>
      </c>
      <c r="D6381" s="3"/>
      <c r="E6381" s="2" t="str">
        <f>HYPERLINK("https://old.ukr-mobil.com/payalnaya_stanciya_baku_878d_fen_2349", "Перейти")</f>
        <v>Перейти</v>
      </c>
      <c r="F6381" s="2">
        <v>2349</v>
      </c>
      <c r="G6381" s="4" t="s">
        <v>6603</v>
      </c>
      <c r="H6381" s="1">
        <v>0</v>
      </c>
      <c r="I6381" s="1">
        <v>0</v>
      </c>
      <c r="J6381" s="1">
        <v>0</v>
      </c>
      <c r="K6381" s="2">
        <v>55.44</v>
      </c>
    </row>
    <row r="6382" spans="1:12">
      <c r="A6382" s="3" t="s">
        <v>6419</v>
      </c>
      <c r="B6382" s="3" t="s">
        <v>6538</v>
      </c>
      <c r="C6382" s="3" t="s">
        <v>6598</v>
      </c>
      <c r="D6382" s="3"/>
      <c r="E6382" s="2" t="str">
        <f>HYPERLINK("https://old.ukr-mobil.com/payalnaya_stanciya_baku_909_fen_payalnik_2_cifrovyh_displeya_blok_pitaniya_2a_6304", "Перейти")</f>
        <v>Перейти</v>
      </c>
      <c r="F6382" s="2">
        <v>6304</v>
      </c>
      <c r="G6382" s="4" t="s">
        <v>6604</v>
      </c>
      <c r="H6382" s="1">
        <v>0</v>
      </c>
      <c r="I6382" s="1">
        <v>0</v>
      </c>
      <c r="J6382" s="1">
        <v>0</v>
      </c>
      <c r="K6382" s="2">
        <v>70.56</v>
      </c>
    </row>
    <row r="6383" spans="1:12">
      <c r="A6383" s="3" t="s">
        <v>6419</v>
      </c>
      <c r="B6383" s="3" t="s">
        <v>6538</v>
      </c>
      <c r="C6383" s="3" t="s">
        <v>6598</v>
      </c>
      <c r="D6383" s="3"/>
      <c r="E6383" s="2" t="str">
        <f>HYPERLINK("https://old.ukr-mobil.com/payalnaya_stanciya_baku_909s_fen_payalnik_2_cifrovyh_displeya_blok_pitaniya_2a_mp3_1045", "Перейти")</f>
        <v>Перейти</v>
      </c>
      <c r="F6383" s="2">
        <v>1045</v>
      </c>
      <c r="G6383" s="4" t="s">
        <v>6605</v>
      </c>
      <c r="H6383" s="1">
        <v>0</v>
      </c>
      <c r="I6383" s="1">
        <v>0</v>
      </c>
      <c r="J6383" s="1">
        <v>0</v>
      </c>
      <c r="K6383" s="2">
        <v>85.68</v>
      </c>
    </row>
    <row r="6384" spans="1:12">
      <c r="A6384" s="3" t="s">
        <v>6419</v>
      </c>
      <c r="B6384" s="3" t="s">
        <v>6538</v>
      </c>
      <c r="C6384" s="3" t="s">
        <v>6598</v>
      </c>
      <c r="D6384" s="3"/>
      <c r="E6384" s="2" t="str">
        <f>HYPERLINK("https://old.ukr-mobil.com/payalnaya_stanciya_baku_ba-8701d_fen_payalnik_1_cifrovoj_displej_10296", "Перейти")</f>
        <v>Перейти</v>
      </c>
      <c r="F6384" s="2">
        <v>10296</v>
      </c>
      <c r="G6384" s="4" t="s">
        <v>6606</v>
      </c>
      <c r="H6384" s="1">
        <v>0</v>
      </c>
      <c r="I6384" s="1">
        <v>0</v>
      </c>
      <c r="J6384" s="1">
        <v>0</v>
      </c>
      <c r="K6384" s="2">
        <v>124.74</v>
      </c>
    </row>
    <row r="6385" spans="1:12">
      <c r="A6385" s="3" t="s">
        <v>6419</v>
      </c>
      <c r="B6385" s="3" t="s">
        <v>6538</v>
      </c>
      <c r="C6385" s="3" t="s">
        <v>6598</v>
      </c>
      <c r="D6385" s="3"/>
      <c r="E6385" s="2" t="str">
        <f>HYPERLINK("https://old.ukr-mobil.com/payalnaya_stanciya_baku_ba-9305l_fen_payalnik_2_cifrovyh_displeya_blok_pitaniya_5a_10297", "Перейти")</f>
        <v>Перейти</v>
      </c>
      <c r="F6385" s="2">
        <v>10297</v>
      </c>
      <c r="G6385" s="4" t="s">
        <v>6607</v>
      </c>
      <c r="H6385" s="1">
        <v>0</v>
      </c>
      <c r="I6385" s="1">
        <v>0</v>
      </c>
      <c r="J6385" s="1">
        <v>0</v>
      </c>
      <c r="K6385" s="2">
        <v>155.16</v>
      </c>
    </row>
    <row r="6386" spans="1:12">
      <c r="A6386" s="3" t="s">
        <v>6419</v>
      </c>
      <c r="B6386" s="3" t="s">
        <v>6538</v>
      </c>
      <c r="C6386" s="3" t="s">
        <v>6598</v>
      </c>
      <c r="D6386" s="3"/>
      <c r="E6386" s="2" t="str">
        <f>HYPERLINK("https://old.ukr-mobil.com/payalnaya_stanciya_baku_bk-936d_2", "Перейти")</f>
        <v>Перейти</v>
      </c>
      <c r="F6386" s="2">
        <v>2</v>
      </c>
      <c r="G6386" s="4" t="s">
        <v>6608</v>
      </c>
      <c r="H6386" s="1">
        <v>0</v>
      </c>
      <c r="I6386" s="1">
        <v>0</v>
      </c>
      <c r="J6386" s="1">
        <v>0</v>
      </c>
      <c r="K6386" s="2">
        <v>32.26</v>
      </c>
    </row>
    <row r="6387" spans="1:12">
      <c r="A6387" s="3" t="s">
        <v>6419</v>
      </c>
      <c r="B6387" s="3" t="s">
        <v>6538</v>
      </c>
      <c r="C6387" s="3" t="s">
        <v>6598</v>
      </c>
      <c r="D6387" s="3"/>
      <c r="E6387" s="2" t="str">
        <f>HYPERLINK("https://old.ukr-mobil.com/payalnaya_stanciya_lukey_702_fen_payalnik_2_cifrovih_displeya_2896", "Перейти")</f>
        <v>Перейти</v>
      </c>
      <c r="F6387" s="2">
        <v>2896</v>
      </c>
      <c r="G6387" s="4" t="s">
        <v>6609</v>
      </c>
      <c r="H6387" s="1">
        <v>0</v>
      </c>
      <c r="I6387" s="1">
        <v>0</v>
      </c>
      <c r="J6387" s="1">
        <v>0</v>
      </c>
      <c r="K6387" s="2">
        <v>73.58</v>
      </c>
    </row>
    <row r="6388" spans="1:12">
      <c r="A6388" s="3" t="s">
        <v>6419</v>
      </c>
      <c r="B6388" s="3" t="s">
        <v>6538</v>
      </c>
      <c r="C6388" s="3" t="s">
        <v>6598</v>
      </c>
      <c r="D6388" s="3"/>
      <c r="E6388" s="2" t="str">
        <f>HYPERLINK("https://old.ukr-mobil.com/payalnaya_stanciya_lukey_852d_fen_payalnik_1_cifrovyh_displeya_2895", "Перейти")</f>
        <v>Перейти</v>
      </c>
      <c r="F6388" s="2">
        <v>2895</v>
      </c>
      <c r="G6388" s="4" t="s">
        <v>6610</v>
      </c>
      <c r="H6388" s="1">
        <v>0</v>
      </c>
      <c r="I6388" s="1">
        <v>0</v>
      </c>
      <c r="J6388" s="1">
        <v>0</v>
      </c>
      <c r="K6388" s="2">
        <v>80.64</v>
      </c>
    </row>
    <row r="6389" spans="1:12">
      <c r="A6389" s="3" t="s">
        <v>6419</v>
      </c>
      <c r="B6389" s="3" t="s">
        <v>6538</v>
      </c>
      <c r="C6389" s="3" t="s">
        <v>6598</v>
      </c>
      <c r="D6389" s="3"/>
      <c r="E6389" s="2" t="str">
        <f>HYPERLINK("https://old.ukr-mobil.com/payalnaya_stanciya_lukey_852d_fen_payalnik_2_cifrovyh_displeya_2894", "Перейти")</f>
        <v>Перейти</v>
      </c>
      <c r="F6389" s="2">
        <v>2894</v>
      </c>
      <c r="G6389" s="4" t="s">
        <v>6611</v>
      </c>
      <c r="H6389" s="1">
        <v>0</v>
      </c>
      <c r="I6389" s="1">
        <v>0</v>
      </c>
      <c r="J6389" s="1">
        <v>0</v>
      </c>
      <c r="K6389" s="2">
        <v>85.68</v>
      </c>
    </row>
    <row r="6390" spans="1:12">
      <c r="A6390" s="3" t="s">
        <v>6419</v>
      </c>
      <c r="B6390" s="3" t="s">
        <v>6538</v>
      </c>
      <c r="C6390" s="3" t="s">
        <v>6598</v>
      </c>
      <c r="D6390" s="3"/>
      <c r="E6390" s="2" t="str">
        <f>HYPERLINK("https://old.ukr-mobil.com/payalnaya_stanciya_nt_878d_fen_payalnik_2876", "Перейти")</f>
        <v>Перейти</v>
      </c>
      <c r="F6390" s="2">
        <v>2876</v>
      </c>
      <c r="G6390" s="4" t="s">
        <v>6612</v>
      </c>
      <c r="H6390" s="1">
        <v>0</v>
      </c>
      <c r="I6390" s="1">
        <v>0</v>
      </c>
      <c r="J6390" s="1">
        <v>0</v>
      </c>
      <c r="K6390" s="2">
        <v>59.47</v>
      </c>
    </row>
    <row r="6391" spans="1:12">
      <c r="A6391" s="3" t="s">
        <v>6419</v>
      </c>
      <c r="B6391" s="3" t="s">
        <v>6538</v>
      </c>
      <c r="C6391" s="3" t="s">
        <v>6598</v>
      </c>
      <c r="D6391" s="3"/>
      <c r="E6391" s="2" t="str">
        <f>HYPERLINK("https://old.ukr-mobil.com/payalnaya_stanciya_quick_2008_termovozdushnaya_10983", "Перейти")</f>
        <v>Перейти</v>
      </c>
      <c r="F6391" s="2">
        <v>10983</v>
      </c>
      <c r="G6391" s="4" t="s">
        <v>6613</v>
      </c>
      <c r="H6391" s="1">
        <v>0</v>
      </c>
      <c r="I6391" s="1">
        <v>0</v>
      </c>
      <c r="J6391" s="1">
        <v>0</v>
      </c>
      <c r="K6391" s="2">
        <v>103.49</v>
      </c>
    </row>
    <row r="6392" spans="1:12">
      <c r="A6392" s="3" t="s">
        <v>6419</v>
      </c>
      <c r="B6392" s="3" t="s">
        <v>6538</v>
      </c>
      <c r="C6392" s="3" t="s">
        <v>6598</v>
      </c>
      <c r="D6392" s="3"/>
      <c r="E6392" s="2" t="str">
        <f>HYPERLINK("https://old.ukr-mobil.com/payalnaya_stanciya_quick_203h_indukcionnaya_10001771", "Перейти")</f>
        <v>Перейти</v>
      </c>
      <c r="F6392" s="2">
        <v>10001771</v>
      </c>
      <c r="G6392" s="4" t="s">
        <v>6614</v>
      </c>
      <c r="H6392" s="1">
        <v>0</v>
      </c>
      <c r="I6392" s="1">
        <v>0</v>
      </c>
      <c r="J6392" s="1">
        <v>0</v>
      </c>
      <c r="K6392" s="2">
        <v>196.0</v>
      </c>
    </row>
    <row r="6393" spans="1:12">
      <c r="A6393" s="3" t="s">
        <v>6419</v>
      </c>
      <c r="B6393" s="3" t="s">
        <v>6538</v>
      </c>
      <c r="C6393" s="3" t="s">
        <v>6598</v>
      </c>
      <c r="D6393" s="3"/>
      <c r="E6393" s="2" t="str">
        <f>HYPERLINK("https://old.ukr-mobil.com/payalnaya_stanciya_quick_236_payalnik_s_keramicheskim_nagrevatelnym_elementom_90w_10004335", "Перейти")</f>
        <v>Перейти</v>
      </c>
      <c r="F6393" s="2">
        <v>10004335</v>
      </c>
      <c r="G6393" s="4" t="s">
        <v>6615</v>
      </c>
      <c r="H6393" s="1">
        <v>0</v>
      </c>
      <c r="I6393" s="1">
        <v>0</v>
      </c>
      <c r="J6393" s="1">
        <v>0</v>
      </c>
      <c r="K6393" s="2">
        <v>124.0</v>
      </c>
    </row>
    <row r="6394" spans="1:12">
      <c r="A6394" s="3" t="s">
        <v>6419</v>
      </c>
      <c r="B6394" s="3" t="s">
        <v>6538</v>
      </c>
      <c r="C6394" s="3" t="s">
        <v>6598</v>
      </c>
      <c r="D6394" s="3"/>
      <c r="E6394" s="2" t="str">
        <f>HYPERLINK("https://old.ukr-mobil.com/payalnaya_stanciya_quick_712_esd_kompressornaya_fen_payalnik_12240", "Перейти")</f>
        <v>Перейти</v>
      </c>
      <c r="F6394" s="2">
        <v>12240</v>
      </c>
      <c r="G6394" s="4" t="s">
        <v>6616</v>
      </c>
      <c r="H6394" s="1">
        <v>0</v>
      </c>
      <c r="I6394" s="1">
        <v>0</v>
      </c>
      <c r="J6394" s="1">
        <v>0</v>
      </c>
      <c r="K6394" s="2">
        <v>400.0</v>
      </c>
    </row>
    <row r="6395" spans="1:12">
      <c r="A6395" s="3" t="s">
        <v>6419</v>
      </c>
      <c r="B6395" s="3" t="s">
        <v>6538</v>
      </c>
      <c r="C6395" s="3" t="s">
        <v>6598</v>
      </c>
      <c r="D6395" s="3"/>
      <c r="E6395" s="2" t="str">
        <f>HYPERLINK("https://old.ukr-mobil.com/payalnaya_stanciya_quick_715_termovozdushnaya_fen_payalnik_10000717", "Перейти")</f>
        <v>Перейти</v>
      </c>
      <c r="F6395" s="2">
        <v>10000717</v>
      </c>
      <c r="G6395" s="4" t="s">
        <v>6617</v>
      </c>
      <c r="H6395" s="1">
        <v>0</v>
      </c>
      <c r="I6395" s="1">
        <v>0</v>
      </c>
      <c r="J6395" s="1">
        <v>0</v>
      </c>
      <c r="K6395" s="2">
        <v>128.0</v>
      </c>
    </row>
    <row r="6396" spans="1:12">
      <c r="A6396" s="3" t="s">
        <v>6419</v>
      </c>
      <c r="B6396" s="3" t="s">
        <v>6538</v>
      </c>
      <c r="C6396" s="3" t="s">
        <v>6598</v>
      </c>
      <c r="D6396" s="3"/>
      <c r="E6396" s="2" t="str">
        <f>HYPERLINK("https://old.ukr-mobil.com/payalnaya_stanciya_quick_857dw_termovozdushnaya_11349", "Перейти")</f>
        <v>Перейти</v>
      </c>
      <c r="F6396" s="2">
        <v>11349</v>
      </c>
      <c r="G6396" s="4" t="s">
        <v>6618</v>
      </c>
      <c r="H6396" s="1">
        <v>0</v>
      </c>
      <c r="I6396" s="1">
        <v>0</v>
      </c>
      <c r="J6396" s="1">
        <v>0</v>
      </c>
      <c r="K6396" s="2">
        <v>115.0</v>
      </c>
    </row>
    <row r="6397" spans="1:12">
      <c r="A6397" s="3" t="s">
        <v>6419</v>
      </c>
      <c r="B6397" s="3" t="s">
        <v>6538</v>
      </c>
      <c r="C6397" s="3" t="s">
        <v>6598</v>
      </c>
      <c r="D6397" s="3"/>
      <c r="E6397" s="2" t="str">
        <f>HYPERLINK("https://old.ukr-mobil.com/payalnaya_stanciya_quick_8586d_fen_payalnik_10004323", "Перейти")</f>
        <v>Перейти</v>
      </c>
      <c r="F6397" s="2">
        <v>10004323</v>
      </c>
      <c r="G6397" s="4" t="s">
        <v>6619</v>
      </c>
      <c r="H6397" s="1">
        <v>1</v>
      </c>
      <c r="I6397" s="1">
        <v>0</v>
      </c>
      <c r="J6397" s="1">
        <v>0</v>
      </c>
      <c r="K6397" s="2">
        <v>150.0</v>
      </c>
    </row>
    <row r="6398" spans="1:12">
      <c r="A6398" s="3" t="s">
        <v>6419</v>
      </c>
      <c r="B6398" s="3" t="s">
        <v>6538</v>
      </c>
      <c r="C6398" s="3" t="s">
        <v>6598</v>
      </c>
      <c r="D6398" s="3"/>
      <c r="E6398" s="2" t="str">
        <f>HYPERLINK("https://old.ukr-mobil.com/payalnaya_stanciya_quick_858d_termovozdushnaya_10982", "Перейти")</f>
        <v>Перейти</v>
      </c>
      <c r="F6398" s="2">
        <v>10982</v>
      </c>
      <c r="G6398" s="4" t="s">
        <v>6620</v>
      </c>
      <c r="H6398" s="1">
        <v>0</v>
      </c>
      <c r="I6398" s="1">
        <v>0</v>
      </c>
      <c r="J6398" s="1">
        <v>0</v>
      </c>
      <c r="K6398" s="2">
        <v>86.0</v>
      </c>
    </row>
    <row r="6399" spans="1:12">
      <c r="A6399" s="3" t="s">
        <v>6419</v>
      </c>
      <c r="B6399" s="3" t="s">
        <v>6538</v>
      </c>
      <c r="C6399" s="3" t="s">
        <v>6598</v>
      </c>
      <c r="D6399" s="3"/>
      <c r="E6399" s="2" t="str">
        <f>HYPERLINK("https://old.ukr-mobil.com/payalnaya_stanciya_quick_859d_termovozdushnaya_programiruemaya_fen_10002301", "Перейти")</f>
        <v>Перейти</v>
      </c>
      <c r="F6399" s="2">
        <v>10002301</v>
      </c>
      <c r="G6399" s="4" t="s">
        <v>6621</v>
      </c>
      <c r="H6399" s="1">
        <v>0</v>
      </c>
      <c r="I6399" s="1">
        <v>0</v>
      </c>
      <c r="J6399" s="1">
        <v>0</v>
      </c>
      <c r="K6399" s="2">
        <v>123.0</v>
      </c>
    </row>
    <row r="6400" spans="1:12">
      <c r="A6400" s="3" t="s">
        <v>6419</v>
      </c>
      <c r="B6400" s="3" t="s">
        <v>6538</v>
      </c>
      <c r="C6400" s="3" t="s">
        <v>6598</v>
      </c>
      <c r="D6400" s="3"/>
      <c r="E6400" s="2" t="str">
        <f>HYPERLINK("https://old.ukr-mobil.com/payalnaya_stanciya_quick_861dw_termovozdushnaya_10980", "Перейти")</f>
        <v>Перейти</v>
      </c>
      <c r="F6400" s="2">
        <v>10980</v>
      </c>
      <c r="G6400" s="4" t="s">
        <v>6622</v>
      </c>
      <c r="H6400" s="1">
        <v>8</v>
      </c>
      <c r="I6400" s="1">
        <v>1</v>
      </c>
      <c r="J6400" s="1">
        <v>1</v>
      </c>
      <c r="K6400" s="2">
        <v>325.0</v>
      </c>
    </row>
    <row r="6401" spans="1:12">
      <c r="A6401" s="3" t="s">
        <v>6419</v>
      </c>
      <c r="B6401" s="3" t="s">
        <v>6538</v>
      </c>
      <c r="C6401" s="3" t="s">
        <v>6598</v>
      </c>
      <c r="D6401" s="3"/>
      <c r="E6401" s="2" t="str">
        <f>HYPERLINK("https://old.ukr-mobil.com/payalnaya_stanciya_quick_881d_termovozdushnaya_12202", "Перейти")</f>
        <v>Перейти</v>
      </c>
      <c r="F6401" s="2">
        <v>12202</v>
      </c>
      <c r="G6401" s="4" t="s">
        <v>6623</v>
      </c>
      <c r="H6401" s="1">
        <v>0</v>
      </c>
      <c r="I6401" s="1">
        <v>0</v>
      </c>
      <c r="J6401" s="1">
        <v>0</v>
      </c>
      <c r="K6401" s="2">
        <v>350.0</v>
      </c>
    </row>
    <row r="6402" spans="1:12">
      <c r="A6402" s="3" t="s">
        <v>6419</v>
      </c>
      <c r="B6402" s="3" t="s">
        <v>6538</v>
      </c>
      <c r="C6402" s="3" t="s">
        <v>6598</v>
      </c>
      <c r="D6402" s="3"/>
      <c r="E6402" s="2" t="str">
        <f>HYPERLINK("https://old.ukr-mobil.com/payalnaya_stanciya_quick_936_payalnik_s_keramicheskim_nagrevatelnym_elementom_60w_10004332", "Перейти")</f>
        <v>Перейти</v>
      </c>
      <c r="F6402" s="2">
        <v>10004332</v>
      </c>
      <c r="G6402" s="4" t="s">
        <v>6624</v>
      </c>
      <c r="H6402" s="1">
        <v>2</v>
      </c>
      <c r="I6402" s="1">
        <v>0</v>
      </c>
      <c r="J6402" s="1">
        <v>0</v>
      </c>
      <c r="K6402" s="2">
        <v>65.0</v>
      </c>
    </row>
    <row r="6403" spans="1:12">
      <c r="A6403" s="3" t="s">
        <v>6419</v>
      </c>
      <c r="B6403" s="3" t="s">
        <v>6538</v>
      </c>
      <c r="C6403" s="3" t="s">
        <v>6598</v>
      </c>
      <c r="D6403" s="3"/>
      <c r="E6403" s="2" t="str">
        <f>HYPERLINK("https://old.ukr-mobil.com/payalnaya_stanciya_quick_936a_payalnik_s_metalicheskim_nagrevatelnym_elementom_60w_10004334", "Перейти")</f>
        <v>Перейти</v>
      </c>
      <c r="F6403" s="2">
        <v>10004334</v>
      </c>
      <c r="G6403" s="4" t="s">
        <v>6625</v>
      </c>
      <c r="H6403" s="1">
        <v>2</v>
      </c>
      <c r="I6403" s="1">
        <v>1</v>
      </c>
      <c r="J6403" s="1">
        <v>1</v>
      </c>
      <c r="K6403" s="2">
        <v>54.0</v>
      </c>
    </row>
    <row r="6404" spans="1:12">
      <c r="A6404" s="3" t="s">
        <v>6419</v>
      </c>
      <c r="B6404" s="3" t="s">
        <v>6538</v>
      </c>
      <c r="C6404" s="3" t="s">
        <v>6598</v>
      </c>
      <c r="D6404" s="3"/>
      <c r="E6404" s="2" t="str">
        <f>HYPERLINK("https://old.ukr-mobil.com/payalnaya_stanciya_quick_k8_termovozdushnaya_1000_w_10004324", "Перейти")</f>
        <v>Перейти</v>
      </c>
      <c r="F6404" s="2">
        <v>10004324</v>
      </c>
      <c r="G6404" s="4" t="s">
        <v>6626</v>
      </c>
      <c r="H6404" s="1">
        <v>1</v>
      </c>
      <c r="I6404" s="1">
        <v>1</v>
      </c>
      <c r="J6404" s="1">
        <v>1</v>
      </c>
      <c r="K6404" s="2">
        <v>195.0</v>
      </c>
    </row>
    <row r="6405" spans="1:12">
      <c r="A6405" s="3" t="s">
        <v>6419</v>
      </c>
      <c r="B6405" s="3" t="s">
        <v>6538</v>
      </c>
      <c r="C6405" s="3" t="s">
        <v>6598</v>
      </c>
      <c r="D6405" s="3"/>
      <c r="E6405" s="2" t="str">
        <f>HYPERLINK("https://old.ukr-mobil.com/payalnaya_stanciya_quick_tr1100_termovozdushnaya_10978", "Перейти")</f>
        <v>Перейти</v>
      </c>
      <c r="F6405" s="2">
        <v>10978</v>
      </c>
      <c r="G6405" s="4" t="s">
        <v>6627</v>
      </c>
      <c r="H6405" s="1">
        <v>2</v>
      </c>
      <c r="I6405" s="1">
        <v>0</v>
      </c>
      <c r="J6405" s="1">
        <v>0</v>
      </c>
      <c r="K6405" s="2">
        <v>290.0</v>
      </c>
    </row>
    <row r="6406" spans="1:12">
      <c r="A6406" s="3" t="s">
        <v>6419</v>
      </c>
      <c r="B6406" s="3" t="s">
        <v>6538</v>
      </c>
      <c r="C6406" s="3" t="s">
        <v>6598</v>
      </c>
      <c r="D6406" s="3"/>
      <c r="E6406" s="2" t="str">
        <f>HYPERLINK("https://old.ukr-mobil.com/payalnaya_stanciya_quick_tr1300a_termovozdushnaya_10981", "Перейти")</f>
        <v>Перейти</v>
      </c>
      <c r="F6406" s="2">
        <v>10981</v>
      </c>
      <c r="G6406" s="4" t="s">
        <v>6628</v>
      </c>
      <c r="H6406" s="1">
        <v>4</v>
      </c>
      <c r="I6406" s="1">
        <v>0</v>
      </c>
      <c r="J6406" s="1">
        <v>0</v>
      </c>
      <c r="K6406" s="2">
        <v>430.0</v>
      </c>
    </row>
    <row r="6407" spans="1:12">
      <c r="A6407" s="3" t="s">
        <v>6419</v>
      </c>
      <c r="B6407" s="3" t="s">
        <v>6538</v>
      </c>
      <c r="C6407" s="3" t="s">
        <v>6598</v>
      </c>
      <c r="D6407" s="3"/>
      <c r="E6407" s="2" t="str">
        <f>HYPERLINK("https://old.ukr-mobil.com/payalnaya_stanciya_quick_ts1100_payalnik_12239", "Перейти")</f>
        <v>Перейти</v>
      </c>
      <c r="F6407" s="2">
        <v>12239</v>
      </c>
      <c r="G6407" s="4" t="s">
        <v>6629</v>
      </c>
      <c r="H6407" s="1">
        <v>3</v>
      </c>
      <c r="I6407" s="1">
        <v>0</v>
      </c>
      <c r="J6407" s="1">
        <v>1</v>
      </c>
      <c r="K6407" s="2">
        <v>111.0</v>
      </c>
    </row>
    <row r="6408" spans="1:12">
      <c r="A6408" s="3" t="s">
        <v>6419</v>
      </c>
      <c r="B6408" s="3" t="s">
        <v>6538</v>
      </c>
      <c r="C6408" s="3" t="s">
        <v>6598</v>
      </c>
      <c r="D6408" s="3"/>
      <c r="E6408" s="2" t="str">
        <f>HYPERLINK("https://old.ukr-mobil.com/payalnaya_stanciya_quick_ts1200a_payalnik_s_datchikom_temperatury_10979", "Перейти")</f>
        <v>Перейти</v>
      </c>
      <c r="F6408" s="2">
        <v>10979</v>
      </c>
      <c r="G6408" s="4" t="s">
        <v>6630</v>
      </c>
      <c r="H6408" s="1">
        <v>0</v>
      </c>
      <c r="I6408" s="1">
        <v>0</v>
      </c>
      <c r="J6408" s="1">
        <v>0</v>
      </c>
      <c r="K6408" s="2">
        <v>215.0</v>
      </c>
    </row>
    <row r="6409" spans="1:12">
      <c r="A6409" s="3" t="s">
        <v>6419</v>
      </c>
      <c r="B6409" s="3" t="s">
        <v>6538</v>
      </c>
      <c r="C6409" s="3" t="s">
        <v>6598</v>
      </c>
      <c r="D6409" s="3"/>
      <c r="E6409" s="2" t="str">
        <f>HYPERLINK("https://old.ukr-mobil.com/payalnaya_stanciya_yaxun_881d_fen_payalnik_1_lcd_5744", "Перейти")</f>
        <v>Перейти</v>
      </c>
      <c r="F6409" s="2">
        <v>5744</v>
      </c>
      <c r="G6409" s="4" t="s">
        <v>6631</v>
      </c>
      <c r="H6409" s="1">
        <v>0</v>
      </c>
      <c r="I6409" s="1">
        <v>0</v>
      </c>
      <c r="J6409" s="1">
        <v>0</v>
      </c>
      <c r="K6409" s="2">
        <v>55.44</v>
      </c>
    </row>
    <row r="6410" spans="1:12">
      <c r="A6410" s="3" t="s">
        <v>6419</v>
      </c>
      <c r="B6410" s="3" t="s">
        <v>6538</v>
      </c>
      <c r="C6410" s="3" t="s">
        <v>6598</v>
      </c>
      <c r="D6410" s="3"/>
      <c r="E6410" s="2" t="str">
        <f>HYPERLINK("https://old.ukr-mobil.com/payalnaya_stanciya_infrakrasnaya_ya_xun_863d_9192", "Перейти")</f>
        <v>Перейти</v>
      </c>
      <c r="F6410" s="2">
        <v>9192</v>
      </c>
      <c r="G6410" s="4" t="s">
        <v>6632</v>
      </c>
      <c r="H6410" s="1">
        <v>0</v>
      </c>
      <c r="I6410" s="1">
        <v>0</v>
      </c>
      <c r="J6410" s="1">
        <v>0</v>
      </c>
      <c r="K6410" s="2">
        <v>117.72</v>
      </c>
    </row>
    <row r="6411" spans="1:12">
      <c r="A6411" s="3" t="s">
        <v>6419</v>
      </c>
      <c r="B6411" s="3" t="s">
        <v>6538</v>
      </c>
      <c r="C6411" s="3" t="s">
        <v>6598</v>
      </c>
      <c r="D6411" s="3"/>
      <c r="E6411" s="2" t="str">
        <f>HYPERLINK("https://old.ukr-mobil.com/payalnaya_stanciya_termovozdushnaya_baku_761d_1041", "Перейти")</f>
        <v>Перейти</v>
      </c>
      <c r="F6411" s="2">
        <v>1041</v>
      </c>
      <c r="G6411" s="4" t="s">
        <v>6633</v>
      </c>
      <c r="H6411" s="1">
        <v>0</v>
      </c>
      <c r="I6411" s="1">
        <v>0</v>
      </c>
      <c r="J6411" s="1">
        <v>0</v>
      </c>
      <c r="K6411" s="2">
        <v>51.41</v>
      </c>
    </row>
    <row r="6412" spans="1:12">
      <c r="A6412" s="3" t="s">
        <v>6419</v>
      </c>
      <c r="B6412" s="3" t="s">
        <v>6538</v>
      </c>
      <c r="C6412" s="3" t="s">
        <v>6598</v>
      </c>
      <c r="D6412" s="3"/>
      <c r="E6412" s="2" t="str">
        <f>HYPERLINK("https://old.ukr-mobil.com/payalnaya_stanciya_termovozdushnaya_lukey_868_7335", "Перейти")</f>
        <v>Перейти</v>
      </c>
      <c r="F6412" s="2">
        <v>7335</v>
      </c>
      <c r="G6412" s="4" t="s">
        <v>6634</v>
      </c>
      <c r="H6412" s="1">
        <v>0</v>
      </c>
      <c r="I6412" s="1">
        <v>0</v>
      </c>
      <c r="J6412" s="1">
        <v>0</v>
      </c>
      <c r="K6412" s="2">
        <v>91.73</v>
      </c>
    </row>
    <row r="6413" spans="1:12">
      <c r="A6413" s="3" t="s">
        <v>6419</v>
      </c>
      <c r="B6413" s="3" t="s">
        <v>6538</v>
      </c>
      <c r="C6413" s="3" t="s">
        <v>6598</v>
      </c>
      <c r="D6413" s="3"/>
      <c r="E6413" s="2" t="str">
        <f>HYPERLINK("https://old.ukr-mobil.com/payalnaya_stanciya_termovozdushnaya_lukey_898_7336", "Перейти")</f>
        <v>Перейти</v>
      </c>
      <c r="F6413" s="2">
        <v>7336</v>
      </c>
      <c r="G6413" s="4" t="s">
        <v>6635</v>
      </c>
      <c r="H6413" s="1">
        <v>0</v>
      </c>
      <c r="I6413" s="1">
        <v>0</v>
      </c>
      <c r="J6413" s="1">
        <v>0</v>
      </c>
      <c r="K6413" s="2">
        <v>78.62</v>
      </c>
    </row>
    <row r="6414" spans="1:12">
      <c r="A6414" s="3" t="s">
        <v>6419</v>
      </c>
      <c r="B6414" s="3" t="s">
        <v>6538</v>
      </c>
      <c r="C6414" s="3" t="s">
        <v>6598</v>
      </c>
      <c r="D6414" s="3"/>
      <c r="E6414" s="2" t="str">
        <f>HYPERLINK("https://old.ukr-mobil.com/payalnaya_stanciya_termovozdushnaya_baku_858_termofen_6148", "Перейти")</f>
        <v>Перейти</v>
      </c>
      <c r="F6414" s="2">
        <v>6148</v>
      </c>
      <c r="G6414" s="4" t="s">
        <v>6636</v>
      </c>
      <c r="H6414" s="1">
        <v>0</v>
      </c>
      <c r="I6414" s="1">
        <v>0</v>
      </c>
      <c r="J6414" s="1">
        <v>0</v>
      </c>
      <c r="K6414" s="2">
        <v>40.32</v>
      </c>
    </row>
    <row r="6415" spans="1:12">
      <c r="A6415" s="3" t="s">
        <v>6419</v>
      </c>
      <c r="B6415" s="3" t="s">
        <v>6538</v>
      </c>
      <c r="C6415" s="3" t="s">
        <v>6598</v>
      </c>
      <c r="D6415" s="3"/>
      <c r="E6415" s="2" t="str">
        <f>HYPERLINK("https://old.ukr-mobil.com/payalnaya_stanciya_termovozdushnaya_baku_878l_fen_payalnik_1725", "Перейти")</f>
        <v>Перейти</v>
      </c>
      <c r="F6415" s="2">
        <v>1725</v>
      </c>
      <c r="G6415" s="4" t="s">
        <v>6637</v>
      </c>
      <c r="H6415" s="1">
        <v>0</v>
      </c>
      <c r="I6415" s="1">
        <v>0</v>
      </c>
      <c r="J6415" s="1">
        <v>0</v>
      </c>
      <c r="K6415" s="2">
        <v>53.42</v>
      </c>
    </row>
    <row r="6416" spans="1:12">
      <c r="A6416" s="3" t="s">
        <v>6419</v>
      </c>
      <c r="B6416" s="3" t="s">
        <v>6538</v>
      </c>
      <c r="C6416" s="3" t="s">
        <v>6598</v>
      </c>
      <c r="D6416" s="3"/>
      <c r="E6416" s="2" t="str">
        <f>HYPERLINK("https://old.ukr-mobil.com/payalnaya_stanciya_termovozdushnaya_baku_878l2_fen_payalnik_2_cifrovyh_displeya_4450", "Перейти")</f>
        <v>Перейти</v>
      </c>
      <c r="F6416" s="2">
        <v>4450</v>
      </c>
      <c r="G6416" s="4" t="s">
        <v>6638</v>
      </c>
      <c r="H6416" s="1">
        <v>0</v>
      </c>
      <c r="I6416" s="1">
        <v>0</v>
      </c>
      <c r="J6416" s="1">
        <v>0</v>
      </c>
      <c r="K6416" s="2">
        <v>54.43</v>
      </c>
    </row>
    <row r="6417" spans="1:12">
      <c r="A6417" s="3" t="s">
        <v>6419</v>
      </c>
      <c r="B6417" s="3" t="s">
        <v>6538</v>
      </c>
      <c r="C6417" s="3" t="s">
        <v>6598</v>
      </c>
      <c r="D6417" s="3"/>
      <c r="E6417" s="2" t="str">
        <f>HYPERLINK("https://old.ukr-mobil.com/payalnaya_stanciya_termovozdushnaya_baku_898d_fen_payalnik_1_cifrovoj_displej_636", "Перейти")</f>
        <v>Перейти</v>
      </c>
      <c r="F6417" s="2">
        <v>636</v>
      </c>
      <c r="G6417" s="4" t="s">
        <v>6639</v>
      </c>
      <c r="H6417" s="1">
        <v>0</v>
      </c>
      <c r="I6417" s="1">
        <v>0</v>
      </c>
      <c r="J6417" s="1">
        <v>0</v>
      </c>
      <c r="K6417" s="2">
        <v>54.43</v>
      </c>
    </row>
    <row r="6418" spans="1:12">
      <c r="A6418" s="3" t="s">
        <v>6419</v>
      </c>
      <c r="B6418" s="3" t="s">
        <v>6538</v>
      </c>
      <c r="C6418" s="3" t="s">
        <v>6598</v>
      </c>
      <c r="D6418" s="3"/>
      <c r="E6418" s="2" t="str">
        <f>HYPERLINK("https://old.ukr-mobil.com/payalnaya_stanciya_termovozdushnaya_baku_bk-702b_fen_payalnik_2_displeya_634", "Перейти")</f>
        <v>Перейти</v>
      </c>
      <c r="F6418" s="2">
        <v>634</v>
      </c>
      <c r="G6418" s="4" t="s">
        <v>6640</v>
      </c>
      <c r="H6418" s="1">
        <v>0</v>
      </c>
      <c r="I6418" s="1">
        <v>0</v>
      </c>
      <c r="J6418" s="1">
        <v>0</v>
      </c>
      <c r="K6418" s="2">
        <v>58.46</v>
      </c>
    </row>
    <row r="6419" spans="1:12">
      <c r="A6419" s="3" t="s">
        <v>6419</v>
      </c>
      <c r="B6419" s="3" t="s">
        <v>6538</v>
      </c>
      <c r="C6419" s="3" t="s">
        <v>6598</v>
      </c>
      <c r="D6419" s="3"/>
      <c r="E6419" s="2" t="str">
        <f>HYPERLINK("https://old.ukr-mobil.com/payalnaya_stanciya_termovozdushnaya_turbinnaya_vakuumnyj_separator_ya_xun_889a_fen_payalnik_2_cifrovyh_displeya_11000", "Перейти")</f>
        <v>Перейти</v>
      </c>
      <c r="F6419" s="2">
        <v>11000</v>
      </c>
      <c r="G6419" s="4" t="s">
        <v>6641</v>
      </c>
      <c r="H6419" s="1">
        <v>0</v>
      </c>
      <c r="I6419" s="1">
        <v>0</v>
      </c>
      <c r="J6419" s="1">
        <v>0</v>
      </c>
      <c r="K6419" s="2">
        <v>117.6</v>
      </c>
    </row>
    <row r="6420" spans="1:12">
      <c r="A6420" s="3" t="s">
        <v>6419</v>
      </c>
      <c r="B6420" s="3" t="s">
        <v>6538</v>
      </c>
      <c r="C6420" s="3" t="s">
        <v>6598</v>
      </c>
      <c r="D6420" s="3"/>
      <c r="E6420" s="2" t="str">
        <f>HYPERLINK("https://old.ukr-mobil.com/payalnaya_stanciya_termovozdushnaya_turbinnaya_yaxun_878d_fen_payalnik_2386", "Перейти")</f>
        <v>Перейти</v>
      </c>
      <c r="F6420" s="2">
        <v>2386</v>
      </c>
      <c r="G6420" s="4" t="s">
        <v>6642</v>
      </c>
      <c r="H6420" s="1">
        <v>0</v>
      </c>
      <c r="I6420" s="1">
        <v>0</v>
      </c>
      <c r="J6420" s="1">
        <v>0</v>
      </c>
      <c r="K6420" s="2">
        <v>51.41</v>
      </c>
    </row>
    <row r="6421" spans="1:12">
      <c r="A6421" s="3" t="s">
        <v>6419</v>
      </c>
      <c r="B6421" s="3" t="s">
        <v>6538</v>
      </c>
      <c r="C6421" s="3" t="s">
        <v>6598</v>
      </c>
      <c r="D6421" s="3"/>
      <c r="E6421" s="2" t="str">
        <f>HYPERLINK("https://old.ukr-mobil.com/payalnaya_stanciya_termovozdushnaya_turbinnaya_ya_xun_878d_fen_payalnik_2_cifrovih_displeya_2348", "Перейти")</f>
        <v>Перейти</v>
      </c>
      <c r="F6421" s="2">
        <v>2348</v>
      </c>
      <c r="G6421" s="4" t="s">
        <v>6643</v>
      </c>
      <c r="H6421" s="1">
        <v>0</v>
      </c>
      <c r="I6421" s="1">
        <v>0</v>
      </c>
      <c r="J6421" s="1">
        <v>0</v>
      </c>
      <c r="K6421" s="2">
        <v>54.43</v>
      </c>
    </row>
    <row r="6422" spans="1:12">
      <c r="A6422" s="3" t="s">
        <v>6419</v>
      </c>
      <c r="B6422" s="3" t="s">
        <v>6538</v>
      </c>
      <c r="C6422" s="3" t="s">
        <v>6598</v>
      </c>
      <c r="D6422" s="3"/>
      <c r="E6422" s="2" t="str">
        <f>HYPERLINK("https://old.ukr-mobil.com/payalnaya_stanciya_termovozdushnaya_turbinnaya_ya_xun_886d_fen_payalnik_2_cifrovih_displeya_usb_5v_1a_8882", "Перейти")</f>
        <v>Перейти</v>
      </c>
      <c r="F6422" s="2">
        <v>8882</v>
      </c>
      <c r="G6422" s="4" t="s">
        <v>6644</v>
      </c>
      <c r="H6422" s="1">
        <v>0</v>
      </c>
      <c r="I6422" s="1">
        <v>0</v>
      </c>
      <c r="J6422" s="1">
        <v>0</v>
      </c>
      <c r="K6422" s="2">
        <v>66.53</v>
      </c>
    </row>
    <row r="6423" spans="1:12">
      <c r="A6423" s="3" t="s">
        <v>6419</v>
      </c>
      <c r="B6423" s="3" t="s">
        <v>6538</v>
      </c>
      <c r="C6423" s="3" t="s">
        <v>6645</v>
      </c>
      <c r="D6423" s="3"/>
      <c r="E6423" s="2" t="str">
        <f>HYPERLINK("https://old.ukr-mobil.com/ultrazvukovaya_vanna_baku_9030_1721", "Перейти")</f>
        <v>Перейти</v>
      </c>
      <c r="F6423" s="2">
        <v>1721</v>
      </c>
      <c r="G6423" s="4" t="s">
        <v>6646</v>
      </c>
      <c r="H6423" s="1">
        <v>0</v>
      </c>
      <c r="I6423" s="1">
        <v>0</v>
      </c>
      <c r="J6423" s="1">
        <v>0</v>
      </c>
      <c r="K6423" s="2">
        <v>26.21</v>
      </c>
    </row>
    <row r="6424" spans="1:12">
      <c r="A6424" s="3" t="s">
        <v>6419</v>
      </c>
      <c r="B6424" s="3" t="s">
        <v>6538</v>
      </c>
      <c r="C6424" s="3" t="s">
        <v>6645</v>
      </c>
      <c r="D6424" s="3"/>
      <c r="E6424" s="2" t="str">
        <f>HYPERLINK("https://old.ukr-mobil.com/ultrazvukovaya_vanna_baku_9050_638", "Перейти")</f>
        <v>Перейти</v>
      </c>
      <c r="F6424" s="2">
        <v>638</v>
      </c>
      <c r="G6424" s="4" t="s">
        <v>6647</v>
      </c>
      <c r="H6424" s="1">
        <v>0</v>
      </c>
      <c r="I6424" s="1">
        <v>0</v>
      </c>
      <c r="J6424" s="1">
        <v>0</v>
      </c>
      <c r="K6424" s="2">
        <v>24.19</v>
      </c>
    </row>
    <row r="6425" spans="1:12">
      <c r="A6425" s="3" t="s">
        <v>6419</v>
      </c>
      <c r="B6425" s="3" t="s">
        <v>6538</v>
      </c>
      <c r="C6425" s="3" t="s">
        <v>6645</v>
      </c>
      <c r="D6425" s="3"/>
      <c r="E6425" s="2" t="str">
        <f>HYPERLINK("https://old.ukr-mobil.com/ultrazvukovaya_vanna_baku_bk-1200_s_funkciej_degazacii_zhidkosti_1_6l_60w_40_khz_podogrev_do_80c_11043", "Перейти")</f>
        <v>Перейти</v>
      </c>
      <c r="F6425" s="2">
        <v>11043</v>
      </c>
      <c r="G6425" s="4" t="s">
        <v>6648</v>
      </c>
      <c r="H6425" s="1">
        <v>0</v>
      </c>
      <c r="I6425" s="1">
        <v>0</v>
      </c>
      <c r="J6425" s="1">
        <v>0</v>
      </c>
      <c r="K6425" s="2">
        <v>90.72</v>
      </c>
    </row>
    <row r="6426" spans="1:12">
      <c r="A6426" s="3" t="s">
        <v>6419</v>
      </c>
      <c r="B6426" s="3" t="s">
        <v>6538</v>
      </c>
      <c r="C6426" s="3" t="s">
        <v>6645</v>
      </c>
      <c r="D6426" s="3"/>
      <c r="E6426" s="2" t="str">
        <f>HYPERLINK("https://old.ukr-mobil.com/ultrazvukovaya_vanna_baku_bk-2400_0_9l_35w_11044", "Перейти")</f>
        <v>Перейти</v>
      </c>
      <c r="F6426" s="2">
        <v>11044</v>
      </c>
      <c r="G6426" s="4" t="s">
        <v>6649</v>
      </c>
      <c r="H6426" s="1">
        <v>0</v>
      </c>
      <c r="I6426" s="1">
        <v>0</v>
      </c>
      <c r="J6426" s="1">
        <v>0</v>
      </c>
      <c r="K6426" s="2">
        <v>50.4</v>
      </c>
    </row>
    <row r="6427" spans="1:12">
      <c r="A6427" s="3" t="s">
        <v>6419</v>
      </c>
      <c r="B6427" s="3" t="s">
        <v>6538</v>
      </c>
      <c r="C6427" s="3" t="s">
        <v>6645</v>
      </c>
      <c r="D6427" s="3"/>
      <c r="E6427" s="2" t="str">
        <f>HYPERLINK("https://old.ukr-mobil.com/ultrazvukovaya_vanna_nt-285_30w_50w_2870", "Перейти")</f>
        <v>Перейти</v>
      </c>
      <c r="F6427" s="2">
        <v>2870</v>
      </c>
      <c r="G6427" s="4" t="s">
        <v>6650</v>
      </c>
      <c r="H6427" s="1">
        <v>0</v>
      </c>
      <c r="I6427" s="1">
        <v>0</v>
      </c>
      <c r="J6427" s="1">
        <v>0</v>
      </c>
      <c r="K6427" s="2">
        <v>30.24</v>
      </c>
    </row>
    <row r="6428" spans="1:12">
      <c r="A6428" s="3" t="s">
        <v>6419</v>
      </c>
      <c r="B6428" s="3" t="s">
        <v>6538</v>
      </c>
      <c r="C6428" s="3" t="s">
        <v>6645</v>
      </c>
      <c r="D6428" s="3"/>
      <c r="E6428" s="2" t="str">
        <f>HYPERLINK("https://old.ukr-mobil.com/ultrazvukovaya_vanna_nt-628_30w_50w_alyuminievyj_korpus_2871", "Перейти")</f>
        <v>Перейти</v>
      </c>
      <c r="F6428" s="2">
        <v>2871</v>
      </c>
      <c r="G6428" s="4" t="s">
        <v>6651</v>
      </c>
      <c r="H6428" s="1">
        <v>0</v>
      </c>
      <c r="I6428" s="1">
        <v>0</v>
      </c>
      <c r="J6428" s="1">
        <v>0</v>
      </c>
      <c r="K6428" s="2">
        <v>43.34</v>
      </c>
    </row>
    <row r="6429" spans="1:12">
      <c r="A6429" s="3" t="s">
        <v>6419</v>
      </c>
      <c r="B6429" s="3" t="s">
        <v>6538</v>
      </c>
      <c r="C6429" s="3" t="s">
        <v>6652</v>
      </c>
      <c r="D6429" s="3"/>
      <c r="E6429" s="2" t="str">
        <f>HYPERLINK("https://old.ukr-mobil.com/index.php?route=product&amp;product_id=10005170", "Перейти")</f>
        <v>Перейти</v>
      </c>
      <c r="F6429" s="2">
        <v>10005170</v>
      </c>
      <c r="G6429" s="4" t="s">
        <v>6653</v>
      </c>
      <c r="H6429" s="1">
        <v>2</v>
      </c>
      <c r="I6429" s="1">
        <v>2</v>
      </c>
      <c r="J6429" s="1">
        <v>3</v>
      </c>
      <c r="K6429" s="2">
        <v>14.0</v>
      </c>
    </row>
    <row r="6430" spans="1:12">
      <c r="A6430" s="3" t="s">
        <v>6419</v>
      </c>
      <c r="B6430" s="3" t="s">
        <v>6538</v>
      </c>
      <c r="C6430" s="3" t="s">
        <v>6652</v>
      </c>
      <c r="D6430" s="3"/>
      <c r="E6430" s="2" t="str">
        <f>HYPERLINK("https://old.ukr-mobil.com/ultrafioletovaya_lampa_dlya_sushki_stekla_s_podstavkoj_4444", "Перейти")</f>
        <v>Перейти</v>
      </c>
      <c r="F6430" s="2">
        <v>4444</v>
      </c>
      <c r="G6430" s="4" t="s">
        <v>6654</v>
      </c>
      <c r="H6430" s="1">
        <v>0</v>
      </c>
      <c r="I6430" s="1">
        <v>0</v>
      </c>
      <c r="J6430" s="1">
        <v>0</v>
      </c>
      <c r="K6430" s="2">
        <v>38.3</v>
      </c>
    </row>
    <row r="6431" spans="1:12">
      <c r="A6431" s="3" t="s">
        <v>6419</v>
      </c>
      <c r="B6431" s="3" t="s">
        <v>6538</v>
      </c>
      <c r="C6431" s="3" t="s">
        <v>6655</v>
      </c>
      <c r="D6431" s="3"/>
      <c r="E6431" s="2" t="str">
        <f>HYPERLINK("https://old.ukr-mobil.com/fen_dlya_payalnoj_stanciii_baku_702b_3_kontaktov_1723", "Перейти")</f>
        <v>Перейти</v>
      </c>
      <c r="F6431" s="2">
        <v>1723</v>
      </c>
      <c r="G6431" s="4" t="s">
        <v>6656</v>
      </c>
      <c r="H6431" s="1">
        <v>0</v>
      </c>
      <c r="I6431" s="1">
        <v>0</v>
      </c>
      <c r="J6431" s="1">
        <v>0</v>
      </c>
      <c r="K6431" s="2">
        <v>10.08</v>
      </c>
    </row>
    <row r="6432" spans="1:12">
      <c r="A6432" s="3" t="s">
        <v>6419</v>
      </c>
      <c r="B6432" s="3" t="s">
        <v>6538</v>
      </c>
      <c r="C6432" s="3" t="s">
        <v>6655</v>
      </c>
      <c r="D6432" s="3"/>
      <c r="E6432" s="2" t="str">
        <f>HYPERLINK("https://old.ukr-mobil.com/fen_dlya_payalnoj_stanciii_baku_702b_5_kontaktov_1724", "Перейти")</f>
        <v>Перейти</v>
      </c>
      <c r="F6432" s="2">
        <v>1724</v>
      </c>
      <c r="G6432" s="4" t="s">
        <v>6657</v>
      </c>
      <c r="H6432" s="1">
        <v>0</v>
      </c>
      <c r="I6432" s="1">
        <v>0</v>
      </c>
      <c r="J6432" s="1">
        <v>0</v>
      </c>
      <c r="K6432" s="2">
        <v>12.1</v>
      </c>
    </row>
    <row r="6433" spans="1:12">
      <c r="A6433" s="3" t="s">
        <v>6419</v>
      </c>
      <c r="B6433" s="3" t="s">
        <v>6658</v>
      </c>
      <c r="C6433" s="3"/>
      <c r="D6433" s="3"/>
      <c r="E6433" s="2" t="str">
        <f>HYPERLINK("https://old.ukr-mobil.com/lazernaya_ustanovka_m-triangel_mg_one_dlya_otdeleniya_zadnih_kryshek_iphone_8_8_plus_x_xs_xs_max_12210", "Перейти")</f>
        <v>Перейти</v>
      </c>
      <c r="F6433" s="2">
        <v>12210</v>
      </c>
      <c r="G6433" s="4" t="s">
        <v>6659</v>
      </c>
      <c r="H6433" s="1">
        <v>1</v>
      </c>
      <c r="I6433" s="1">
        <v>0</v>
      </c>
      <c r="J6433" s="1">
        <v>0</v>
      </c>
      <c r="K6433" s="2">
        <v>2100.0</v>
      </c>
    </row>
    <row r="6434" spans="1:12">
      <c r="A6434" s="3" t="s">
        <v>6419</v>
      </c>
      <c r="B6434" s="3" t="s">
        <v>6658</v>
      </c>
      <c r="C6434" s="3"/>
      <c r="D6434" s="3"/>
      <c r="E6434" s="2" t="str">
        <f>HYPERLINK("https://old.ukr-mobil.com/lazernaya_ustanovka_m-triangel_mg_ones_s_avtofokusom_dlya_otdeleniya_zadnih_kryshek_iphone_8_8_plus_x_xs_xs_max_12365", "Перейти")</f>
        <v>Перейти</v>
      </c>
      <c r="F6434" s="2">
        <v>12365</v>
      </c>
      <c r="G6434" s="4" t="s">
        <v>6660</v>
      </c>
      <c r="H6434" s="1">
        <v>0</v>
      </c>
      <c r="I6434" s="1">
        <v>0</v>
      </c>
      <c r="J6434" s="1">
        <v>0</v>
      </c>
      <c r="K6434" s="2">
        <v>2180.0</v>
      </c>
    </row>
    <row r="6435" spans="1:12">
      <c r="A6435" s="3" t="s">
        <v>6419</v>
      </c>
      <c r="B6435" s="3" t="s">
        <v>6658</v>
      </c>
      <c r="C6435" s="3"/>
      <c r="D6435" s="3"/>
      <c r="E6435" s="2" t="str">
        <f>HYPERLINK("https://old.ukr-mobil.com/lazernaya_ustanovka_m-triangel_mi_one_10001504", "Перейти")</f>
        <v>Перейти</v>
      </c>
      <c r="F6435" s="2">
        <v>10001504</v>
      </c>
      <c r="G6435" s="4" t="s">
        <v>6661</v>
      </c>
      <c r="H6435" s="1">
        <v>0</v>
      </c>
      <c r="I6435" s="1">
        <v>0</v>
      </c>
      <c r="J6435" s="1">
        <v>0</v>
      </c>
      <c r="K6435" s="2">
        <v>2500.0</v>
      </c>
    </row>
    <row r="6436" spans="1:12">
      <c r="A6436" s="3" t="s">
        <v>6419</v>
      </c>
      <c r="B6436" s="3" t="s">
        <v>6658</v>
      </c>
      <c r="C6436" s="3"/>
      <c r="D6436" s="3"/>
      <c r="E6436" s="2" t="str">
        <f>HYPERLINK("https://old.ukr-mobil.com/lazernaya_ustanovka_m-triangel_mt_z-one_s_avtofokusom_10001503", "Перейти")</f>
        <v>Перейти</v>
      </c>
      <c r="F6436" s="2">
        <v>10001503</v>
      </c>
      <c r="G6436" s="4" t="s">
        <v>6662</v>
      </c>
      <c r="H6436" s="1">
        <v>0</v>
      </c>
      <c r="I6436" s="1">
        <v>0</v>
      </c>
      <c r="J6436" s="1">
        <v>0</v>
      </c>
      <c r="K6436" s="2">
        <v>1990.0</v>
      </c>
    </row>
    <row r="6437" spans="1:12">
      <c r="A6437" s="3" t="s">
        <v>6419</v>
      </c>
      <c r="B6437" s="3" t="s">
        <v>6658</v>
      </c>
      <c r="C6437" s="3"/>
      <c r="D6437" s="3"/>
      <c r="E6437" s="2" t="str">
        <f>HYPERLINK("https://old.ukr-mobil.com/lazernaya_ustanovka_m-triangel_pg_ones_mt-by4_s_avtofokusom_displeem_10001134", "Перейти")</f>
        <v>Перейти</v>
      </c>
      <c r="F6437" s="2">
        <v>10001134</v>
      </c>
      <c r="G6437" s="4" t="s">
        <v>6663</v>
      </c>
      <c r="H6437" s="1">
        <v>1</v>
      </c>
      <c r="I6437" s="1">
        <v>0</v>
      </c>
      <c r="J6437" s="1">
        <v>0</v>
      </c>
      <c r="K6437" s="2">
        <v>2250.0</v>
      </c>
    </row>
    <row r="6438" spans="1:12">
      <c r="A6438" s="3" t="s">
        <v>6419</v>
      </c>
      <c r="B6438" s="3" t="s">
        <v>6658</v>
      </c>
      <c r="C6438" s="3"/>
      <c r="D6438" s="3"/>
      <c r="E6438" s="2" t="str">
        <f>HYPERLINK("https://old.ukr-mobil.com/lazernaya_ustanovka_sunshine_ss-890b_dlya_otdeleniya_zadnih_kryshek_iphone_8_8_plus_x_xs_xs_max_12229", "Перейти")</f>
        <v>Перейти</v>
      </c>
      <c r="F6438" s="2">
        <v>12229</v>
      </c>
      <c r="G6438" s="4" t="s">
        <v>6664</v>
      </c>
      <c r="H6438" s="1">
        <v>0</v>
      </c>
      <c r="I6438" s="1">
        <v>0</v>
      </c>
      <c r="J6438" s="1">
        <v>0</v>
      </c>
      <c r="K6438" s="2">
        <v>2652.65</v>
      </c>
    </row>
    <row r="6439" spans="1:12">
      <c r="A6439" s="3" t="s">
        <v>6419</v>
      </c>
      <c r="B6439" s="3" t="s">
        <v>6665</v>
      </c>
      <c r="C6439" s="3"/>
      <c r="D6439" s="3"/>
      <c r="E6439" s="2" t="str">
        <f>HYPERLINK("https://old.ukr-mobil.com/lampa_svetodiodnaya_s_uvelichitelnym_steklom_ya_xun_929_1043", "Перейти")</f>
        <v>Перейти</v>
      </c>
      <c r="F6439" s="2">
        <v>1043</v>
      </c>
      <c r="G6439" s="4" t="s">
        <v>6666</v>
      </c>
      <c r="H6439" s="1">
        <v>0</v>
      </c>
      <c r="I6439" s="1">
        <v>0</v>
      </c>
      <c r="J6439" s="1">
        <v>0</v>
      </c>
      <c r="K6439" s="2">
        <v>14.11</v>
      </c>
    </row>
    <row r="6440" spans="1:12">
      <c r="A6440" s="3" t="s">
        <v>6419</v>
      </c>
      <c r="B6440" s="3" t="s">
        <v>6665</v>
      </c>
      <c r="C6440" s="3"/>
      <c r="D6440" s="3"/>
      <c r="E6440" s="2" t="str">
        <f>HYPERLINK("https://old.ukr-mobil.com/linza_obektiva_mikroskopa_barlou_0_3x_10002770", "Перейти")</f>
        <v>Перейти</v>
      </c>
      <c r="F6440" s="2">
        <v>10002770</v>
      </c>
      <c r="G6440" s="4" t="s">
        <v>6667</v>
      </c>
      <c r="H6440" s="1">
        <v>8</v>
      </c>
      <c r="I6440" s="1">
        <v>1</v>
      </c>
      <c r="J6440" s="1">
        <v>3</v>
      </c>
      <c r="K6440" s="2">
        <v>34.0</v>
      </c>
    </row>
    <row r="6441" spans="1:12">
      <c r="A6441" s="3" t="s">
        <v>6419</v>
      </c>
      <c r="B6441" s="3" t="s">
        <v>6665</v>
      </c>
      <c r="C6441" s="3"/>
      <c r="D6441" s="3"/>
      <c r="E6441" s="2" t="str">
        <f>HYPERLINK("https://old.ukr-mobil.com/linza_obektiva_mikroskopa_barlou_0_5x_10002764", "Перейти")</f>
        <v>Перейти</v>
      </c>
      <c r="F6441" s="2">
        <v>10002764</v>
      </c>
      <c r="G6441" s="4" t="s">
        <v>6668</v>
      </c>
      <c r="H6441" s="1">
        <v>0</v>
      </c>
      <c r="I6441" s="1">
        <v>0</v>
      </c>
      <c r="J6441" s="1">
        <v>0</v>
      </c>
      <c r="K6441" s="2">
        <v>27.0</v>
      </c>
    </row>
    <row r="6442" spans="1:12">
      <c r="A6442" s="3" t="s">
        <v>6419</v>
      </c>
      <c r="B6442" s="3" t="s">
        <v>6665</v>
      </c>
      <c r="C6442" s="3"/>
      <c r="D6442" s="3"/>
      <c r="E6442" s="2" t="str">
        <f>HYPERLINK("https://old.ukr-mobil.com/linza_obektiva_mikroskopa_barlou_0_7x_10002763", "Перейти")</f>
        <v>Перейти</v>
      </c>
      <c r="F6442" s="2">
        <v>10002763</v>
      </c>
      <c r="G6442" s="4" t="s">
        <v>6669</v>
      </c>
      <c r="H6442" s="1">
        <v>2</v>
      </c>
      <c r="I6442" s="1">
        <v>1</v>
      </c>
      <c r="J6442" s="1">
        <v>1</v>
      </c>
      <c r="K6442" s="2">
        <v>26.0</v>
      </c>
    </row>
    <row r="6443" spans="1:12">
      <c r="A6443" s="3" t="s">
        <v>6419</v>
      </c>
      <c r="B6443" s="3" t="s">
        <v>6665</v>
      </c>
      <c r="C6443" s="3"/>
      <c r="D6443" s="3"/>
      <c r="E6443" s="2" t="str">
        <f>HYPERLINK("https://old.ukr-mobil.com/linza_obektiva_mikroskopa_zashchitnaya_mechanic_mcn-1x_10002769", "Перейти")</f>
        <v>Перейти</v>
      </c>
      <c r="F6443" s="2">
        <v>10002769</v>
      </c>
      <c r="G6443" s="4" t="s">
        <v>6670</v>
      </c>
      <c r="H6443" s="1">
        <v>8</v>
      </c>
      <c r="I6443" s="1">
        <v>2</v>
      </c>
      <c r="J6443" s="1">
        <v>2</v>
      </c>
      <c r="K6443" s="2">
        <v>8.0</v>
      </c>
    </row>
    <row r="6444" spans="1:12">
      <c r="A6444" s="3" t="s">
        <v>6419</v>
      </c>
      <c r="B6444" s="3" t="s">
        <v>6665</v>
      </c>
      <c r="C6444" s="3"/>
      <c r="D6444" s="3"/>
      <c r="E6444" s="2" t="str">
        <f>HYPERLINK("https://old.ukr-mobil.com/mikroskop_amscope_sw-3b24_binokulyarnyj_uvelichenie_20x_40h_shtativ_iz_litoj_stali_10001737", "Перейти")</f>
        <v>Перейти</v>
      </c>
      <c r="F6444" s="2">
        <v>10001737</v>
      </c>
      <c r="G6444" s="4" t="s">
        <v>6671</v>
      </c>
      <c r="H6444" s="1">
        <v>0</v>
      </c>
      <c r="I6444" s="1">
        <v>0</v>
      </c>
      <c r="J6444" s="1">
        <v>0</v>
      </c>
      <c r="K6444" s="2">
        <v>385.0</v>
      </c>
    </row>
    <row r="6445" spans="1:12">
      <c r="A6445" s="3" t="s">
        <v>6419</v>
      </c>
      <c r="B6445" s="3" t="s">
        <v>6665</v>
      </c>
      <c r="C6445" s="3"/>
      <c r="D6445" s="3"/>
      <c r="E6445" s="2" t="str">
        <f>HYPERLINK("https://old.ukr-mobil.com/mikroskop_baku_xt-4c_kratnost_uvelicheniya_20h_i_40h_verhnyaya_podsvetka_11049", "Перейти")</f>
        <v>Перейти</v>
      </c>
      <c r="F6445" s="2">
        <v>11049</v>
      </c>
      <c r="G6445" s="4" t="s">
        <v>6672</v>
      </c>
      <c r="H6445" s="1">
        <v>0</v>
      </c>
      <c r="I6445" s="1">
        <v>0</v>
      </c>
      <c r="J6445" s="1">
        <v>0</v>
      </c>
      <c r="K6445" s="2">
        <v>170.17</v>
      </c>
    </row>
    <row r="6446" spans="1:12">
      <c r="A6446" s="3" t="s">
        <v>6419</v>
      </c>
      <c r="B6446" s="3" t="s">
        <v>6665</v>
      </c>
      <c r="C6446" s="3"/>
      <c r="D6446" s="3"/>
      <c r="E6446" s="2" t="str">
        <f>HYPERLINK("https://old.ukr-mobil.com/mikroskop_relife_rl_m3t-b1_trinokulyarnyj_c_kameroj_38_mp_10002784", "Перейти")</f>
        <v>Перейти</v>
      </c>
      <c r="F6446" s="2">
        <v>10002784</v>
      </c>
      <c r="G6446" s="4" t="s">
        <v>6673</v>
      </c>
      <c r="H6446" s="1">
        <v>0</v>
      </c>
      <c r="I6446" s="1">
        <v>0</v>
      </c>
      <c r="J6446" s="1">
        <v>0</v>
      </c>
      <c r="K6446" s="2">
        <v>395.0</v>
      </c>
    </row>
    <row r="6447" spans="1:12">
      <c r="A6447" s="3" t="s">
        <v>6419</v>
      </c>
      <c r="B6447" s="3" t="s">
        <v>6665</v>
      </c>
      <c r="C6447" s="3"/>
      <c r="D6447" s="3"/>
      <c r="E6447" s="2" t="str">
        <f>HYPERLINK("https://old.ukr-mobil.com/mikroskop_relife_rl_m3t-b1_trinokulyarnyj_c_kameroj_38_mp_s_displeem_10_inch_10002785", "Перейти")</f>
        <v>Перейти</v>
      </c>
      <c r="F6447" s="2">
        <v>10002785</v>
      </c>
      <c r="G6447" s="4" t="s">
        <v>6674</v>
      </c>
      <c r="H6447" s="1">
        <v>0</v>
      </c>
      <c r="I6447" s="1">
        <v>0</v>
      </c>
      <c r="J6447" s="1">
        <v>0</v>
      </c>
      <c r="K6447" s="2">
        <v>515.0</v>
      </c>
    </row>
    <row r="6448" spans="1:12">
      <c r="A6448" s="3" t="s">
        <v>6419</v>
      </c>
      <c r="B6448" s="3" t="s">
        <v>6665</v>
      </c>
      <c r="C6448" s="3"/>
      <c r="D6448" s="3"/>
      <c r="E6448" s="2" t="str">
        <f>HYPERLINK("https://old.ukr-mobil.com/mikroskop_relife_rl_m3t-b1_trinokulyarnyj_c_kameroj_48_mp_full_hd_10002298", "Перейти")</f>
        <v>Перейти</v>
      </c>
      <c r="F6448" s="2">
        <v>10002298</v>
      </c>
      <c r="G6448" s="4" t="s">
        <v>6675</v>
      </c>
      <c r="H6448" s="1">
        <v>0</v>
      </c>
      <c r="I6448" s="1">
        <v>0</v>
      </c>
      <c r="J6448" s="1">
        <v>0</v>
      </c>
      <c r="K6448" s="2">
        <v>440.0</v>
      </c>
    </row>
    <row r="6449" spans="1:12">
      <c r="A6449" s="3" t="s">
        <v>6419</v>
      </c>
      <c r="B6449" s="3" t="s">
        <v>6665</v>
      </c>
      <c r="C6449" s="3"/>
      <c r="D6449" s="3"/>
      <c r="E6449" s="2" t="str">
        <f>HYPERLINK("https://old.ukr-mobil.com/mikroskop_relife_rl_m3t-b1_trinokulyarnyj_c_kameroj_48mp_full_hd_displeem_10_inch_10001076", "Перейти")</f>
        <v>Перейти</v>
      </c>
      <c r="F6449" s="2">
        <v>10001076</v>
      </c>
      <c r="G6449" s="4" t="s">
        <v>6676</v>
      </c>
      <c r="H6449" s="1">
        <v>0</v>
      </c>
      <c r="I6449" s="1">
        <v>0</v>
      </c>
      <c r="J6449" s="1">
        <v>0</v>
      </c>
      <c r="K6449" s="2">
        <v>540.0</v>
      </c>
    </row>
    <row r="6450" spans="1:12">
      <c r="A6450" s="3" t="s">
        <v>6419</v>
      </c>
      <c r="B6450" s="3" t="s">
        <v>6665</v>
      </c>
      <c r="C6450" s="3"/>
      <c r="D6450" s="3"/>
      <c r="E6450" s="2" t="str">
        <f>HYPERLINK("https://old.ukr-mobil.com/mikroskop_relife_rl_m3t-b1_trinokulyarnyj_10002786", "Перейти")</f>
        <v>Перейти</v>
      </c>
      <c r="F6450" s="2">
        <v>10002786</v>
      </c>
      <c r="G6450" s="4" t="s">
        <v>6677</v>
      </c>
      <c r="H6450" s="1">
        <v>0</v>
      </c>
      <c r="I6450" s="1">
        <v>0</v>
      </c>
      <c r="J6450" s="1">
        <v>0</v>
      </c>
      <c r="K6450" s="2">
        <v>305.0</v>
      </c>
    </row>
    <row r="6451" spans="1:12">
      <c r="A6451" s="3" t="s">
        <v>6419</v>
      </c>
      <c r="B6451" s="3" t="s">
        <v>6665</v>
      </c>
      <c r="C6451" s="3"/>
      <c r="D6451" s="3"/>
      <c r="E6451" s="2" t="str">
        <f>HYPERLINK("https://old.ukr-mobil.com/mikroskop_sunshine_c_kameroj_i_displeem_10000393", "Перейти")</f>
        <v>Перейти</v>
      </c>
      <c r="F6451" s="2">
        <v>10000393</v>
      </c>
      <c r="G6451" s="4" t="s">
        <v>6678</v>
      </c>
      <c r="H6451" s="1">
        <v>0</v>
      </c>
      <c r="I6451" s="1">
        <v>0</v>
      </c>
      <c r="J6451" s="1">
        <v>0</v>
      </c>
      <c r="K6451" s="2">
        <v>580.58</v>
      </c>
    </row>
    <row r="6452" spans="1:12">
      <c r="A6452" s="3" t="s">
        <v>6419</v>
      </c>
      <c r="B6452" s="3" t="s">
        <v>6665</v>
      </c>
      <c r="C6452" s="3"/>
      <c r="D6452" s="3"/>
      <c r="E6452" s="2" t="str">
        <f>HYPERLINK("https://old.ukr-mobil.com/m_kroskop_tx-3a_10x_2x_4x_verhnya_lyum_n_scentna_p_dsv_tka_3721", "Перейти")</f>
        <v>Перейти</v>
      </c>
      <c r="F6452" s="2">
        <v>3721</v>
      </c>
      <c r="G6452" s="4" t="s">
        <v>6679</v>
      </c>
      <c r="H6452" s="1">
        <v>0</v>
      </c>
      <c r="I6452" s="1">
        <v>0</v>
      </c>
      <c r="J6452" s="1">
        <v>0</v>
      </c>
      <c r="K6452" s="2">
        <v>97.02</v>
      </c>
    </row>
    <row r="6453" spans="1:12">
      <c r="A6453" s="3" t="s">
        <v>6419</v>
      </c>
      <c r="B6453" s="3" t="s">
        <v>6665</v>
      </c>
      <c r="C6453" s="3"/>
      <c r="D6453" s="3"/>
      <c r="E6453" s="2" t="str">
        <f>HYPERLINK("https://old.ukr-mobil.com/m_kroskop_tx-3b_2x_4x_verhnyaya_podsvetka_2878", "Перейти")</f>
        <v>Перейти</v>
      </c>
      <c r="F6453" s="2">
        <v>2878</v>
      </c>
      <c r="G6453" s="4" t="s">
        <v>6680</v>
      </c>
      <c r="H6453" s="1">
        <v>0</v>
      </c>
      <c r="I6453" s="1">
        <v>0</v>
      </c>
      <c r="J6453" s="1">
        <v>0</v>
      </c>
      <c r="K6453" s="2">
        <v>120.12</v>
      </c>
    </row>
    <row r="6454" spans="1:12">
      <c r="A6454" s="3" t="s">
        <v>6419</v>
      </c>
      <c r="B6454" s="3" t="s">
        <v>6665</v>
      </c>
      <c r="C6454" s="3"/>
      <c r="D6454" s="3"/>
      <c r="E6454" s="2" t="str">
        <f>HYPERLINK("https://old.ukr-mobil.com/m_kroskop_xtx-3c_10x_2x_4x_podsvetka_nizhnyaya_i_verhnyaya_1554", "Перейти")</f>
        <v>Перейти</v>
      </c>
      <c r="F6454" s="2">
        <v>1554</v>
      </c>
      <c r="G6454" s="4" t="s">
        <v>6681</v>
      </c>
      <c r="H6454" s="1">
        <v>0</v>
      </c>
      <c r="I6454" s="1">
        <v>0</v>
      </c>
      <c r="J6454" s="1">
        <v>0</v>
      </c>
      <c r="K6454" s="2">
        <v>205.21</v>
      </c>
    </row>
    <row r="6455" spans="1:12">
      <c r="A6455" s="3" t="s">
        <v>6419</v>
      </c>
      <c r="B6455" s="3" t="s">
        <v>6665</v>
      </c>
      <c r="C6455" s="3"/>
      <c r="D6455" s="3"/>
      <c r="E6455" s="2" t="str">
        <f>HYPERLINK("https://old.ukr-mobil.com/mikroskop_ya_xun_yx-ak10b_kratnost_uvelicheniya_7h-45h_verhnyaya_podsvetka_7986", "Перейти")</f>
        <v>Перейти</v>
      </c>
      <c r="F6455" s="2">
        <v>7986</v>
      </c>
      <c r="G6455" s="4" t="s">
        <v>6682</v>
      </c>
      <c r="H6455" s="1">
        <v>0</v>
      </c>
      <c r="I6455" s="1">
        <v>0</v>
      </c>
      <c r="J6455" s="1">
        <v>0</v>
      </c>
      <c r="K6455" s="2">
        <v>210.21</v>
      </c>
    </row>
    <row r="6456" spans="1:12">
      <c r="A6456" s="3" t="s">
        <v>6419</v>
      </c>
      <c r="B6456" s="3" t="s">
        <v>6665</v>
      </c>
      <c r="C6456" s="3"/>
      <c r="D6456" s="3"/>
      <c r="E6456" s="2" t="str">
        <f>HYPERLINK("https://old.ukr-mobil.com/mikroskop_ya_xun_yx-ak21_kratnost_uvelicheniya_20h_i_40h_verhnyaya_podsvetka_4072", "Перейти")</f>
        <v>Перейти</v>
      </c>
      <c r="F6456" s="2">
        <v>4072</v>
      </c>
      <c r="G6456" s="4" t="s">
        <v>6683</v>
      </c>
      <c r="H6456" s="1">
        <v>0</v>
      </c>
      <c r="I6456" s="1">
        <v>0</v>
      </c>
      <c r="J6456" s="1">
        <v>0</v>
      </c>
      <c r="K6456" s="2">
        <v>125.66</v>
      </c>
    </row>
    <row r="6457" spans="1:12">
      <c r="A6457" s="3" t="s">
        <v>6419</v>
      </c>
      <c r="B6457" s="3" t="s">
        <v>6665</v>
      </c>
      <c r="C6457" s="3"/>
      <c r="D6457" s="3"/>
      <c r="E6457" s="2" t="str">
        <f>HYPERLINK("https://old.ukr-mobil.com/mikroskop_yaxun_yx-ak33_c_kameroj_21mp_full_hd_1080_60fps_hdmi_s_antistaticheskoj_robochej_poverhnostyu_11793", "Перейти")</f>
        <v>Перейти</v>
      </c>
      <c r="F6457" s="2">
        <v>11793</v>
      </c>
      <c r="G6457" s="4" t="s">
        <v>6684</v>
      </c>
      <c r="H6457" s="1">
        <v>0</v>
      </c>
      <c r="I6457" s="1">
        <v>0</v>
      </c>
      <c r="J6457" s="1">
        <v>0</v>
      </c>
      <c r="K6457" s="2">
        <v>480.48</v>
      </c>
    </row>
    <row r="6458" spans="1:12">
      <c r="A6458" s="3" t="s">
        <v>6419</v>
      </c>
      <c r="B6458" s="3" t="s">
        <v>6665</v>
      </c>
      <c r="C6458" s="3"/>
      <c r="D6458" s="3"/>
      <c r="E6458" s="2" t="str">
        <f>HYPERLINK("https://old.ukr-mobil.com/podsvetka_dlya_mikroskopa_diodnaya_s_regulyatorom_yarkosti_11794", "Перейти")</f>
        <v>Перейти</v>
      </c>
      <c r="F6458" s="2">
        <v>11794</v>
      </c>
      <c r="G6458" s="4" t="s">
        <v>6685</v>
      </c>
      <c r="H6458" s="1">
        <v>0</v>
      </c>
      <c r="I6458" s="1">
        <v>0</v>
      </c>
      <c r="J6458" s="1">
        <v>0</v>
      </c>
      <c r="K6458" s="2">
        <v>14.11</v>
      </c>
    </row>
    <row r="6459" spans="1:12">
      <c r="A6459" s="3" t="s">
        <v>6419</v>
      </c>
      <c r="B6459" s="3" t="s">
        <v>6665</v>
      </c>
      <c r="C6459" s="3"/>
      <c r="D6459" s="3"/>
      <c r="E6459" s="2" t="str">
        <f>HYPERLINK("https://old.ukr-mobil.com/podsvetka_dlya_mikroskopa_diodnaya_s_regulyatorom_yarkosti_podklyuchenie_po_usb_10004379", "Перейти")</f>
        <v>Перейти</v>
      </c>
      <c r="F6459" s="2">
        <v>10004379</v>
      </c>
      <c r="G6459" s="4" t="s">
        <v>6686</v>
      </c>
      <c r="H6459" s="1">
        <v>0</v>
      </c>
      <c r="I6459" s="1">
        <v>0</v>
      </c>
      <c r="J6459" s="1">
        <v>0</v>
      </c>
      <c r="K6459" s="2">
        <v>17.0</v>
      </c>
    </row>
    <row r="6460" spans="1:12">
      <c r="A6460" s="3" t="s">
        <v>6419</v>
      </c>
      <c r="B6460" s="3" t="s">
        <v>6687</v>
      </c>
      <c r="C6460" s="3"/>
      <c r="D6460" s="3"/>
      <c r="E6460" s="2" t="str">
        <f>HYPERLINK("https://old.ukr-mobil.com/nozh_dlya_plottera_relife_rl-870c_sunshine_ss-890c_ss-890c_pro_ss-890c_pro_max_1sht_10002698", "Перейти")</f>
        <v>Перейти</v>
      </c>
      <c r="F6460" s="2">
        <v>10002698</v>
      </c>
      <c r="G6460" s="4" t="s">
        <v>6688</v>
      </c>
      <c r="H6460" s="1">
        <v>12</v>
      </c>
      <c r="I6460" s="1">
        <v>6</v>
      </c>
      <c r="J6460" s="1">
        <v>2</v>
      </c>
      <c r="K6460" s="2">
        <v>9.0</v>
      </c>
    </row>
    <row r="6461" spans="1:12">
      <c r="A6461" s="3" t="s">
        <v>6419</v>
      </c>
      <c r="B6461" s="3" t="s">
        <v>6687</v>
      </c>
      <c r="C6461" s="3"/>
      <c r="D6461" s="3"/>
      <c r="E6461" s="2" t="str">
        <f>HYPERLINK("https://old.ukr-mobil.com/plotter_mc-180_dlya_narezki_zashchitnoj_gidrogelevoj_plyonki_10001380", "Перейти")</f>
        <v>Перейти</v>
      </c>
      <c r="F6461" s="2">
        <v>10001380</v>
      </c>
      <c r="G6461" s="4" t="s">
        <v>6689</v>
      </c>
      <c r="H6461" s="1">
        <v>0</v>
      </c>
      <c r="I6461" s="1">
        <v>0</v>
      </c>
      <c r="J6461" s="1">
        <v>0</v>
      </c>
      <c r="K6461" s="2">
        <v>510.0</v>
      </c>
    </row>
    <row r="6462" spans="1:12">
      <c r="A6462" s="3" t="s">
        <v>6419</v>
      </c>
      <c r="B6462" s="3" t="s">
        <v>6687</v>
      </c>
      <c r="C6462" s="3"/>
      <c r="D6462" s="3"/>
      <c r="E6462" s="2" t="str">
        <f>HYPERLINK("https://old.ukr-mobil.com/plotter_mx5t-230_eco_dlya_narezki_zashchitnoj_gidrogelevoj_plyonki_bez_privyazki_k_akkauntu_10004346", "Перейти")</f>
        <v>Перейти</v>
      </c>
      <c r="F6462" s="2">
        <v>10004346</v>
      </c>
      <c r="G6462" s="4" t="s">
        <v>6690</v>
      </c>
      <c r="H6462" s="1">
        <v>1</v>
      </c>
      <c r="I6462" s="1">
        <v>0</v>
      </c>
      <c r="J6462" s="1">
        <v>0</v>
      </c>
      <c r="K6462" s="2">
        <v>640.0</v>
      </c>
    </row>
    <row r="6463" spans="1:12">
      <c r="A6463" s="3" t="s">
        <v>6419</v>
      </c>
      <c r="B6463" s="3" t="s">
        <v>6687</v>
      </c>
      <c r="C6463" s="3"/>
      <c r="D6463" s="3"/>
      <c r="E6463" s="2" t="str">
        <f>HYPERLINK("https://old.ukr-mobil.com/plotter_relife_rl-870c_dlya_narezki_zashchitnoj_gidrogelevoj_plyonki_10001088", "Перейти")</f>
        <v>Перейти</v>
      </c>
      <c r="F6463" s="2">
        <v>10001088</v>
      </c>
      <c r="G6463" s="4" t="s">
        <v>6691</v>
      </c>
      <c r="H6463" s="1">
        <v>1</v>
      </c>
      <c r="I6463" s="1">
        <v>1</v>
      </c>
      <c r="J6463" s="1">
        <v>1</v>
      </c>
      <c r="K6463" s="2">
        <v>390.0</v>
      </c>
    </row>
    <row r="6464" spans="1:12">
      <c r="A6464" s="3" t="s">
        <v>6419</v>
      </c>
      <c r="B6464" s="3" t="s">
        <v>6687</v>
      </c>
      <c r="C6464" s="3"/>
      <c r="D6464" s="3"/>
      <c r="E6464" s="2" t="str">
        <f>HYPERLINK("https://old.ukr-mobil.com/plotter_sunshine_ss-890_mini_dlya_narezki_zashchitnoj_gidrogelevoj_plyonki_diametrom_do_7_1_dyujmov_10002300", "Перейти")</f>
        <v>Перейти</v>
      </c>
      <c r="F6464" s="2">
        <v>10002300</v>
      </c>
      <c r="G6464" s="4" t="s">
        <v>6692</v>
      </c>
      <c r="H6464" s="1">
        <v>0</v>
      </c>
      <c r="I6464" s="1">
        <v>0</v>
      </c>
      <c r="J6464" s="1">
        <v>0</v>
      </c>
      <c r="K6464" s="2">
        <v>320.0</v>
      </c>
    </row>
    <row r="6465" spans="1:12">
      <c r="A6465" s="3" t="s">
        <v>6419</v>
      </c>
      <c r="B6465" s="3" t="s">
        <v>6687</v>
      </c>
      <c r="C6465" s="3"/>
      <c r="D6465" s="3"/>
      <c r="E6465" s="2" t="str">
        <f>HYPERLINK("https://old.ukr-mobil.com/plotter_sunshine_ss-890c_pro_max_dlya_narezki_zashchitnoj_gidrogelevoj_plyonki_diametrom_do_16_dyujmov_10003004", "Перейти")</f>
        <v>Перейти</v>
      </c>
      <c r="F6465" s="2">
        <v>10003004</v>
      </c>
      <c r="G6465" s="4" t="s">
        <v>6693</v>
      </c>
      <c r="H6465" s="1">
        <v>0</v>
      </c>
      <c r="I6465" s="1">
        <v>0</v>
      </c>
      <c r="J6465" s="1">
        <v>0</v>
      </c>
      <c r="K6465" s="2">
        <v>600.0</v>
      </c>
    </row>
    <row r="6466" spans="1:12">
      <c r="A6466" s="3" t="s">
        <v>6419</v>
      </c>
      <c r="B6466" s="3" t="s">
        <v>6687</v>
      </c>
      <c r="C6466" s="3"/>
      <c r="D6466" s="3"/>
      <c r="E6466" s="2" t="str">
        <f>HYPERLINK("https://old.ukr-mobil.com/plotter_sunshine_ss-890c_pro_dlya_narezki_zashchitnoj_gidrogelevoj_plyonki_diametrom_do_12_9_dyujmov_10002721", "Перейти")</f>
        <v>Перейти</v>
      </c>
      <c r="F6466" s="2">
        <v>10002721</v>
      </c>
      <c r="G6466" s="4" t="s">
        <v>6694</v>
      </c>
      <c r="H6466" s="1">
        <v>0</v>
      </c>
      <c r="I6466" s="1">
        <v>0</v>
      </c>
      <c r="J6466" s="1">
        <v>0</v>
      </c>
      <c r="K6466" s="2">
        <v>550.0</v>
      </c>
    </row>
    <row r="6467" spans="1:12">
      <c r="A6467" s="3" t="s">
        <v>6419</v>
      </c>
      <c r="B6467" s="3" t="s">
        <v>6695</v>
      </c>
      <c r="C6467" s="3"/>
      <c r="D6467" s="3"/>
      <c r="E6467" s="2" t="str">
        <f>HYPERLINK("https://old.ukr-mobil.com/nabor_molibdenovoj_provolki_s_derzhatelem_mechanic_jgs6010_6in1_d_0_1mm_d_0_04mm_d_0_05mm_d_0_06mm_d_0_08mm_12296", "Перейти")</f>
        <v>Перейти</v>
      </c>
      <c r="F6467" s="2">
        <v>12296</v>
      </c>
      <c r="G6467" s="4" t="s">
        <v>6696</v>
      </c>
      <c r="H6467" s="1">
        <v>0</v>
      </c>
      <c r="I6467" s="1">
        <v>0</v>
      </c>
      <c r="J6467" s="1">
        <v>0</v>
      </c>
      <c r="K6467" s="2">
        <v>5.5</v>
      </c>
    </row>
    <row r="6468" spans="1:12">
      <c r="A6468" s="3" t="s">
        <v>6419</v>
      </c>
      <c r="B6468" s="3" t="s">
        <v>6695</v>
      </c>
      <c r="C6468" s="3"/>
      <c r="D6468" s="3"/>
      <c r="E6468" s="2" t="str">
        <f>HYPERLINK("https://old.ukr-mobil.com/provolka_dlya_otdeleniya_stekla_ot_displeya_d_0_04mm_l_100m_4438", "Перейти")</f>
        <v>Перейти</v>
      </c>
      <c r="F6468" s="2">
        <v>4438</v>
      </c>
      <c r="G6468" s="4" t="s">
        <v>6697</v>
      </c>
      <c r="H6468" s="1">
        <v>0</v>
      </c>
      <c r="I6468" s="1">
        <v>0</v>
      </c>
      <c r="J6468" s="1">
        <v>0</v>
      </c>
      <c r="K6468" s="2">
        <v>2.02</v>
      </c>
    </row>
    <row r="6469" spans="1:12">
      <c r="A6469" s="3" t="s">
        <v>6419</v>
      </c>
      <c r="B6469" s="3" t="s">
        <v>6695</v>
      </c>
      <c r="C6469" s="3"/>
      <c r="D6469" s="3"/>
      <c r="E6469" s="2" t="str">
        <f>HYPERLINK("https://old.ukr-mobil.com/provolka_dlya_otdeleniya_stekla_ot_displeya_mechanic_iline_x_d_0_03_mm_l_100_m_karbonovaya_10001506", "Перейти")</f>
        <v>Перейти</v>
      </c>
      <c r="F6469" s="2">
        <v>10001506</v>
      </c>
      <c r="G6469" s="4" t="s">
        <v>6698</v>
      </c>
      <c r="H6469" s="1">
        <v>25</v>
      </c>
      <c r="I6469" s="1">
        <v>11</v>
      </c>
      <c r="J6469" s="1">
        <v>18</v>
      </c>
      <c r="K6469" s="2">
        <v>1.5</v>
      </c>
    </row>
    <row r="6470" spans="1:12">
      <c r="A6470" s="3" t="s">
        <v>6419</v>
      </c>
      <c r="B6470" s="3" t="s">
        <v>6695</v>
      </c>
      <c r="C6470" s="3"/>
      <c r="D6470" s="3"/>
      <c r="E6470" s="2" t="str">
        <f>HYPERLINK("https://old.ukr-mobil.com/provolka_dlya_otdeleniya_stekla_ot_displeya_mechanic_iline_x_d_0_03_mm_l_200_m_karbonovaya_10002765", "Перейти")</f>
        <v>Перейти</v>
      </c>
      <c r="F6470" s="2">
        <v>10002765</v>
      </c>
      <c r="G6470" s="4" t="s">
        <v>6699</v>
      </c>
      <c r="H6470" s="1">
        <v>111</v>
      </c>
      <c r="I6470" s="1">
        <v>28</v>
      </c>
      <c r="J6470" s="1">
        <v>27</v>
      </c>
      <c r="K6470" s="2">
        <v>2.0</v>
      </c>
    </row>
    <row r="6471" spans="1:12">
      <c r="A6471" s="3" t="s">
        <v>6419</v>
      </c>
      <c r="B6471" s="3" t="s">
        <v>6695</v>
      </c>
      <c r="C6471" s="3"/>
      <c r="D6471" s="3"/>
      <c r="E6471" s="2" t="str">
        <f>HYPERLINK("https://old.ukr-mobil.com/provolka_dlya_otdeleniya_stekla_ot_displeya_mechanic_iline_x_d_0_05_mm_l_100_m_karbonovaya_10001507", "Перейти")</f>
        <v>Перейти</v>
      </c>
      <c r="F6471" s="2">
        <v>10001507</v>
      </c>
      <c r="G6471" s="4" t="s">
        <v>6700</v>
      </c>
      <c r="H6471" s="1">
        <v>51</v>
      </c>
      <c r="I6471" s="1">
        <v>14</v>
      </c>
      <c r="J6471" s="1">
        <v>17</v>
      </c>
      <c r="K6471" s="2">
        <v>1.7</v>
      </c>
    </row>
    <row r="6472" spans="1:12">
      <c r="A6472" s="3" t="s">
        <v>6419</v>
      </c>
      <c r="B6472" s="3" t="s">
        <v>6695</v>
      </c>
      <c r="C6472" s="3"/>
      <c r="D6472" s="3"/>
      <c r="E6472" s="2" t="str">
        <f>HYPERLINK("https://old.ukr-mobil.com/provolka_dlya_otdeleniya_stekla_ot_displeya_mechanic_itought_x_d_0_028_mm_l_200_m_molibdenovaya_10002744", "Перейти")</f>
        <v>Перейти</v>
      </c>
      <c r="F6472" s="2">
        <v>10002744</v>
      </c>
      <c r="G6472" s="4" t="s">
        <v>6701</v>
      </c>
      <c r="H6472" s="1">
        <v>0</v>
      </c>
      <c r="I6472" s="1">
        <v>9</v>
      </c>
      <c r="J6472" s="1">
        <v>24</v>
      </c>
      <c r="K6472" s="2">
        <v>2.5</v>
      </c>
    </row>
    <row r="6473" spans="1:12">
      <c r="A6473" s="3" t="s">
        <v>6419</v>
      </c>
      <c r="B6473" s="3" t="s">
        <v>6695</v>
      </c>
      <c r="C6473" s="3"/>
      <c r="D6473" s="3"/>
      <c r="E6473" s="2" t="str">
        <f>HYPERLINK("https://old.ukr-mobil.com/provolka_dlya_otdeleniya_stekla_ot_displeya_mechanic_ithought_x_d_0_03_mm_l_200_m_molibdenovaya_10001508", "Перейти")</f>
        <v>Перейти</v>
      </c>
      <c r="F6473" s="2">
        <v>10001508</v>
      </c>
      <c r="G6473" s="4" t="s">
        <v>6702</v>
      </c>
      <c r="H6473" s="1">
        <v>11</v>
      </c>
      <c r="I6473" s="1">
        <v>20</v>
      </c>
      <c r="J6473" s="1">
        <v>15</v>
      </c>
      <c r="K6473" s="2">
        <v>3.5</v>
      </c>
    </row>
    <row r="6474" spans="1:12">
      <c r="A6474" s="3" t="s">
        <v>6419</v>
      </c>
      <c r="B6474" s="3" t="s">
        <v>6695</v>
      </c>
      <c r="C6474" s="3"/>
      <c r="D6474" s="3"/>
      <c r="E6474" s="2" t="str">
        <f>HYPERLINK("https://old.ukr-mobil.com/provolka_dlya_otdeleniya_stekla_ot_displeya_mechanic_ithought_x_d_0_035_mm_l_200_m_molibdenovaya_10001509", "Перейти")</f>
        <v>Перейти</v>
      </c>
      <c r="F6474" s="2">
        <v>10001509</v>
      </c>
      <c r="G6474" s="4" t="s">
        <v>6703</v>
      </c>
      <c r="H6474" s="1">
        <v>1</v>
      </c>
      <c r="I6474" s="1">
        <v>0</v>
      </c>
      <c r="J6474" s="1">
        <v>0</v>
      </c>
      <c r="K6474" s="2">
        <v>2.0</v>
      </c>
    </row>
    <row r="6475" spans="1:12">
      <c r="A6475" s="3" t="s">
        <v>6419</v>
      </c>
      <c r="B6475" s="3" t="s">
        <v>6695</v>
      </c>
      <c r="C6475" s="3"/>
      <c r="D6475" s="3"/>
      <c r="E6475" s="2" t="str">
        <f>HYPERLINK("https://old.ukr-mobil.com/provolka_dlya_otdeleniya_stekla_ot_displeya_molibdenovaya_sunshine_ss-051_d_0_03mm_l_100m_10000573", "Перейти")</f>
        <v>Перейти</v>
      </c>
      <c r="F6475" s="2">
        <v>10000573</v>
      </c>
      <c r="G6475" s="4" t="s">
        <v>6704</v>
      </c>
      <c r="H6475" s="1">
        <v>0</v>
      </c>
      <c r="I6475" s="1">
        <v>0</v>
      </c>
      <c r="J6475" s="1">
        <v>12</v>
      </c>
      <c r="K6475" s="2">
        <v>2.0</v>
      </c>
    </row>
    <row r="6476" spans="1:12">
      <c r="A6476" s="3" t="s">
        <v>6419</v>
      </c>
      <c r="B6476" s="3" t="s">
        <v>6695</v>
      </c>
      <c r="C6476" s="3"/>
      <c r="D6476" s="3"/>
      <c r="E6476" s="2" t="str">
        <f>HYPERLINK("https://old.ukr-mobil.com/provolka_dlya_otdeleniya_stekla_ot_displeya_molibdenovaya_sunshine_d_0_08mm_l_100m_10000574", "Перейти")</f>
        <v>Перейти</v>
      </c>
      <c r="F6476" s="2">
        <v>10000574</v>
      </c>
      <c r="G6476" s="4" t="s">
        <v>6705</v>
      </c>
      <c r="H6476" s="1">
        <v>0</v>
      </c>
      <c r="I6476" s="1">
        <v>0</v>
      </c>
      <c r="J6476" s="1">
        <v>0</v>
      </c>
      <c r="K6476" s="2">
        <v>1.75</v>
      </c>
    </row>
    <row r="6477" spans="1:12">
      <c r="A6477" s="3" t="s">
        <v>6419</v>
      </c>
      <c r="B6477" s="3" t="s">
        <v>6695</v>
      </c>
      <c r="C6477" s="3"/>
      <c r="D6477" s="3"/>
      <c r="E6477" s="2" t="str">
        <f>HYPERLINK("https://old.ukr-mobil.com/provoloka_dlya_vosstanovleniya_dorozhek_sunshine_ss-007d_med_d_0_01mm_150m_10000701", "Перейти")</f>
        <v>Перейти</v>
      </c>
      <c r="F6477" s="2">
        <v>10000701</v>
      </c>
      <c r="G6477" s="4" t="s">
        <v>6706</v>
      </c>
      <c r="H6477" s="1">
        <v>31</v>
      </c>
      <c r="I6477" s="1">
        <v>4</v>
      </c>
      <c r="J6477" s="1">
        <v>0</v>
      </c>
      <c r="K6477" s="2">
        <v>4.5</v>
      </c>
    </row>
    <row r="6478" spans="1:12">
      <c r="A6478" s="3" t="s">
        <v>6419</v>
      </c>
      <c r="B6478" s="3" t="s">
        <v>6695</v>
      </c>
      <c r="C6478" s="3"/>
      <c r="D6478" s="3"/>
      <c r="E6478" s="2" t="str">
        <f>HYPERLINK("https://old.ukr-mobil.com/provoloka_dlya_vosstanovleniya_dorozhek_sunshine_ss-007c_d_0_02mm_l_120m_10000572", "Перейти")</f>
        <v>Перейти</v>
      </c>
      <c r="F6478" s="2">
        <v>10000572</v>
      </c>
      <c r="G6478" s="4" t="s">
        <v>6707</v>
      </c>
      <c r="H6478" s="1">
        <v>0</v>
      </c>
      <c r="I6478" s="1">
        <v>0</v>
      </c>
      <c r="J6478" s="1">
        <v>0</v>
      </c>
      <c r="K6478" s="2">
        <v>6.0</v>
      </c>
    </row>
    <row r="6479" spans="1:12">
      <c r="A6479" s="3" t="s">
        <v>6419</v>
      </c>
      <c r="B6479" s="3" t="s">
        <v>6695</v>
      </c>
      <c r="C6479" s="3"/>
      <c r="D6479" s="3"/>
      <c r="E6479" s="2" t="str">
        <f>HYPERLINK("https://old.ukr-mobil.com/struna_separatornaya_dlya_otdeleniya_stekla_displeya_mechanic_cs01_d_0_025_mm_l_100_m_karbonovaya_10002752", "Перейти")</f>
        <v>Перейти</v>
      </c>
      <c r="F6479" s="2">
        <v>10002752</v>
      </c>
      <c r="G6479" s="4" t="s">
        <v>6708</v>
      </c>
      <c r="H6479" s="1">
        <v>62</v>
      </c>
      <c r="I6479" s="1">
        <v>0</v>
      </c>
      <c r="J6479" s="1">
        <v>21</v>
      </c>
      <c r="K6479" s="2">
        <v>2.25</v>
      </c>
    </row>
    <row r="6480" spans="1:12">
      <c r="A6480" s="3" t="s">
        <v>6419</v>
      </c>
      <c r="B6480" s="3" t="s">
        <v>6695</v>
      </c>
      <c r="C6480" s="3"/>
      <c r="D6480" s="3"/>
      <c r="E6480" s="2" t="str">
        <f>HYPERLINK("https://old.ukr-mobil.com/struna_separatornaya_dlya_otdeleniya_stekla_displeya_mechanic_cs01_d_0_03_mm_l_100_m_karbonovaya_10002753", "Перейти")</f>
        <v>Перейти</v>
      </c>
      <c r="F6480" s="2">
        <v>10002753</v>
      </c>
      <c r="G6480" s="4" t="s">
        <v>6709</v>
      </c>
      <c r="H6480" s="1">
        <v>55</v>
      </c>
      <c r="I6480" s="1">
        <v>4</v>
      </c>
      <c r="J6480" s="1">
        <v>6</v>
      </c>
      <c r="K6480" s="2">
        <v>1.7</v>
      </c>
    </row>
    <row r="6481" spans="1:12">
      <c r="A6481" s="3" t="s">
        <v>6419</v>
      </c>
      <c r="B6481" s="3" t="s">
        <v>6695</v>
      </c>
      <c r="C6481" s="3"/>
      <c r="D6481" s="3"/>
      <c r="E6481" s="2" t="str">
        <f>HYPERLINK("https://old.ukr-mobil.com/struna_separatornaya_dlya_otdeleniya_stekla_displeya_mechanic_cs01_d_0_035_mm_l_100_m_karbonovaya_10002751", "Перейти")</f>
        <v>Перейти</v>
      </c>
      <c r="F6481" s="2">
        <v>10002751</v>
      </c>
      <c r="G6481" s="4" t="s">
        <v>6710</v>
      </c>
      <c r="H6481" s="1">
        <v>15</v>
      </c>
      <c r="I6481" s="1">
        <v>8</v>
      </c>
      <c r="J6481" s="1">
        <v>5</v>
      </c>
      <c r="K6481" s="2">
        <v>2.25</v>
      </c>
    </row>
    <row r="6482" spans="1:12">
      <c r="A6482" s="3" t="s">
        <v>6419</v>
      </c>
      <c r="B6482" s="3" t="s">
        <v>6711</v>
      </c>
      <c r="C6482" s="3"/>
      <c r="D6482" s="3"/>
      <c r="E6482" s="2" t="str">
        <f>HYPERLINK("https://old.ukr-mobil.com/index.php?route=product&amp;product_id=10004569", "Перейти")</f>
        <v>Перейти</v>
      </c>
      <c r="F6482" s="2">
        <v>10004569</v>
      </c>
      <c r="G6482" s="4" t="s">
        <v>6712</v>
      </c>
      <c r="H6482" s="1">
        <v>2</v>
      </c>
      <c r="I6482" s="1">
        <v>2</v>
      </c>
      <c r="J6482" s="1">
        <v>0</v>
      </c>
      <c r="K6482" s="2">
        <v>58.0</v>
      </c>
    </row>
    <row r="6483" spans="1:12">
      <c r="A6483" s="3" t="s">
        <v>6419</v>
      </c>
      <c r="B6483" s="3" t="s">
        <v>6711</v>
      </c>
      <c r="C6483" s="3"/>
      <c r="D6483" s="3"/>
      <c r="E6483" s="2" t="str">
        <f>HYPERLINK("https://old.ukr-mobil.com/plata_k_programmatoru_jcid_v1se_dlya_vosstanovleniya_face_id_iphone_x_14_pro_max_10004284", "Перейти")</f>
        <v>Перейти</v>
      </c>
      <c r="F6483" s="2">
        <v>10004284</v>
      </c>
      <c r="G6483" s="4" t="s">
        <v>6713</v>
      </c>
      <c r="H6483" s="1">
        <v>0</v>
      </c>
      <c r="I6483" s="1">
        <v>1</v>
      </c>
      <c r="J6483" s="1">
        <v>2</v>
      </c>
      <c r="K6483" s="2">
        <v>34.0</v>
      </c>
    </row>
    <row r="6484" spans="1:12">
      <c r="A6484" s="3" t="s">
        <v>6419</v>
      </c>
      <c r="B6484" s="3" t="s">
        <v>6711</v>
      </c>
      <c r="C6484" s="3"/>
      <c r="D6484" s="3"/>
      <c r="E6484" s="2" t="str">
        <f>HYPERLINK("https://old.ukr-mobil.com/plata_k_programmatoru_jcid_v1se_dlya_vosstanovleniya_true_tone_iphone_12_14_plus_10004278", "Перейти")</f>
        <v>Перейти</v>
      </c>
      <c r="F6484" s="2">
        <v>10004278</v>
      </c>
      <c r="G6484" s="4" t="s">
        <v>6714</v>
      </c>
      <c r="H6484" s="1">
        <v>0</v>
      </c>
      <c r="I6484" s="1">
        <v>0</v>
      </c>
      <c r="J6484" s="1">
        <v>0</v>
      </c>
      <c r="K6484" s="2">
        <v>44.0</v>
      </c>
    </row>
    <row r="6485" spans="1:12">
      <c r="A6485" s="3" t="s">
        <v>6419</v>
      </c>
      <c r="B6485" s="3" t="s">
        <v>6711</v>
      </c>
      <c r="C6485" s="3"/>
      <c r="D6485" s="3"/>
      <c r="E6485" s="2" t="str">
        <f>HYPERLINK("https://old.ukr-mobil.com/plata_k_programmatoru_jcid_v1se_dlya_vosstanovleniya_akkumulyatorov_iphone_6_14_pro_max_10004285", "Перейти")</f>
        <v>Перейти</v>
      </c>
      <c r="F6485" s="2">
        <v>10004285</v>
      </c>
      <c r="G6485" s="4" t="s">
        <v>6715</v>
      </c>
      <c r="H6485" s="1">
        <v>0</v>
      </c>
      <c r="I6485" s="1">
        <v>0</v>
      </c>
      <c r="J6485" s="1">
        <v>0</v>
      </c>
      <c r="K6485" s="2">
        <v>26.0</v>
      </c>
    </row>
    <row r="6486" spans="1:12">
      <c r="A6486" s="3" t="s">
        <v>6419</v>
      </c>
      <c r="B6486" s="3" t="s">
        <v>6711</v>
      </c>
      <c r="C6486" s="3"/>
      <c r="D6486" s="3"/>
      <c r="E6486" s="2" t="str">
        <f>HYPERLINK("https://old.ukr-mobil.com/programmator_i2c_dlya_vosstanovleniya_face_id_v8i_versiya_3_10002221", "Перейти")</f>
        <v>Перейти</v>
      </c>
      <c r="F6486" s="2">
        <v>10002221</v>
      </c>
      <c r="G6486" s="4" t="s">
        <v>6716</v>
      </c>
      <c r="H6486" s="1">
        <v>3</v>
      </c>
      <c r="I6486" s="1">
        <v>3</v>
      </c>
      <c r="J6486" s="1">
        <v>1</v>
      </c>
      <c r="K6486" s="2">
        <v>30.0</v>
      </c>
    </row>
    <row r="6487" spans="1:12">
      <c r="A6487" s="3" t="s">
        <v>6419</v>
      </c>
      <c r="B6487" s="3" t="s">
        <v>6711</v>
      </c>
      <c r="C6487" s="3"/>
      <c r="D6487" s="3"/>
      <c r="E6487" s="2" t="str">
        <f>HYPERLINK("https://old.ukr-mobil.com/index.php?route=product&amp;product_id=10004730", "Перейти")</f>
        <v>Перейти</v>
      </c>
      <c r="F6487" s="2">
        <v>10004730</v>
      </c>
      <c r="G6487" s="4" t="s">
        <v>6717</v>
      </c>
      <c r="H6487" s="1">
        <v>1</v>
      </c>
      <c r="I6487" s="1">
        <v>1</v>
      </c>
      <c r="J6487" s="1">
        <v>0</v>
      </c>
      <c r="K6487" s="2">
        <v>450.0</v>
      </c>
    </row>
    <row r="6488" spans="1:12">
      <c r="A6488" s="3" t="s">
        <v>6419</v>
      </c>
      <c r="B6488" s="3" t="s">
        <v>6711</v>
      </c>
      <c r="C6488" s="3"/>
      <c r="D6488" s="3"/>
      <c r="E6488" s="2" t="str">
        <f>HYPERLINK("https://old.ukr-mobil.com/programmator_jcid_v1se_s_6_platami_dlya_iphone_7_7_plus_8_8p_x_xs_xr_xs_max_11_11_pro_11_pro_max_12_12_mini_12_pro_12_pro_max_10002222", "Перейти")</f>
        <v>Перейти</v>
      </c>
      <c r="F6488" s="2">
        <v>10002222</v>
      </c>
      <c r="G6488" s="4" t="s">
        <v>6718</v>
      </c>
      <c r="H6488" s="1">
        <v>0</v>
      </c>
      <c r="I6488" s="1">
        <v>0</v>
      </c>
      <c r="J6488" s="1">
        <v>1</v>
      </c>
      <c r="K6488" s="2">
        <v>400.0</v>
      </c>
    </row>
    <row r="6489" spans="1:12">
      <c r="A6489" s="3" t="s">
        <v>6419</v>
      </c>
      <c r="B6489" s="3" t="s">
        <v>6711</v>
      </c>
      <c r="C6489" s="3"/>
      <c r="D6489" s="3"/>
      <c r="E6489" s="2" t="str">
        <f>HYPERLINK("https://old.ukr-mobil.com/programmator_jcid_v1se_wi-fi_s_platoj_dlya_vostanovleniya_true_tone_iphone_7_11_pro_max_10004277", "Перейти")</f>
        <v>Перейти</v>
      </c>
      <c r="F6489" s="2">
        <v>10004277</v>
      </c>
      <c r="G6489" s="4" t="s">
        <v>6719</v>
      </c>
      <c r="H6489" s="1">
        <v>0</v>
      </c>
      <c r="I6489" s="1">
        <v>0</v>
      </c>
      <c r="J6489" s="1">
        <v>0</v>
      </c>
      <c r="K6489" s="2">
        <v>110.0</v>
      </c>
    </row>
    <row r="6490" spans="1:12">
      <c r="A6490" s="3" t="s">
        <v>6419</v>
      </c>
      <c r="B6490" s="3" t="s">
        <v>5062</v>
      </c>
      <c r="C6490" s="3"/>
      <c r="D6490" s="3"/>
      <c r="E6490" s="2" t="str">
        <f>HYPERLINK("https://old.ukr-mobil.com/adapter_kabeli_naviplus_pro_3000s_nand_fixture_ipad_air_ipad_air_2_11237", "Перейти")</f>
        <v>Перейти</v>
      </c>
      <c r="F6490" s="2">
        <v>11237</v>
      </c>
      <c r="G6490" s="4" t="s">
        <v>6720</v>
      </c>
      <c r="H6490" s="1">
        <v>0</v>
      </c>
      <c r="I6490" s="1">
        <v>0</v>
      </c>
      <c r="J6490" s="1">
        <v>0</v>
      </c>
      <c r="K6490" s="2">
        <v>87.7</v>
      </c>
    </row>
    <row r="6491" spans="1:12">
      <c r="A6491" s="3" t="s">
        <v>6419</v>
      </c>
      <c r="B6491" s="3" t="s">
        <v>5062</v>
      </c>
      <c r="C6491" s="3"/>
      <c r="D6491" s="3"/>
      <c r="E6491" s="2" t="str">
        <f>HYPERLINK("https://old.ukr-mobil.com/boks_sunshine_ss-001a_dlya_hraneniya_smartfona_pri_remonte_10001904", "Перейти")</f>
        <v>Перейти</v>
      </c>
      <c r="F6491" s="2">
        <v>10001904</v>
      </c>
      <c r="G6491" s="4" t="s">
        <v>6721</v>
      </c>
      <c r="H6491" s="1">
        <v>1</v>
      </c>
      <c r="I6491" s="1">
        <v>0</v>
      </c>
      <c r="J6491" s="1">
        <v>0</v>
      </c>
      <c r="K6491" s="2">
        <v>2.35</v>
      </c>
    </row>
    <row r="6492" spans="1:12">
      <c r="A6492" s="3" t="s">
        <v>6419</v>
      </c>
      <c r="B6492" s="3" t="s">
        <v>5062</v>
      </c>
      <c r="C6492" s="3"/>
      <c r="D6492" s="3"/>
      <c r="E6492" s="2" t="str">
        <f>HYPERLINK("https://old.ukr-mobil.com/derzhatel_plat_baku_bk-687_1566", "Перейти")</f>
        <v>Перейти</v>
      </c>
      <c r="F6492" s="2">
        <v>1566</v>
      </c>
      <c r="G6492" s="4" t="s">
        <v>6722</v>
      </c>
      <c r="H6492" s="1">
        <v>0</v>
      </c>
      <c r="I6492" s="1">
        <v>0</v>
      </c>
      <c r="J6492" s="1">
        <v>0</v>
      </c>
      <c r="K6492" s="2">
        <v>2.52</v>
      </c>
    </row>
    <row r="6493" spans="1:12">
      <c r="A6493" s="3" t="s">
        <v>6419</v>
      </c>
      <c r="B6493" s="3" t="s">
        <v>5062</v>
      </c>
      <c r="C6493" s="3"/>
      <c r="D6493" s="3"/>
      <c r="E6493" s="2" t="str">
        <f>HYPERLINK("https://old.ukr-mobil.com/index.php?route=product&amp;product_id=10005610", "Перейти")</f>
        <v>Перейти</v>
      </c>
      <c r="F6493" s="2">
        <v>10005610</v>
      </c>
      <c r="G6493" s="4" t="s">
        <v>6723</v>
      </c>
      <c r="H6493" s="1">
        <v>15</v>
      </c>
      <c r="I6493" s="1">
        <v>3</v>
      </c>
      <c r="J6493" s="1">
        <v>5</v>
      </c>
      <c r="K6493" s="2">
        <v>22.0</v>
      </c>
    </row>
    <row r="6494" spans="1:12">
      <c r="A6494" s="3" t="s">
        <v>6419</v>
      </c>
      <c r="B6494" s="3" t="s">
        <v>5062</v>
      </c>
      <c r="C6494" s="3"/>
      <c r="D6494" s="3"/>
      <c r="E6494" s="2" t="str">
        <f>HYPERLINK("https://old.ukr-mobil.com/derzhatel_plat_relife_rl-601r_dlya_iphone_x_iphone_xs_iphone_xs_max_iphone_11_iphone_11_pro_iphone_12_iphone_12_pro_max_10001641", "Перейти")</f>
        <v>Перейти</v>
      </c>
      <c r="F6494" s="2">
        <v>10001641</v>
      </c>
      <c r="G6494" s="4" t="s">
        <v>6724</v>
      </c>
      <c r="H6494" s="1">
        <v>0</v>
      </c>
      <c r="I6494" s="1">
        <v>0</v>
      </c>
      <c r="J6494" s="1">
        <v>0</v>
      </c>
      <c r="K6494" s="2">
        <v>41.0</v>
      </c>
    </row>
    <row r="6495" spans="1:12">
      <c r="A6495" s="3" t="s">
        <v>6419</v>
      </c>
      <c r="B6495" s="3" t="s">
        <v>5062</v>
      </c>
      <c r="C6495" s="3"/>
      <c r="D6495" s="3"/>
      <c r="E6495" s="2" t="str">
        <f>HYPERLINK("https://old.ukr-mobil.com/dozator-pistolet_dlya_kleya_flyusa_payalnj_pasty_relife_rl-062a_10_cc_10004333", "Перейти")</f>
        <v>Перейти</v>
      </c>
      <c r="F6495" s="2">
        <v>10004333</v>
      </c>
      <c r="G6495" s="4" t="s">
        <v>6725</v>
      </c>
      <c r="H6495" s="1">
        <v>0</v>
      </c>
      <c r="I6495" s="1">
        <v>0</v>
      </c>
      <c r="J6495" s="1">
        <v>0</v>
      </c>
      <c r="K6495" s="2">
        <v>6.5</v>
      </c>
    </row>
    <row r="6496" spans="1:12">
      <c r="A6496" s="3" t="s">
        <v>6419</v>
      </c>
      <c r="B6496" s="3" t="s">
        <v>5062</v>
      </c>
      <c r="C6496" s="3"/>
      <c r="D6496" s="3"/>
      <c r="E6496" s="2" t="str">
        <f>HYPERLINK("https://old.ukr-mobil.com/emkost_dlya_zhidkostej_baku_bk-402_120_ml_s_dozatorom_1570", "Перейти")</f>
        <v>Перейти</v>
      </c>
      <c r="F6496" s="2">
        <v>1570</v>
      </c>
      <c r="G6496" s="4" t="s">
        <v>6726</v>
      </c>
      <c r="H6496" s="1">
        <v>0</v>
      </c>
      <c r="I6496" s="1">
        <v>0</v>
      </c>
      <c r="J6496" s="1">
        <v>0</v>
      </c>
      <c r="K6496" s="2">
        <v>2.17</v>
      </c>
    </row>
    <row r="6497" spans="1:12">
      <c r="A6497" s="3" t="s">
        <v>6419</v>
      </c>
      <c r="B6497" s="3" t="s">
        <v>5062</v>
      </c>
      <c r="C6497" s="3"/>
      <c r="D6497" s="3"/>
      <c r="E6497" s="2" t="str">
        <f>HYPERLINK("https://old.ukr-mobil.com/emkost_dlya_zhidkosti_s_dozatorom_mechanic_tp01_120_ml_10002754", "Перейти")</f>
        <v>Перейти</v>
      </c>
      <c r="F6497" s="2">
        <v>10002754</v>
      </c>
      <c r="G6497" s="4" t="s">
        <v>6727</v>
      </c>
      <c r="H6497" s="1">
        <v>0</v>
      </c>
      <c r="I6497" s="1">
        <v>0</v>
      </c>
      <c r="J6497" s="1">
        <v>0</v>
      </c>
      <c r="K6497" s="2">
        <v>2.75</v>
      </c>
    </row>
    <row r="6498" spans="1:12">
      <c r="A6498" s="3" t="s">
        <v>6419</v>
      </c>
      <c r="B6498" s="3" t="s">
        <v>5062</v>
      </c>
      <c r="C6498" s="3"/>
      <c r="D6498" s="3"/>
      <c r="E6498" s="2" t="str">
        <f>HYPERLINK("https://old.ukr-mobil.com/zazhim_plastikovyj_dlya_skleivaniya_tachskrinov_stekol_korpusov_11047", "Перейти")</f>
        <v>Перейти</v>
      </c>
      <c r="F6498" s="2">
        <v>11047</v>
      </c>
      <c r="G6498" s="4" t="s">
        <v>6728</v>
      </c>
      <c r="H6498" s="1">
        <v>0</v>
      </c>
      <c r="I6498" s="1">
        <v>0</v>
      </c>
      <c r="J6498" s="1">
        <v>0</v>
      </c>
      <c r="K6498" s="2">
        <v>0.96</v>
      </c>
    </row>
    <row r="6499" spans="1:12">
      <c r="A6499" s="3" t="s">
        <v>6419</v>
      </c>
      <c r="B6499" s="3" t="s">
        <v>5062</v>
      </c>
      <c r="C6499" s="3"/>
      <c r="D6499" s="3"/>
      <c r="E6499" s="2" t="str">
        <f>HYPERLINK("https://old.ukr-mobil.com/zazhim-strubcina_metalicheskij_dlya_skleivaniya_tachskrinov_stekol_korpusov_12295", "Перейти")</f>
        <v>Перейти</v>
      </c>
      <c r="F6499" s="2">
        <v>12295</v>
      </c>
      <c r="G6499" s="4" t="s">
        <v>6729</v>
      </c>
      <c r="H6499" s="1">
        <v>5</v>
      </c>
      <c r="I6499" s="1">
        <v>2</v>
      </c>
      <c r="J6499" s="1">
        <v>2</v>
      </c>
      <c r="K6499" s="2">
        <v>2.45</v>
      </c>
    </row>
    <row r="6500" spans="1:12">
      <c r="A6500" s="3" t="s">
        <v>6419</v>
      </c>
      <c r="B6500" s="3" t="s">
        <v>5062</v>
      </c>
      <c r="C6500" s="3"/>
      <c r="D6500" s="3"/>
      <c r="E6500" s="2" t="str">
        <f>HYPERLINK("https://old.ukr-mobil.com/instrument_dlya_remonta_korpusa_ali_tool_fz1_26_in1_iphone_5_iphone_5c_iphone_5s_iphone_6_iphone_6_plus_ipad_2_ipad_3_ipad_4_ipad_mini_7092", "Перейти")</f>
        <v>Перейти</v>
      </c>
      <c r="F6500" s="2">
        <v>7092</v>
      </c>
      <c r="G6500" s="4" t="s">
        <v>6730</v>
      </c>
      <c r="H6500" s="1">
        <v>1</v>
      </c>
      <c r="I6500" s="1">
        <v>0</v>
      </c>
      <c r="J6500" s="1">
        <v>0</v>
      </c>
      <c r="K6500" s="2">
        <v>84.67</v>
      </c>
    </row>
    <row r="6501" spans="1:12">
      <c r="A6501" s="3" t="s">
        <v>6419</v>
      </c>
      <c r="B6501" s="3" t="s">
        <v>5062</v>
      </c>
      <c r="C6501" s="3"/>
      <c r="D6501" s="3"/>
      <c r="E6501" s="2" t="str">
        <f>HYPERLINK("https://old.ukr-mobil.com/instrument-prisoska_dlya_snyatiya_ustanovki_displeev_mechanic_sc86_diametr_prisoski_57_mm_10002755", "Перейти")</f>
        <v>Перейти</v>
      </c>
      <c r="F6501" s="2">
        <v>10002755</v>
      </c>
      <c r="G6501" s="4" t="s">
        <v>6731</v>
      </c>
      <c r="H6501" s="1">
        <v>0</v>
      </c>
      <c r="I6501" s="1">
        <v>0</v>
      </c>
      <c r="J6501" s="1">
        <v>0</v>
      </c>
      <c r="K6501" s="2">
        <v>3.0</v>
      </c>
    </row>
    <row r="6502" spans="1:12">
      <c r="A6502" s="3" t="s">
        <v>6419</v>
      </c>
      <c r="B6502" s="3" t="s">
        <v>5062</v>
      </c>
      <c r="C6502" s="3"/>
      <c r="D6502" s="3"/>
      <c r="E6502" s="2" t="str">
        <f>HYPERLINK("https://old.ukr-mobil.com/instrument-prisoska_dlya_snyatiya_ustanovki_sensornyh_displeev_yaxun_yx-d02_5357", "Перейти")</f>
        <v>Перейти</v>
      </c>
      <c r="F6502" s="2">
        <v>5357</v>
      </c>
      <c r="G6502" s="4" t="s">
        <v>6732</v>
      </c>
      <c r="H6502" s="1">
        <v>0</v>
      </c>
      <c r="I6502" s="1">
        <v>0</v>
      </c>
      <c r="J6502" s="1">
        <v>0</v>
      </c>
      <c r="K6502" s="2">
        <v>7.06</v>
      </c>
    </row>
    <row r="6503" spans="1:12">
      <c r="A6503" s="3" t="s">
        <v>6419</v>
      </c>
      <c r="B6503" s="3" t="s">
        <v>5062</v>
      </c>
      <c r="C6503" s="3"/>
      <c r="D6503" s="3"/>
      <c r="E6503" s="2" t="str">
        <f>HYPERLINK("https://old.ukr-mobil.com/klej_dlya_predvaritelnogo_montazha_komponentov_na_platu_mechanic_4108_40g_12298", "Перейти")</f>
        <v>Перейти</v>
      </c>
      <c r="F6503" s="2">
        <v>12298</v>
      </c>
      <c r="G6503" s="4" t="s">
        <v>6733</v>
      </c>
      <c r="H6503" s="1">
        <v>0</v>
      </c>
      <c r="I6503" s="1">
        <v>0</v>
      </c>
      <c r="J6503" s="1">
        <v>0</v>
      </c>
      <c r="K6503" s="2">
        <v>10.58</v>
      </c>
    </row>
    <row r="6504" spans="1:12">
      <c r="A6504" s="3" t="s">
        <v>6419</v>
      </c>
      <c r="B6504" s="3" t="s">
        <v>5062</v>
      </c>
      <c r="C6504" s="3"/>
      <c r="D6504" s="3"/>
      <c r="E6504" s="2" t="str">
        <f>HYPERLINK("https://old.ukr-mobil.com/index.php?route=product&amp;product_id=10005612", "Перейти")</f>
        <v>Перейти</v>
      </c>
      <c r="F6504" s="2">
        <v>10005612</v>
      </c>
      <c r="G6504" s="4" t="s">
        <v>6734</v>
      </c>
      <c r="H6504" s="1">
        <v>7</v>
      </c>
      <c r="I6504" s="1">
        <v>5</v>
      </c>
      <c r="J6504" s="1">
        <v>5</v>
      </c>
      <c r="K6504" s="2">
        <v>28.75</v>
      </c>
    </row>
    <row r="6505" spans="1:12">
      <c r="A6505" s="3" t="s">
        <v>6419</v>
      </c>
      <c r="B6505" s="3" t="s">
        <v>5062</v>
      </c>
      <c r="C6505" s="3"/>
      <c r="D6505" s="3"/>
      <c r="E6505" s="2" t="str">
        <f>HYPERLINK("https://old.ukr-mobil.com/sprej_dlya_obnaruzheniya_neispravnyh_elektronnyh_komponentov_yaxun_v7_350ml_8508", "Перейти")</f>
        <v>Перейти</v>
      </c>
      <c r="F6505" s="2">
        <v>8508</v>
      </c>
      <c r="G6505" s="4" t="s">
        <v>6735</v>
      </c>
      <c r="H6505" s="1">
        <v>0</v>
      </c>
      <c r="I6505" s="1">
        <v>0</v>
      </c>
      <c r="J6505" s="1">
        <v>0</v>
      </c>
      <c r="K6505" s="2">
        <v>20.16</v>
      </c>
    </row>
    <row r="6506" spans="1:12">
      <c r="A6506" s="3" t="s">
        <v>6419</v>
      </c>
      <c r="B6506" s="3" t="s">
        <v>5062</v>
      </c>
      <c r="C6506" s="3"/>
      <c r="D6506" s="3"/>
      <c r="E6506" s="2" t="str">
        <f>HYPERLINK("https://old.ukr-mobil.com/stanok_dlya_snyatiya_zadnih_kryshek_yaxun_yx-991_iphone_8g_iphone_8_plus_iphone_x_iphone_xs_iphone_xs_max_11787", "Перейти")</f>
        <v>Перейти</v>
      </c>
      <c r="F6506" s="2">
        <v>11787</v>
      </c>
      <c r="G6506" s="4" t="s">
        <v>6736</v>
      </c>
      <c r="H6506" s="1">
        <v>1</v>
      </c>
      <c r="I6506" s="1">
        <v>0</v>
      </c>
      <c r="J6506" s="1">
        <v>0</v>
      </c>
      <c r="K6506" s="2">
        <v>72.0</v>
      </c>
    </row>
    <row r="6507" spans="1:12">
      <c r="A6507" s="3" t="s">
        <v>6419</v>
      </c>
      <c r="B6507" s="3" t="s">
        <v>5062</v>
      </c>
      <c r="C6507" s="3"/>
      <c r="D6507" s="3"/>
      <c r="E6507" s="2" t="str">
        <f>HYPERLINK("https://old.ukr-mobil.com/holder_dlya_m_kroskhem_bga_t-3208_2889", "Перейти")</f>
        <v>Перейти</v>
      </c>
      <c r="F6507" s="2">
        <v>2889</v>
      </c>
      <c r="G6507" s="4" t="s">
        <v>6737</v>
      </c>
      <c r="H6507" s="1">
        <v>0</v>
      </c>
      <c r="I6507" s="1">
        <v>0</v>
      </c>
      <c r="J6507" s="1">
        <v>0</v>
      </c>
      <c r="K6507" s="2">
        <v>5.64</v>
      </c>
    </row>
    <row r="6508" spans="1:12">
      <c r="A6508" s="3" t="s">
        <v>6419</v>
      </c>
      <c r="B6508" s="3" t="s">
        <v>6738</v>
      </c>
      <c r="C6508" s="3"/>
      <c r="D6508" s="3"/>
      <c r="E6508" s="2" t="str">
        <f>HYPERLINK("https://old.ukr-mobil.com/derzhatel_qianli_dzj1_dlya_remonta_face_id_i_dot_sensora_iphone_x_12_pro_max_10002225", "Перейти")</f>
        <v>Перейти</v>
      </c>
      <c r="F6508" s="2">
        <v>10002225</v>
      </c>
      <c r="G6508" s="4" t="s">
        <v>6739</v>
      </c>
      <c r="H6508" s="1">
        <v>0</v>
      </c>
      <c r="I6508" s="1">
        <v>0</v>
      </c>
      <c r="J6508" s="1">
        <v>0</v>
      </c>
      <c r="K6508" s="2">
        <v>30.0</v>
      </c>
    </row>
    <row r="6509" spans="1:12">
      <c r="A6509" s="3" t="s">
        <v>6419</v>
      </c>
      <c r="B6509" s="3" t="s">
        <v>6738</v>
      </c>
      <c r="C6509" s="3"/>
      <c r="D6509" s="3"/>
      <c r="E6509" s="2" t="str">
        <f>HYPERLINK("https://old.ukr-mobil.com/shlejf_apple_iphone_11_pro_max_dlya_vosstanovleniya_face_id_i2c_10002235", "Перейти")</f>
        <v>Перейти</v>
      </c>
      <c r="F6509" s="2">
        <v>10002235</v>
      </c>
      <c r="G6509" s="4" t="s">
        <v>6740</v>
      </c>
      <c r="H6509" s="1">
        <v>0</v>
      </c>
      <c r="I6509" s="1">
        <v>2</v>
      </c>
      <c r="J6509" s="1">
        <v>3</v>
      </c>
      <c r="K6509" s="2">
        <v>9.0</v>
      </c>
    </row>
    <row r="6510" spans="1:12">
      <c r="A6510" s="3" t="s">
        <v>6419</v>
      </c>
      <c r="B6510" s="3" t="s">
        <v>6738</v>
      </c>
      <c r="C6510" s="3"/>
      <c r="D6510" s="3"/>
      <c r="E6510" s="2" t="str">
        <f>HYPERLINK("https://old.ukr-mobil.com/shlejf_apple_iphone_11_pro_dlya_vosstanovleniya_face_id_i2c_10002234", "Перейти")</f>
        <v>Перейти</v>
      </c>
      <c r="F6510" s="2">
        <v>10002234</v>
      </c>
      <c r="G6510" s="4" t="s">
        <v>6741</v>
      </c>
      <c r="H6510" s="1">
        <v>0</v>
      </c>
      <c r="I6510" s="1">
        <v>0</v>
      </c>
      <c r="J6510" s="1">
        <v>0</v>
      </c>
      <c r="K6510" s="2">
        <v>8.85</v>
      </c>
    </row>
    <row r="6511" spans="1:12">
      <c r="A6511" s="3" t="s">
        <v>6419</v>
      </c>
      <c r="B6511" s="3" t="s">
        <v>6738</v>
      </c>
      <c r="C6511" s="3"/>
      <c r="D6511" s="3"/>
      <c r="E6511" s="2" t="str">
        <f>HYPERLINK("https://old.ukr-mobil.com/shlejf_apple_iphone_11_dlya_vosstanovleniya_face_id_i2c_10002233", "Перейти")</f>
        <v>Перейти</v>
      </c>
      <c r="F6511" s="2">
        <v>10002233</v>
      </c>
      <c r="G6511" s="4" t="s">
        <v>6742</v>
      </c>
      <c r="H6511" s="1">
        <v>35</v>
      </c>
      <c r="I6511" s="1">
        <v>5</v>
      </c>
      <c r="J6511" s="1">
        <v>3</v>
      </c>
      <c r="K6511" s="2">
        <v>5.25</v>
      </c>
    </row>
    <row r="6512" spans="1:12">
      <c r="A6512" s="3" t="s">
        <v>6419</v>
      </c>
      <c r="B6512" s="3" t="s">
        <v>6738</v>
      </c>
      <c r="C6512" s="3"/>
      <c r="D6512" s="3"/>
      <c r="E6512" s="2" t="str">
        <f>HYPERLINK("https://old.ukr-mobil.com/shlejf_apple_iphone_12_mini_dlya_vosstanovleniya_face_id_i2c_10002237", "Перейти")</f>
        <v>Перейти</v>
      </c>
      <c r="F6512" s="2">
        <v>10002237</v>
      </c>
      <c r="G6512" s="4" t="s">
        <v>6743</v>
      </c>
      <c r="H6512" s="1">
        <v>7</v>
      </c>
      <c r="I6512" s="1">
        <v>1</v>
      </c>
      <c r="J6512" s="1">
        <v>2</v>
      </c>
      <c r="K6512" s="2">
        <v>11.0</v>
      </c>
    </row>
    <row r="6513" spans="1:12">
      <c r="A6513" s="3" t="s">
        <v>6419</v>
      </c>
      <c r="B6513" s="3" t="s">
        <v>6738</v>
      </c>
      <c r="C6513" s="3"/>
      <c r="D6513" s="3"/>
      <c r="E6513" s="2" t="str">
        <f>HYPERLINK("https://old.ukr-mobil.com/shlejf_apple_iphone_12_pro_max_dlya_vosstanovleniya_face_id_i2c_10002238", "Перейти")</f>
        <v>Перейти</v>
      </c>
      <c r="F6513" s="2">
        <v>10002238</v>
      </c>
      <c r="G6513" s="4" t="s">
        <v>6744</v>
      </c>
      <c r="H6513" s="1">
        <v>3</v>
      </c>
      <c r="I6513" s="1">
        <v>0</v>
      </c>
      <c r="J6513" s="1">
        <v>1</v>
      </c>
      <c r="K6513" s="2">
        <v>14.5</v>
      </c>
    </row>
    <row r="6514" spans="1:12">
      <c r="A6514" s="3" t="s">
        <v>6419</v>
      </c>
      <c r="B6514" s="3" t="s">
        <v>6738</v>
      </c>
      <c r="C6514" s="3"/>
      <c r="D6514" s="3"/>
      <c r="E6514" s="2" t="str">
        <f>HYPERLINK("https://old.ukr-mobil.com/shlejf_apple_iphone_12_iphone_12_pro_dlya_vosstanovleniya_face_id_i2c_10002236", "Перейти")</f>
        <v>Перейти</v>
      </c>
      <c r="F6514" s="2">
        <v>10002236</v>
      </c>
      <c r="G6514" s="4" t="s">
        <v>6745</v>
      </c>
      <c r="H6514" s="1">
        <v>1</v>
      </c>
      <c r="I6514" s="1">
        <v>1</v>
      </c>
      <c r="J6514" s="1">
        <v>2</v>
      </c>
      <c r="K6514" s="2">
        <v>14.0</v>
      </c>
    </row>
    <row r="6515" spans="1:12">
      <c r="A6515" s="3" t="s">
        <v>6419</v>
      </c>
      <c r="B6515" s="3" t="s">
        <v>6738</v>
      </c>
      <c r="C6515" s="3"/>
      <c r="D6515" s="3"/>
      <c r="E6515" s="2" t="str">
        <f>HYPERLINK("https://old.ukr-mobil.com/shlejf_apple_iphone_x_dlya_vosstanovleniya_face_id_i2c_10002229", "Перейти")</f>
        <v>Перейти</v>
      </c>
      <c r="F6515" s="2">
        <v>10002229</v>
      </c>
      <c r="G6515" s="4" t="s">
        <v>6746</v>
      </c>
      <c r="H6515" s="1">
        <v>34</v>
      </c>
      <c r="I6515" s="1">
        <v>2</v>
      </c>
      <c r="J6515" s="1">
        <v>4</v>
      </c>
      <c r="K6515" s="2">
        <v>5.0</v>
      </c>
    </row>
    <row r="6516" spans="1:12">
      <c r="A6516" s="3" t="s">
        <v>6419</v>
      </c>
      <c r="B6516" s="3" t="s">
        <v>6738</v>
      </c>
      <c r="C6516" s="3"/>
      <c r="D6516" s="3"/>
      <c r="E6516" s="2" t="str">
        <f>HYPERLINK("https://old.ukr-mobil.com/shlejf_apple_iphone_x_dlya_vosstanovleniya_face_id_jcid_dlya_programmatorov_jcid_10002638", "Перейти")</f>
        <v>Перейти</v>
      </c>
      <c r="F6516" s="2">
        <v>10002638</v>
      </c>
      <c r="G6516" s="4" t="s">
        <v>6747</v>
      </c>
      <c r="H6516" s="1">
        <v>1</v>
      </c>
      <c r="I6516" s="1">
        <v>3</v>
      </c>
      <c r="J6516" s="1">
        <v>8</v>
      </c>
      <c r="K6516" s="2">
        <v>7.0</v>
      </c>
    </row>
    <row r="6517" spans="1:12">
      <c r="A6517" s="3" t="s">
        <v>6419</v>
      </c>
      <c r="B6517" s="3" t="s">
        <v>6738</v>
      </c>
      <c r="C6517" s="3"/>
      <c r="D6517" s="3"/>
      <c r="E6517" s="2" t="str">
        <f>HYPERLINK("https://old.ukr-mobil.com/shlejf_apple_iphone_xr_dlya_vosstanovleniya_face_id_i2c_10002230", "Перейти")</f>
        <v>Перейти</v>
      </c>
      <c r="F6517" s="2">
        <v>10002230</v>
      </c>
      <c r="G6517" s="4" t="s">
        <v>6748</v>
      </c>
      <c r="H6517" s="1">
        <v>38</v>
      </c>
      <c r="I6517" s="1">
        <v>5</v>
      </c>
      <c r="J6517" s="1">
        <v>5</v>
      </c>
      <c r="K6517" s="2">
        <v>9.0</v>
      </c>
    </row>
    <row r="6518" spans="1:12">
      <c r="A6518" s="3" t="s">
        <v>6419</v>
      </c>
      <c r="B6518" s="3" t="s">
        <v>6738</v>
      </c>
      <c r="C6518" s="3"/>
      <c r="D6518" s="3"/>
      <c r="E6518" s="2" t="str">
        <f>HYPERLINK("https://old.ukr-mobil.com/shlejf_apple_iphone_xr_dlya_vosstanovleniya_face_id_jcid_dlya_programmatorov_jcid_10002639", "Перейти")</f>
        <v>Перейти</v>
      </c>
      <c r="F6518" s="2">
        <v>10002639</v>
      </c>
      <c r="G6518" s="4" t="s">
        <v>6749</v>
      </c>
      <c r="H6518" s="1">
        <v>2</v>
      </c>
      <c r="I6518" s="1">
        <v>1</v>
      </c>
      <c r="J6518" s="1">
        <v>7</v>
      </c>
      <c r="K6518" s="2">
        <v>7.0</v>
      </c>
    </row>
    <row r="6519" spans="1:12">
      <c r="A6519" s="3" t="s">
        <v>6419</v>
      </c>
      <c r="B6519" s="3" t="s">
        <v>6738</v>
      </c>
      <c r="C6519" s="3"/>
      <c r="D6519" s="3"/>
      <c r="E6519" s="2" t="str">
        <f>HYPERLINK("https://old.ukr-mobil.com/shlejf_apple_iphone_xs_max_dlya_vosstanovleniya_face_id_i2c_10002232", "Перейти")</f>
        <v>Перейти</v>
      </c>
      <c r="F6519" s="2">
        <v>10002232</v>
      </c>
      <c r="G6519" s="4" t="s">
        <v>6750</v>
      </c>
      <c r="H6519" s="1">
        <v>36</v>
      </c>
      <c r="I6519" s="1">
        <v>5</v>
      </c>
      <c r="J6519" s="1">
        <v>5</v>
      </c>
      <c r="K6519" s="2">
        <v>9.0</v>
      </c>
    </row>
    <row r="6520" spans="1:12">
      <c r="A6520" s="3" t="s">
        <v>6419</v>
      </c>
      <c r="B6520" s="3" t="s">
        <v>6738</v>
      </c>
      <c r="C6520" s="3"/>
      <c r="D6520" s="3"/>
      <c r="E6520" s="2" t="str">
        <f>HYPERLINK("https://old.ukr-mobil.com/shlejf_apple_iphone_xs_max_dlya_vosstanovleniya_face_id_jcid_dlya_programmatorov_jcid_10002642", "Перейти")</f>
        <v>Перейти</v>
      </c>
      <c r="F6520" s="2">
        <v>10002642</v>
      </c>
      <c r="G6520" s="4" t="s">
        <v>6751</v>
      </c>
      <c r="H6520" s="1">
        <v>0</v>
      </c>
      <c r="I6520" s="1">
        <v>1</v>
      </c>
      <c r="J6520" s="1">
        <v>0</v>
      </c>
      <c r="K6520" s="2">
        <v>6.5</v>
      </c>
    </row>
    <row r="6521" spans="1:12">
      <c r="A6521" s="3" t="s">
        <v>6419</v>
      </c>
      <c r="B6521" s="3" t="s">
        <v>6738</v>
      </c>
      <c r="C6521" s="3"/>
      <c r="D6521" s="3"/>
      <c r="E6521" s="2" t="str">
        <f>HYPERLINK("https://old.ukr-mobil.com/shlejf_apple_iphone_xs_dlya_vosstanovleniya_face_id_i2c_10002231", "Перейти")</f>
        <v>Перейти</v>
      </c>
      <c r="F6521" s="2">
        <v>10002231</v>
      </c>
      <c r="G6521" s="4" t="s">
        <v>6752</v>
      </c>
      <c r="H6521" s="1">
        <v>40</v>
      </c>
      <c r="I6521" s="1">
        <v>5</v>
      </c>
      <c r="J6521" s="1">
        <v>5</v>
      </c>
      <c r="K6521" s="2">
        <v>9.0</v>
      </c>
    </row>
    <row r="6522" spans="1:12">
      <c r="A6522" s="3" t="s">
        <v>6419</v>
      </c>
      <c r="B6522" s="3" t="s">
        <v>6738</v>
      </c>
      <c r="C6522" s="3"/>
      <c r="D6522" s="3"/>
      <c r="E6522" s="2" t="str">
        <f>HYPERLINK("https://old.ukr-mobil.com/shlejf_apple_iphone_xs_dlya_vosstanovleniya_face_id_jcid_dlya_programmatorov_jcid_10002641", "Перейти")</f>
        <v>Перейти</v>
      </c>
      <c r="F6522" s="2">
        <v>10002641</v>
      </c>
      <c r="G6522" s="4" t="s">
        <v>6753</v>
      </c>
      <c r="H6522" s="1">
        <v>0</v>
      </c>
      <c r="I6522" s="1">
        <v>0</v>
      </c>
      <c r="J6522" s="1">
        <v>0</v>
      </c>
      <c r="K6522" s="2">
        <v>7.0</v>
      </c>
    </row>
    <row r="6523" spans="1:12">
      <c r="A6523" s="3" t="s">
        <v>6419</v>
      </c>
      <c r="B6523" s="3" t="s">
        <v>6754</v>
      </c>
      <c r="C6523" s="3"/>
      <c r="D6523" s="3"/>
      <c r="E6523" s="2" t="str">
        <f>HYPERLINK("https://old.ukr-mobil.com/ruchnaya_mini_drelka_polirovochnaya_mashinka_relife_rl-068b_s_zaryadnym_ustrojstvom_10002717", "Перейти")</f>
        <v>Перейти</v>
      </c>
      <c r="F6523" s="2">
        <v>10002717</v>
      </c>
      <c r="G6523" s="4" t="s">
        <v>6755</v>
      </c>
      <c r="H6523" s="1">
        <v>0</v>
      </c>
      <c r="I6523" s="1">
        <v>0</v>
      </c>
      <c r="J6523" s="1">
        <v>0</v>
      </c>
      <c r="K6523" s="2">
        <v>18.0</v>
      </c>
    </row>
    <row r="6524" spans="1:12">
      <c r="A6524" s="3" t="s">
        <v>6419</v>
      </c>
      <c r="B6524" s="3" t="s">
        <v>6756</v>
      </c>
      <c r="C6524" s="3" t="s">
        <v>6757</v>
      </c>
      <c r="D6524" s="3"/>
      <c r="E6524" s="2" t="str">
        <f>HYPERLINK("https://old.ukr-mobil.com/kusachki_baku_bk-021_10000387", "Перейти")</f>
        <v>Перейти</v>
      </c>
      <c r="F6524" s="2">
        <v>10000387</v>
      </c>
      <c r="G6524" s="4" t="s">
        <v>6758</v>
      </c>
      <c r="H6524" s="1">
        <v>0</v>
      </c>
      <c r="I6524" s="1">
        <v>0</v>
      </c>
      <c r="J6524" s="1">
        <v>0</v>
      </c>
      <c r="K6524" s="2">
        <v>2.52</v>
      </c>
    </row>
    <row r="6525" spans="1:12">
      <c r="A6525" s="3" t="s">
        <v>6419</v>
      </c>
      <c r="B6525" s="3" t="s">
        <v>6756</v>
      </c>
      <c r="C6525" s="3" t="s">
        <v>6757</v>
      </c>
      <c r="D6525" s="3"/>
      <c r="E6525" s="2" t="str">
        <f>HYPERLINK("https://old.ukr-mobil.com/kusachki-bokorezy_baku_bk-109_11035", "Перейти")</f>
        <v>Перейти</v>
      </c>
      <c r="F6525" s="2">
        <v>11035</v>
      </c>
      <c r="G6525" s="4" t="s">
        <v>6759</v>
      </c>
      <c r="H6525" s="1">
        <v>0</v>
      </c>
      <c r="I6525" s="1">
        <v>0</v>
      </c>
      <c r="J6525" s="1">
        <v>0</v>
      </c>
      <c r="K6525" s="2">
        <v>2.77</v>
      </c>
    </row>
    <row r="6526" spans="1:12">
      <c r="A6526" s="3" t="s">
        <v>6419</v>
      </c>
      <c r="B6526" s="3" t="s">
        <v>6756</v>
      </c>
      <c r="C6526" s="3" t="s">
        <v>6757</v>
      </c>
      <c r="D6526" s="3"/>
      <c r="E6526" s="2" t="str">
        <f>HYPERLINK("https://old.ukr-mobil.com/index.php?route=product&amp;product_id=10005609", "Перейти")</f>
        <v>Перейти</v>
      </c>
      <c r="F6526" s="2">
        <v>10005609</v>
      </c>
      <c r="G6526" s="4" t="s">
        <v>6760</v>
      </c>
      <c r="H6526" s="1">
        <v>0</v>
      </c>
      <c r="I6526" s="1">
        <v>2</v>
      </c>
      <c r="J6526" s="1">
        <v>9</v>
      </c>
      <c r="K6526" s="2">
        <v>7.35</v>
      </c>
    </row>
    <row r="6527" spans="1:12">
      <c r="A6527" s="3" t="s">
        <v>6419</v>
      </c>
      <c r="B6527" s="3" t="s">
        <v>6756</v>
      </c>
      <c r="C6527" s="3" t="s">
        <v>6757</v>
      </c>
      <c r="D6527" s="3"/>
      <c r="E6527" s="2" t="str">
        <f>HYPERLINK("https://old.ukr-mobil.com/index.php?route=product&amp;product_id=10005613", "Перейти")</f>
        <v>Перейти</v>
      </c>
      <c r="F6527" s="2">
        <v>10005613</v>
      </c>
      <c r="G6527" s="4" t="s">
        <v>6761</v>
      </c>
      <c r="H6527" s="1">
        <v>37</v>
      </c>
      <c r="I6527" s="1">
        <v>5</v>
      </c>
      <c r="J6527" s="1">
        <v>14</v>
      </c>
      <c r="K6527" s="2">
        <v>1.85</v>
      </c>
    </row>
    <row r="6528" spans="1:12">
      <c r="A6528" s="3" t="s">
        <v>6419</v>
      </c>
      <c r="B6528" s="3" t="s">
        <v>6756</v>
      </c>
      <c r="C6528" s="3" t="s">
        <v>6757</v>
      </c>
      <c r="D6528" s="3"/>
      <c r="E6528" s="2" t="str">
        <f>HYPERLINK("https://old.ukr-mobil.com/nozhic_dlya_sim_karti_nano_sim_micro_sim_bk-7299_4986", "Перейти")</f>
        <v>Перейти</v>
      </c>
      <c r="F6528" s="2">
        <v>4986</v>
      </c>
      <c r="G6528" s="4" t="s">
        <v>6762</v>
      </c>
      <c r="H6528" s="1">
        <v>0</v>
      </c>
      <c r="I6528" s="1">
        <v>0</v>
      </c>
      <c r="J6528" s="1">
        <v>0</v>
      </c>
      <c r="K6528" s="2">
        <v>5.04</v>
      </c>
    </row>
    <row r="6529" spans="1:12">
      <c r="A6529" s="3" t="s">
        <v>6419</v>
      </c>
      <c r="B6529" s="3" t="s">
        <v>6756</v>
      </c>
      <c r="C6529" s="3" t="s">
        <v>6757</v>
      </c>
      <c r="D6529" s="3"/>
      <c r="E6529" s="2" t="str">
        <f>HYPERLINK("https://old.ukr-mobil.com/nozhic_dlya_sim_karti_p_d_i-phone_5_nano_sim_bk-7291_3445", "Перейти")</f>
        <v>Перейти</v>
      </c>
      <c r="F6529" s="2">
        <v>3445</v>
      </c>
      <c r="G6529" s="4" t="s">
        <v>6763</v>
      </c>
      <c r="H6529" s="1">
        <v>0</v>
      </c>
      <c r="I6529" s="1">
        <v>0</v>
      </c>
      <c r="J6529" s="1">
        <v>0</v>
      </c>
      <c r="K6529" s="2">
        <v>3.53</v>
      </c>
    </row>
    <row r="6530" spans="1:12">
      <c r="A6530" s="3" t="s">
        <v>6419</v>
      </c>
      <c r="B6530" s="3" t="s">
        <v>6756</v>
      </c>
      <c r="C6530" s="3" t="s">
        <v>6757</v>
      </c>
      <c r="D6530" s="3"/>
      <c r="E6530" s="2" t="str">
        <f>HYPERLINK("https://old.ukr-mobil.com/nozhnicy_dlya_obrezki_dvustoronnego_skotcha_6793", "Перейти")</f>
        <v>Перейти</v>
      </c>
      <c r="F6530" s="2">
        <v>6793</v>
      </c>
      <c r="G6530" s="4" t="s">
        <v>6764</v>
      </c>
      <c r="H6530" s="1">
        <v>0</v>
      </c>
      <c r="I6530" s="1">
        <v>0</v>
      </c>
      <c r="J6530" s="1">
        <v>0</v>
      </c>
      <c r="K6530" s="2">
        <v>1.26</v>
      </c>
    </row>
    <row r="6531" spans="1:12">
      <c r="A6531" s="3" t="s">
        <v>6419</v>
      </c>
      <c r="B6531" s="3" t="s">
        <v>6756</v>
      </c>
      <c r="C6531" s="3" t="s">
        <v>6757</v>
      </c>
      <c r="D6531" s="3"/>
      <c r="E6531" s="2" t="str">
        <f>HYPERLINK("https://old.ukr-mobil.com/ploskogubcy_baku_bk-031_10000386", "Перейти")</f>
        <v>Перейти</v>
      </c>
      <c r="F6531" s="2">
        <v>10000386</v>
      </c>
      <c r="G6531" s="4" t="s">
        <v>6765</v>
      </c>
      <c r="H6531" s="1">
        <v>0</v>
      </c>
      <c r="I6531" s="1">
        <v>0</v>
      </c>
      <c r="J6531" s="1">
        <v>0</v>
      </c>
      <c r="K6531" s="2">
        <v>2.52</v>
      </c>
    </row>
    <row r="6532" spans="1:12">
      <c r="A6532" s="3" t="s">
        <v>6419</v>
      </c>
      <c r="B6532" s="3" t="s">
        <v>6756</v>
      </c>
      <c r="C6532" s="3" t="s">
        <v>6757</v>
      </c>
      <c r="D6532" s="3"/>
      <c r="E6532" s="2" t="str">
        <f>HYPERLINK("https://old.ukr-mobil.com/ploskogubcy_uglovye_baku_bk-055_125mm_1565", "Перейти")</f>
        <v>Перейти</v>
      </c>
      <c r="F6532" s="2">
        <v>1565</v>
      </c>
      <c r="G6532" s="4" t="s">
        <v>6766</v>
      </c>
      <c r="H6532" s="1">
        <v>0</v>
      </c>
      <c r="I6532" s="1">
        <v>0</v>
      </c>
      <c r="J6532" s="1">
        <v>0</v>
      </c>
      <c r="K6532" s="2">
        <v>3.02</v>
      </c>
    </row>
    <row r="6533" spans="1:12">
      <c r="A6533" s="3" t="s">
        <v>6419</v>
      </c>
      <c r="B6533" s="3" t="s">
        <v>6756</v>
      </c>
      <c r="C6533" s="3" t="s">
        <v>6767</v>
      </c>
      <c r="D6533" s="3"/>
      <c r="E6533" s="2" t="str">
        <f>HYPERLINK("https://old.ukr-mobil.com/nab_r_dlya_v_dkrivannya_korpus_v_baku_bk-212_12_plastikovih_skalpel_v_1586", "Перейти")</f>
        <v>Перейти</v>
      </c>
      <c r="F6533" s="2">
        <v>1586</v>
      </c>
      <c r="G6533" s="4" t="s">
        <v>6768</v>
      </c>
      <c r="H6533" s="1">
        <v>0</v>
      </c>
      <c r="I6533" s="1">
        <v>0</v>
      </c>
      <c r="J6533" s="1">
        <v>0</v>
      </c>
      <c r="K6533" s="2">
        <v>1.81</v>
      </c>
    </row>
    <row r="6534" spans="1:12">
      <c r="A6534" s="3" t="s">
        <v>6419</v>
      </c>
      <c r="B6534" s="3" t="s">
        <v>6756</v>
      </c>
      <c r="C6534" s="3" t="s">
        <v>6767</v>
      </c>
      <c r="D6534" s="3"/>
      <c r="E6534" s="2" t="str">
        <f>HYPERLINK("https://old.ukr-mobil.com/nabor_instrumentov_baku_ba-3336a_otvyortki_y0_6_1_5_pentalob_0_8_pinhead_2_5_dve_lopatki_mediator_10000372", "Перейти")</f>
        <v>Перейти</v>
      </c>
      <c r="F6534" s="2">
        <v>10000372</v>
      </c>
      <c r="G6534" s="4" t="s">
        <v>6769</v>
      </c>
      <c r="H6534" s="1">
        <v>0</v>
      </c>
      <c r="I6534" s="1">
        <v>0</v>
      </c>
      <c r="J6534" s="1">
        <v>0</v>
      </c>
      <c r="K6534" s="2">
        <v>5.04</v>
      </c>
    </row>
    <row r="6535" spans="1:12">
      <c r="A6535" s="3" t="s">
        <v>6419</v>
      </c>
      <c r="B6535" s="3" t="s">
        <v>6756</v>
      </c>
      <c r="C6535" s="3" t="s">
        <v>6767</v>
      </c>
      <c r="D6535" s="3"/>
      <c r="E6535" s="2" t="str">
        <f>HYPERLINK("https://old.ukr-mobil.com/nabor_instrumentov_dlya_otkryvaniya_korpusov_yaxun_yx-690_7651", "Перейти")</f>
        <v>Перейти</v>
      </c>
      <c r="F6535" s="2">
        <v>7651</v>
      </c>
      <c r="G6535" s="4" t="s">
        <v>6770</v>
      </c>
      <c r="H6535" s="1">
        <v>0</v>
      </c>
      <c r="I6535" s="1">
        <v>0</v>
      </c>
      <c r="J6535" s="1">
        <v>0</v>
      </c>
      <c r="K6535" s="2">
        <v>4.54</v>
      </c>
    </row>
    <row r="6536" spans="1:12">
      <c r="A6536" s="3" t="s">
        <v>6419</v>
      </c>
      <c r="B6536" s="3" t="s">
        <v>6756</v>
      </c>
      <c r="C6536" s="3" t="s">
        <v>6767</v>
      </c>
      <c r="D6536" s="3"/>
      <c r="E6536" s="2" t="str">
        <f>HYPERLINK("https://old.ukr-mobil.com/nabor_metallicheskih_lopatok_dlya_razborki_korpusov_baku_3_in_1_spudgers_set_9567", "Перейти")</f>
        <v>Перейти</v>
      </c>
      <c r="F6536" s="2">
        <v>9567</v>
      </c>
      <c r="G6536" s="4" t="s">
        <v>6771</v>
      </c>
      <c r="H6536" s="1">
        <v>0</v>
      </c>
      <c r="I6536" s="1">
        <v>0</v>
      </c>
      <c r="J6536" s="1">
        <v>0</v>
      </c>
      <c r="K6536" s="2">
        <v>2.77</v>
      </c>
    </row>
    <row r="6537" spans="1:12">
      <c r="A6537" s="3" t="s">
        <v>6419</v>
      </c>
      <c r="B6537" s="3" t="s">
        <v>6756</v>
      </c>
      <c r="C6537" s="3" t="s">
        <v>6772</v>
      </c>
      <c r="D6537" s="3"/>
      <c r="E6537" s="2" t="str">
        <f>HYPERLINK("https://old.ukr-mobil.com/nabor_instrumentov_i_otvertki_baseus_acdm-ip7_dlya_zameny_batarej_na_iphone_7_10001675", "Перейти")</f>
        <v>Перейти</v>
      </c>
      <c r="F6537" s="2">
        <v>10001675</v>
      </c>
      <c r="G6537" s="4" t="s">
        <v>6773</v>
      </c>
      <c r="H6537" s="1">
        <v>0</v>
      </c>
      <c r="I6537" s="1">
        <v>0</v>
      </c>
      <c r="J6537" s="1">
        <v>0</v>
      </c>
      <c r="K6537" s="2">
        <v>3.5</v>
      </c>
    </row>
    <row r="6538" spans="1:12">
      <c r="A6538" s="3" t="s">
        <v>6419</v>
      </c>
      <c r="B6538" s="3" t="s">
        <v>6756</v>
      </c>
      <c r="C6538" s="3" t="s">
        <v>6772</v>
      </c>
      <c r="D6538" s="3"/>
      <c r="E6538" s="2" t="str">
        <f>HYPERLINK("https://old.ukr-mobil.com/nabor_instrumentov_i_otvertki_baseus_acdm-ip7p_dlya_zameny_batarej_na_iphone_7_plus_10001673", "Перейти")</f>
        <v>Перейти</v>
      </c>
      <c r="F6538" s="2">
        <v>10001673</v>
      </c>
      <c r="G6538" s="4" t="s">
        <v>6774</v>
      </c>
      <c r="H6538" s="1">
        <v>0</v>
      </c>
      <c r="I6538" s="1">
        <v>0</v>
      </c>
      <c r="J6538" s="1">
        <v>0</v>
      </c>
      <c r="K6538" s="2">
        <v>3.5</v>
      </c>
    </row>
    <row r="6539" spans="1:12">
      <c r="A6539" s="3" t="s">
        <v>6419</v>
      </c>
      <c r="B6539" s="3" t="s">
        <v>6756</v>
      </c>
      <c r="C6539" s="3" t="s">
        <v>6772</v>
      </c>
      <c r="D6539" s="3"/>
      <c r="E6539" s="2" t="str">
        <f>HYPERLINK("https://old.ukr-mobil.com/nabor_instrumentov_i_otvertki_baseus_acdm-ip8_dlya_zameny_batarej_na_iphone_8_10001674", "Перейти")</f>
        <v>Перейти</v>
      </c>
      <c r="F6539" s="2">
        <v>10001674</v>
      </c>
      <c r="G6539" s="4" t="s">
        <v>6775</v>
      </c>
      <c r="H6539" s="1">
        <v>0</v>
      </c>
      <c r="I6539" s="1">
        <v>0</v>
      </c>
      <c r="J6539" s="1">
        <v>0</v>
      </c>
      <c r="K6539" s="2">
        <v>3.5</v>
      </c>
    </row>
    <row r="6540" spans="1:12">
      <c r="A6540" s="3" t="s">
        <v>6419</v>
      </c>
      <c r="B6540" s="3" t="s">
        <v>6756</v>
      </c>
      <c r="C6540" s="3" t="s">
        <v>6772</v>
      </c>
      <c r="D6540" s="3"/>
      <c r="E6540" s="2" t="str">
        <f>HYPERLINK("https://old.ukr-mobil.com/nabor_otvertok_baku_3337a_3_otvyortki_1_5_y0_6_0_8_plastikovyj_otkryvatel_11034", "Перейти")</f>
        <v>Перейти</v>
      </c>
      <c r="F6540" s="2">
        <v>11034</v>
      </c>
      <c r="G6540" s="4" t="s">
        <v>6776</v>
      </c>
      <c r="H6540" s="1">
        <v>0</v>
      </c>
      <c r="I6540" s="1">
        <v>0</v>
      </c>
      <c r="J6540" s="1">
        <v>0</v>
      </c>
      <c r="K6540" s="2">
        <v>8.62</v>
      </c>
    </row>
    <row r="6541" spans="1:12">
      <c r="A6541" s="3" t="s">
        <v>6419</v>
      </c>
      <c r="B6541" s="3" t="s">
        <v>6756</v>
      </c>
      <c r="C6541" s="3" t="s">
        <v>6772</v>
      </c>
      <c r="D6541" s="3"/>
      <c r="E6541" s="2" t="str">
        <f>HYPERLINK("https://old.ukr-mobil.com/nabor_otvertok_baku_bk-1101_ruchka_16_nasadok_pincet_pryamoj_pincet_izognutyj_11041", "Перейти")</f>
        <v>Перейти</v>
      </c>
      <c r="F6541" s="2">
        <v>11041</v>
      </c>
      <c r="G6541" s="4" t="s">
        <v>6777</v>
      </c>
      <c r="H6541" s="1">
        <v>0</v>
      </c>
      <c r="I6541" s="1">
        <v>0</v>
      </c>
      <c r="J6541" s="1">
        <v>0</v>
      </c>
      <c r="K6541" s="2">
        <v>3.02</v>
      </c>
    </row>
    <row r="6542" spans="1:12">
      <c r="A6542" s="3" t="s">
        <v>6419</v>
      </c>
      <c r="B6542" s="3" t="s">
        <v>6756</v>
      </c>
      <c r="C6542" s="3" t="s">
        <v>6772</v>
      </c>
      <c r="D6542" s="3"/>
      <c r="E6542" s="2" t="str">
        <f>HYPERLINK("https://old.ukr-mobil.com/nabor_otvertok_baku_bk-3020_ruchka_20_nasadok_11039", "Перейти")</f>
        <v>Перейти</v>
      </c>
      <c r="F6542" s="2">
        <v>11039</v>
      </c>
      <c r="G6542" s="4" t="s">
        <v>6778</v>
      </c>
      <c r="H6542" s="1">
        <v>0</v>
      </c>
      <c r="I6542" s="1">
        <v>0</v>
      </c>
      <c r="J6542" s="1">
        <v>0</v>
      </c>
      <c r="K6542" s="2">
        <v>5.59</v>
      </c>
    </row>
    <row r="6543" spans="1:12">
      <c r="A6543" s="3" t="s">
        <v>6419</v>
      </c>
      <c r="B6543" s="3" t="s">
        <v>6756</v>
      </c>
      <c r="C6543" s="3" t="s">
        <v>6772</v>
      </c>
      <c r="D6543" s="3"/>
      <c r="E6543" s="2" t="str">
        <f>HYPERLINK("https://old.ukr-mobil.com/nabor_otvertok_baku_bk-3035_ruchka_30_nasadok_11040", "Перейти")</f>
        <v>Перейти</v>
      </c>
      <c r="F6543" s="2">
        <v>11040</v>
      </c>
      <c r="G6543" s="4" t="s">
        <v>6779</v>
      </c>
      <c r="H6543" s="1">
        <v>0</v>
      </c>
      <c r="I6543" s="1">
        <v>0</v>
      </c>
      <c r="J6543" s="1">
        <v>0</v>
      </c>
      <c r="K6543" s="2">
        <v>6.55</v>
      </c>
    </row>
    <row r="6544" spans="1:12">
      <c r="A6544" s="3" t="s">
        <v>6419</v>
      </c>
      <c r="B6544" s="3" t="s">
        <v>6756</v>
      </c>
      <c r="C6544" s="3" t="s">
        <v>6772</v>
      </c>
      <c r="D6544" s="3"/>
      <c r="E6544" s="2" t="str">
        <f>HYPERLINK("https://old.ukr-mobil.com/nabor_otvertok_baku_bk-312_12sht_3355", "Перейти")</f>
        <v>Перейти</v>
      </c>
      <c r="F6544" s="2">
        <v>3355</v>
      </c>
      <c r="G6544" s="4" t="s">
        <v>6780</v>
      </c>
      <c r="H6544" s="1">
        <v>0</v>
      </c>
      <c r="I6544" s="1">
        <v>0</v>
      </c>
      <c r="J6544" s="1">
        <v>0</v>
      </c>
      <c r="K6544" s="2">
        <v>2.77</v>
      </c>
    </row>
    <row r="6545" spans="1:12">
      <c r="A6545" s="3" t="s">
        <v>6419</v>
      </c>
      <c r="B6545" s="3" t="s">
        <v>6756</v>
      </c>
      <c r="C6545" s="3" t="s">
        <v>6772</v>
      </c>
      <c r="D6545" s="3"/>
      <c r="E6545" s="2" t="str">
        <f>HYPERLINK("https://old.ukr-mobil.com/nabor_otvertok_baku_bk-5530_t4_25mm_t5_22mm_t6_25mm_1_5_25mm_0_8_25mm_3627", "Перейти")</f>
        <v>Перейти</v>
      </c>
      <c r="F6545" s="2">
        <v>3627</v>
      </c>
      <c r="G6545" s="4" t="s">
        <v>6781</v>
      </c>
      <c r="H6545" s="1">
        <v>0</v>
      </c>
      <c r="I6545" s="1">
        <v>0</v>
      </c>
      <c r="J6545" s="1">
        <v>0</v>
      </c>
      <c r="K6545" s="2">
        <v>3.58</v>
      </c>
    </row>
    <row r="6546" spans="1:12">
      <c r="A6546" s="3" t="s">
        <v>6419</v>
      </c>
      <c r="B6546" s="3" t="s">
        <v>6756</v>
      </c>
      <c r="C6546" s="3" t="s">
        <v>6772</v>
      </c>
      <c r="D6546" s="3"/>
      <c r="E6546" s="2" t="str">
        <f>HYPERLINK("https://old.ukr-mobil.com/nabor_otvertok_baku_bk-6108_t3_t4_t5_t6_1_5_1_2_0_8_1_5_11046", "Перейти")</f>
        <v>Перейти</v>
      </c>
      <c r="F6546" s="2">
        <v>11046</v>
      </c>
      <c r="G6546" s="4" t="s">
        <v>6782</v>
      </c>
      <c r="H6546" s="1">
        <v>0</v>
      </c>
      <c r="I6546" s="1">
        <v>0</v>
      </c>
      <c r="J6546" s="1">
        <v>0</v>
      </c>
      <c r="K6546" s="2">
        <v>2.37</v>
      </c>
    </row>
    <row r="6547" spans="1:12">
      <c r="A6547" s="3" t="s">
        <v>6419</v>
      </c>
      <c r="B6547" s="3" t="s">
        <v>6756</v>
      </c>
      <c r="C6547" s="3" t="s">
        <v>6772</v>
      </c>
      <c r="D6547" s="3"/>
      <c r="E6547" s="2" t="str">
        <f>HYPERLINK("https://old.ukr-mobil.com/nabor_otvertok_baku_bk-7275_5_in_1_5_nasadok_t4_t5_t6_0_8_1_5_1102", "Перейти")</f>
        <v>Перейти</v>
      </c>
      <c r="F6547" s="2">
        <v>1102</v>
      </c>
      <c r="G6547" s="4" t="s">
        <v>6783</v>
      </c>
      <c r="H6547" s="1">
        <v>0</v>
      </c>
      <c r="I6547" s="1">
        <v>0</v>
      </c>
      <c r="J6547" s="1">
        <v>0</v>
      </c>
      <c r="K6547" s="2">
        <v>5.29</v>
      </c>
    </row>
    <row r="6548" spans="1:12">
      <c r="A6548" s="3" t="s">
        <v>6419</v>
      </c>
      <c r="B6548" s="3" t="s">
        <v>6756</v>
      </c>
      <c r="C6548" s="3" t="s">
        <v>6772</v>
      </c>
      <c r="D6548" s="3"/>
      <c r="E6548" s="2" t="str">
        <f>HYPERLINK("https://old.ukr-mobil.com/nabor_otvertok_baku_bk-7276_6_nasadok_1_5_y0_6_0_8_teleskopicheskaya_ruchka_11036", "Перейти")</f>
        <v>Перейти</v>
      </c>
      <c r="F6548" s="2">
        <v>11036</v>
      </c>
      <c r="G6548" s="4" t="s">
        <v>6784</v>
      </c>
      <c r="H6548" s="1">
        <v>0</v>
      </c>
      <c r="I6548" s="1">
        <v>0</v>
      </c>
      <c r="J6548" s="1">
        <v>0</v>
      </c>
      <c r="K6548" s="2">
        <v>8.06</v>
      </c>
    </row>
    <row r="6549" spans="1:12">
      <c r="A6549" s="3" t="s">
        <v>6419</v>
      </c>
      <c r="B6549" s="3" t="s">
        <v>6756</v>
      </c>
      <c r="C6549" s="3" t="s">
        <v>6772</v>
      </c>
      <c r="D6549" s="3"/>
      <c r="E6549" s="2" t="str">
        <f>HYPERLINK("https://old.ukr-mobil.com/nab_r_vikrutok_baku-3310_dlya_iphone_2vikrutki_0_8_1_2_4439", "Перейти")</f>
        <v>Перейти</v>
      </c>
      <c r="F6549" s="2">
        <v>4439</v>
      </c>
      <c r="G6549" s="4" t="s">
        <v>6785</v>
      </c>
      <c r="H6549" s="1">
        <v>0</v>
      </c>
      <c r="I6549" s="1">
        <v>0</v>
      </c>
      <c r="J6549" s="1">
        <v>0</v>
      </c>
      <c r="K6549" s="2">
        <v>6.05</v>
      </c>
    </row>
    <row r="6550" spans="1:12">
      <c r="A6550" s="3" t="s">
        <v>6419</v>
      </c>
      <c r="B6550" s="3" t="s">
        <v>6756</v>
      </c>
      <c r="C6550" s="3" t="s">
        <v>6772</v>
      </c>
      <c r="D6550" s="3"/>
      <c r="E6550" s="2" t="str">
        <f>HYPERLINK("https://old.ukr-mobil.com/nabor_otvyortok_kaisi_k5222_7_v_odnom_8048", "Перейти")</f>
        <v>Перейти</v>
      </c>
      <c r="F6550" s="2">
        <v>8048</v>
      </c>
      <c r="G6550" s="4" t="s">
        <v>6786</v>
      </c>
      <c r="H6550" s="1">
        <v>0</v>
      </c>
      <c r="I6550" s="1">
        <v>0</v>
      </c>
      <c r="J6550" s="1">
        <v>0</v>
      </c>
      <c r="K6550" s="2">
        <v>6.05</v>
      </c>
    </row>
    <row r="6551" spans="1:12">
      <c r="A6551" s="3" t="s">
        <v>6419</v>
      </c>
      <c r="B6551" s="3" t="s">
        <v>6756</v>
      </c>
      <c r="C6551" s="3" t="s">
        <v>6772</v>
      </c>
      <c r="D6551" s="3"/>
      <c r="E6551" s="2" t="str">
        <f>HYPERLINK("https://old.ukr-mobil.com/index.php?route=product&amp;product_id=10005178", "Перейти")</f>
        <v>Перейти</v>
      </c>
      <c r="F6551" s="2">
        <v>10005178</v>
      </c>
      <c r="G6551" s="4" t="s">
        <v>6787</v>
      </c>
      <c r="H6551" s="1">
        <v>17</v>
      </c>
      <c r="I6551" s="1">
        <v>7</v>
      </c>
      <c r="J6551" s="1">
        <v>8</v>
      </c>
      <c r="K6551" s="2">
        <v>20.5</v>
      </c>
    </row>
    <row r="6552" spans="1:12">
      <c r="A6552" s="3" t="s">
        <v>6419</v>
      </c>
      <c r="B6552" s="3" t="s">
        <v>6756</v>
      </c>
      <c r="C6552" s="3" t="s">
        <v>6772</v>
      </c>
      <c r="D6552" s="3"/>
      <c r="E6552" s="2" t="str">
        <f>HYPERLINK("https://old.ukr-mobil.com/index.php?route=product&amp;product_id=10005179", "Перейти")</f>
        <v>Перейти</v>
      </c>
      <c r="F6552" s="2">
        <v>10005179</v>
      </c>
      <c r="G6552" s="4" t="s">
        <v>6788</v>
      </c>
      <c r="H6552" s="1">
        <v>21</v>
      </c>
      <c r="I6552" s="1">
        <v>6</v>
      </c>
      <c r="J6552" s="1">
        <v>8</v>
      </c>
      <c r="K6552" s="2">
        <v>22.0</v>
      </c>
    </row>
    <row r="6553" spans="1:12">
      <c r="A6553" s="3" t="s">
        <v>6419</v>
      </c>
      <c r="B6553" s="3" t="s">
        <v>6756</v>
      </c>
      <c r="C6553" s="3" t="s">
        <v>6772</v>
      </c>
      <c r="D6553" s="3"/>
      <c r="E6553" s="2" t="str">
        <f>HYPERLINK("https://old.ukr-mobil.com/nabor_otvertok_sunshine_ss5106_8_in_1_4_otvertki_2_5_1_3_0_8_y0_6_skalpel_plastikovyj_otkryvatel_10001734", "Перейти")</f>
        <v>Перейти</v>
      </c>
      <c r="F6553" s="2">
        <v>10001734</v>
      </c>
      <c r="G6553" s="4" t="s">
        <v>6789</v>
      </c>
      <c r="H6553" s="1">
        <v>15</v>
      </c>
      <c r="I6553" s="1">
        <v>5</v>
      </c>
      <c r="J6553" s="1">
        <v>7</v>
      </c>
      <c r="K6553" s="2">
        <v>6.5</v>
      </c>
    </row>
    <row r="6554" spans="1:12">
      <c r="A6554" s="3" t="s">
        <v>6419</v>
      </c>
      <c r="B6554" s="3" t="s">
        <v>6756</v>
      </c>
      <c r="C6554" s="3" t="s">
        <v>6772</v>
      </c>
      <c r="D6554" s="3"/>
      <c r="E6554" s="2" t="str">
        <f>HYPERLINK("https://old.ukr-mobil.com/index.php?route=product&amp;product_id=10005177", "Перейти")</f>
        <v>Перейти</v>
      </c>
      <c r="F6554" s="2">
        <v>10005177</v>
      </c>
      <c r="G6554" s="4" t="s">
        <v>6790</v>
      </c>
      <c r="H6554" s="1">
        <v>18</v>
      </c>
      <c r="I6554" s="1">
        <v>3</v>
      </c>
      <c r="J6554" s="1">
        <v>5</v>
      </c>
      <c r="K6554" s="2">
        <v>4.0</v>
      </c>
    </row>
    <row r="6555" spans="1:12">
      <c r="A6555" s="3" t="s">
        <v>6419</v>
      </c>
      <c r="B6555" s="3" t="s">
        <v>6756</v>
      </c>
      <c r="C6555" s="3" t="s">
        <v>6772</v>
      </c>
      <c r="D6555" s="3"/>
      <c r="E6555" s="2" t="str">
        <f>HYPERLINK("https://old.ukr-mobil.com/nabor_otvertok_sunshine_ss5116_26_in_1_ruchka_18_nasadok_pincet_pryamoj_10001733", "Перейти")</f>
        <v>Перейти</v>
      </c>
      <c r="F6555" s="2">
        <v>10001733</v>
      </c>
      <c r="G6555" s="4" t="s">
        <v>6791</v>
      </c>
      <c r="H6555" s="1">
        <v>7</v>
      </c>
      <c r="I6555" s="1">
        <v>1</v>
      </c>
      <c r="J6555" s="1">
        <v>7</v>
      </c>
      <c r="K6555" s="2">
        <v>7.5</v>
      </c>
    </row>
    <row r="6556" spans="1:12">
      <c r="A6556" s="3" t="s">
        <v>6419</v>
      </c>
      <c r="B6556" s="3" t="s">
        <v>6756</v>
      </c>
      <c r="C6556" s="3" t="s">
        <v>6772</v>
      </c>
      <c r="D6556" s="3"/>
      <c r="E6556" s="2" t="str">
        <f>HYPERLINK("https://old.ukr-mobil.com/nabor_otvertok_sunshine_ss-5118_25_in_1_ruchka_18_nasadok_10002303", "Перейти")</f>
        <v>Перейти</v>
      </c>
      <c r="F6556" s="2">
        <v>10002303</v>
      </c>
      <c r="G6556" s="4" t="s">
        <v>6792</v>
      </c>
      <c r="H6556" s="1">
        <v>18</v>
      </c>
      <c r="I6556" s="1">
        <v>4</v>
      </c>
      <c r="J6556" s="1">
        <v>9</v>
      </c>
      <c r="K6556" s="2">
        <v>12.0</v>
      </c>
    </row>
    <row r="6557" spans="1:12">
      <c r="A6557" s="3" t="s">
        <v>6419</v>
      </c>
      <c r="B6557" s="3" t="s">
        <v>6756</v>
      </c>
      <c r="C6557" s="3" t="s">
        <v>6772</v>
      </c>
      <c r="D6557" s="3"/>
      <c r="E6557" s="2" t="str">
        <f>HYPERLINK("https://old.ukr-mobil.com/nabor_otvyortok_ya_xun_yx-8185_9122", "Перейти")</f>
        <v>Перейти</v>
      </c>
      <c r="F6557" s="2">
        <v>9122</v>
      </c>
      <c r="G6557" s="4" t="s">
        <v>6793</v>
      </c>
      <c r="H6557" s="1">
        <v>0</v>
      </c>
      <c r="I6557" s="1">
        <v>0</v>
      </c>
      <c r="J6557" s="1">
        <v>0</v>
      </c>
      <c r="K6557" s="2">
        <v>7.06</v>
      </c>
    </row>
    <row r="6558" spans="1:12">
      <c r="A6558" s="3" t="s">
        <v>6419</v>
      </c>
      <c r="B6558" s="3" t="s">
        <v>6756</v>
      </c>
      <c r="C6558" s="3" t="s">
        <v>6772</v>
      </c>
      <c r="D6558" s="3"/>
      <c r="E6558" s="2" t="str">
        <f>HYPERLINK("https://old.ukr-mobil.com/nabor_otvertok_yaxun_yx-8181_dlya_iphone_7_iphone_7_plus_iwatch_6_v_1_7149", "Перейти")</f>
        <v>Перейти</v>
      </c>
      <c r="F6558" s="2">
        <v>7149</v>
      </c>
      <c r="G6558" s="4" t="s">
        <v>6794</v>
      </c>
      <c r="H6558" s="1">
        <v>0</v>
      </c>
      <c r="I6558" s="1">
        <v>0</v>
      </c>
      <c r="J6558" s="1">
        <v>0</v>
      </c>
      <c r="K6558" s="2">
        <v>7.06</v>
      </c>
    </row>
    <row r="6559" spans="1:12">
      <c r="A6559" s="3" t="s">
        <v>6419</v>
      </c>
      <c r="B6559" s="3" t="s">
        <v>6756</v>
      </c>
      <c r="C6559" s="3" t="s">
        <v>6772</v>
      </c>
      <c r="D6559" s="3"/>
      <c r="E6559" s="2" t="str">
        <f>HYPERLINK("https://old.ukr-mobil.com/nabor_otvertok_yaxun_yx-8184_dlya_iphone_7_1_2_y0_6_0_8_5_v_1_7148", "Перейти")</f>
        <v>Перейти</v>
      </c>
      <c r="F6559" s="2">
        <v>7148</v>
      </c>
      <c r="G6559" s="4" t="s">
        <v>6795</v>
      </c>
      <c r="H6559" s="1">
        <v>0</v>
      </c>
      <c r="I6559" s="1">
        <v>0</v>
      </c>
      <c r="J6559" s="1">
        <v>0</v>
      </c>
      <c r="K6559" s="2">
        <v>4.54</v>
      </c>
    </row>
    <row r="6560" spans="1:12">
      <c r="A6560" s="3" t="s">
        <v>6419</v>
      </c>
      <c r="B6560" s="3" t="s">
        <v>6756</v>
      </c>
      <c r="C6560" s="3" t="s">
        <v>6796</v>
      </c>
      <c r="D6560" s="3"/>
      <c r="E6560" s="2" t="str">
        <f>HYPERLINK("https://old.ukr-mobil.com/otvyortka_baku_355_0_8_11031", "Перейти")</f>
        <v>Перейти</v>
      </c>
      <c r="F6560" s="2">
        <v>11031</v>
      </c>
      <c r="G6560" s="4" t="s">
        <v>6797</v>
      </c>
      <c r="H6560" s="1">
        <v>0</v>
      </c>
      <c r="I6560" s="1">
        <v>0</v>
      </c>
      <c r="J6560" s="1">
        <v>0</v>
      </c>
      <c r="K6560" s="2">
        <v>4.03</v>
      </c>
    </row>
    <row r="6561" spans="1:12">
      <c r="A6561" s="3" t="s">
        <v>6419</v>
      </c>
      <c r="B6561" s="3" t="s">
        <v>6756</v>
      </c>
      <c r="C6561" s="3" t="s">
        <v>6796</v>
      </c>
      <c r="D6561" s="3"/>
      <c r="E6561" s="2" t="str">
        <f>HYPERLINK("https://old.ukr-mobil.com/otvyortka_baku_355_1_5_11032", "Перейти")</f>
        <v>Перейти</v>
      </c>
      <c r="F6561" s="2">
        <v>11032</v>
      </c>
      <c r="G6561" s="4" t="s">
        <v>6798</v>
      </c>
      <c r="H6561" s="1">
        <v>0</v>
      </c>
      <c r="I6561" s="1">
        <v>0</v>
      </c>
      <c r="J6561" s="1">
        <v>0</v>
      </c>
      <c r="K6561" s="2">
        <v>4.03</v>
      </c>
    </row>
    <row r="6562" spans="1:12">
      <c r="A6562" s="3" t="s">
        <v>6419</v>
      </c>
      <c r="B6562" s="3" t="s">
        <v>6756</v>
      </c>
      <c r="C6562" s="3" t="s">
        <v>6796</v>
      </c>
      <c r="D6562" s="3"/>
      <c r="E6562" s="2" t="str">
        <f>HYPERLINK("https://old.ukr-mobil.com/otvyortka_baku_355_y_0_6_11033", "Перейти")</f>
        <v>Перейти</v>
      </c>
      <c r="F6562" s="2">
        <v>11033</v>
      </c>
      <c r="G6562" s="4" t="s">
        <v>6799</v>
      </c>
      <c r="H6562" s="1">
        <v>0</v>
      </c>
      <c r="I6562" s="1">
        <v>0</v>
      </c>
      <c r="J6562" s="1">
        <v>0</v>
      </c>
      <c r="K6562" s="2">
        <v>4.03</v>
      </c>
    </row>
    <row r="6563" spans="1:12">
      <c r="A6563" s="3" t="s">
        <v>6419</v>
      </c>
      <c r="B6563" s="3" t="s">
        <v>6756</v>
      </c>
      <c r="C6563" s="3" t="s">
        <v>6796</v>
      </c>
      <c r="D6563" s="3"/>
      <c r="E6563" s="2" t="str">
        <f>HYPERLINK("https://old.ukr-mobil.com/otvyortka_kaisi_0_8_10002317", "Перейти")</f>
        <v>Перейти</v>
      </c>
      <c r="F6563" s="2">
        <v>10002317</v>
      </c>
      <c r="G6563" s="4" t="s">
        <v>6800</v>
      </c>
      <c r="H6563" s="1">
        <v>0</v>
      </c>
      <c r="I6563" s="1">
        <v>1</v>
      </c>
      <c r="J6563" s="1">
        <v>0</v>
      </c>
      <c r="K6563" s="2">
        <v>2.75</v>
      </c>
    </row>
    <row r="6564" spans="1:12">
      <c r="A6564" s="3" t="s">
        <v>6419</v>
      </c>
      <c r="B6564" s="3" t="s">
        <v>6756</v>
      </c>
      <c r="C6564" s="3" t="s">
        <v>6796</v>
      </c>
      <c r="D6564" s="3"/>
      <c r="E6564" s="2" t="str">
        <f>HYPERLINK("https://old.ukr-mobil.com/otvyortka_kaisi_1_5_10002316", "Перейти")</f>
        <v>Перейти</v>
      </c>
      <c r="F6564" s="2">
        <v>10002316</v>
      </c>
      <c r="G6564" s="4" t="s">
        <v>6801</v>
      </c>
      <c r="H6564" s="1">
        <v>0</v>
      </c>
      <c r="I6564" s="1">
        <v>0</v>
      </c>
      <c r="J6564" s="1">
        <v>0</v>
      </c>
      <c r="K6564" s="2">
        <v>2.75</v>
      </c>
    </row>
    <row r="6565" spans="1:12">
      <c r="A6565" s="3" t="s">
        <v>6419</v>
      </c>
      <c r="B6565" s="3" t="s">
        <v>6756</v>
      </c>
      <c r="C6565" s="3" t="s">
        <v>6796</v>
      </c>
      <c r="D6565" s="3"/>
      <c r="E6565" s="2" t="str">
        <f>HYPERLINK("https://old.ukr-mobil.com/otvyortka_kaisi_y_0_6_dlya_iphone_7_iphone_7_plus_iwatch_10002315", "Перейти")</f>
        <v>Перейти</v>
      </c>
      <c r="F6565" s="2">
        <v>10002315</v>
      </c>
      <c r="G6565" s="4" t="s">
        <v>6802</v>
      </c>
      <c r="H6565" s="1">
        <v>0</v>
      </c>
      <c r="I6565" s="1">
        <v>0</v>
      </c>
      <c r="J6565" s="1">
        <v>0</v>
      </c>
      <c r="K6565" s="2">
        <v>2.75</v>
      </c>
    </row>
    <row r="6566" spans="1:12">
      <c r="A6566" s="3" t="s">
        <v>6419</v>
      </c>
      <c r="B6566" s="3" t="s">
        <v>6756</v>
      </c>
      <c r="C6566" s="3" t="s">
        <v>6796</v>
      </c>
      <c r="D6566" s="3"/>
      <c r="E6566" s="2" t="str">
        <f>HYPERLINK("https://old.ukr-mobil.com/index.php?route=product&amp;product_id=10005227", "Перейти")</f>
        <v>Перейти</v>
      </c>
      <c r="F6566" s="2">
        <v>10005227</v>
      </c>
      <c r="G6566" s="4" t="s">
        <v>6803</v>
      </c>
      <c r="H6566" s="1">
        <v>21</v>
      </c>
      <c r="I6566" s="1">
        <v>4</v>
      </c>
      <c r="J6566" s="1">
        <v>3</v>
      </c>
      <c r="K6566" s="2">
        <v>2.75</v>
      </c>
    </row>
    <row r="6567" spans="1:12">
      <c r="A6567" s="3" t="s">
        <v>6419</v>
      </c>
      <c r="B6567" s="3" t="s">
        <v>6756</v>
      </c>
      <c r="C6567" s="3" t="s">
        <v>6796</v>
      </c>
      <c r="D6567" s="3"/>
      <c r="E6567" s="2" t="str">
        <f>HYPERLINK("https://old.ukr-mobil.com/index.php?route=product&amp;product_id=10005225", "Перейти")</f>
        <v>Перейти</v>
      </c>
      <c r="F6567" s="2">
        <v>10005225</v>
      </c>
      <c r="G6567" s="4" t="s">
        <v>6804</v>
      </c>
      <c r="H6567" s="1">
        <v>16</v>
      </c>
      <c r="I6567" s="1">
        <v>5</v>
      </c>
      <c r="J6567" s="1">
        <v>5</v>
      </c>
      <c r="K6567" s="2">
        <v>2.75</v>
      </c>
    </row>
    <row r="6568" spans="1:12">
      <c r="A6568" s="3" t="s">
        <v>6419</v>
      </c>
      <c r="B6568" s="3" t="s">
        <v>6756</v>
      </c>
      <c r="C6568" s="3" t="s">
        <v>6796</v>
      </c>
      <c r="D6568" s="3"/>
      <c r="E6568" s="2" t="str">
        <f>HYPERLINK("https://old.ukr-mobil.com/index.php?route=product&amp;product_id=10005226", "Перейти")</f>
        <v>Перейти</v>
      </c>
      <c r="F6568" s="2">
        <v>10005226</v>
      </c>
      <c r="G6568" s="4" t="s">
        <v>6805</v>
      </c>
      <c r="H6568" s="1">
        <v>31</v>
      </c>
      <c r="I6568" s="1">
        <v>5</v>
      </c>
      <c r="J6568" s="1">
        <v>5</v>
      </c>
      <c r="K6568" s="2">
        <v>2.75</v>
      </c>
    </row>
    <row r="6569" spans="1:12">
      <c r="A6569" s="3" t="s">
        <v>6419</v>
      </c>
      <c r="B6569" s="3" t="s">
        <v>6756</v>
      </c>
      <c r="C6569" s="3" t="s">
        <v>6796</v>
      </c>
      <c r="D6569" s="3"/>
      <c r="E6569" s="2" t="str">
        <f>HYPERLINK("https://old.ukr-mobil.com/index.php?route=product&amp;product_id=10005224", "Перейти")</f>
        <v>Перейти</v>
      </c>
      <c r="F6569" s="2">
        <v>10005224</v>
      </c>
      <c r="G6569" s="4" t="s">
        <v>6806</v>
      </c>
      <c r="H6569" s="1">
        <v>7</v>
      </c>
      <c r="I6569" s="1">
        <v>3</v>
      </c>
      <c r="J6569" s="1">
        <v>3</v>
      </c>
      <c r="K6569" s="2">
        <v>2.75</v>
      </c>
    </row>
    <row r="6570" spans="1:12">
      <c r="A6570" s="3" t="s">
        <v>6419</v>
      </c>
      <c r="B6570" s="3" t="s">
        <v>6756</v>
      </c>
      <c r="C6570" s="3" t="s">
        <v>6796</v>
      </c>
      <c r="D6570" s="3"/>
      <c r="E6570" s="2" t="str">
        <f>HYPERLINK("https://old.ukr-mobil.com/index.php?route=product&amp;product_id=10005223", "Перейти")</f>
        <v>Перейти</v>
      </c>
      <c r="F6570" s="2">
        <v>10005223</v>
      </c>
      <c r="G6570" s="4" t="s">
        <v>6807</v>
      </c>
      <c r="H6570" s="1">
        <v>12</v>
      </c>
      <c r="I6570" s="1">
        <v>4</v>
      </c>
      <c r="J6570" s="1">
        <v>4</v>
      </c>
      <c r="K6570" s="2">
        <v>2.75</v>
      </c>
    </row>
    <row r="6571" spans="1:12">
      <c r="A6571" s="3" t="s">
        <v>6419</v>
      </c>
      <c r="B6571" s="3" t="s">
        <v>6756</v>
      </c>
      <c r="C6571" s="3" t="s">
        <v>6796</v>
      </c>
      <c r="D6571" s="3"/>
      <c r="E6571" s="2" t="str">
        <f>HYPERLINK("https://old.ukr-mobil.com/index.php?route=product&amp;product_id=10005185", "Перейти")</f>
        <v>Перейти</v>
      </c>
      <c r="F6571" s="2">
        <v>10005185</v>
      </c>
      <c r="G6571" s="4" t="s">
        <v>6808</v>
      </c>
      <c r="H6571" s="1">
        <v>20</v>
      </c>
      <c r="I6571" s="1">
        <v>8</v>
      </c>
      <c r="J6571" s="1">
        <v>10</v>
      </c>
      <c r="K6571" s="2">
        <v>2.65</v>
      </c>
    </row>
    <row r="6572" spans="1:12">
      <c r="A6572" s="3" t="s">
        <v>6419</v>
      </c>
      <c r="B6572" s="3" t="s">
        <v>6756</v>
      </c>
      <c r="C6572" s="3" t="s">
        <v>6796</v>
      </c>
      <c r="D6572" s="3"/>
      <c r="E6572" s="2" t="str">
        <f>HYPERLINK("https://old.ukr-mobil.com/index.php?route=product&amp;product_id=10005187", "Перейти")</f>
        <v>Перейти</v>
      </c>
      <c r="F6572" s="2">
        <v>10005187</v>
      </c>
      <c r="G6572" s="4" t="s">
        <v>6809</v>
      </c>
      <c r="H6572" s="1">
        <v>26</v>
      </c>
      <c r="I6572" s="1">
        <v>4</v>
      </c>
      <c r="J6572" s="1">
        <v>10</v>
      </c>
      <c r="K6572" s="2">
        <v>2.65</v>
      </c>
    </row>
    <row r="6573" spans="1:12">
      <c r="A6573" s="3" t="s">
        <v>6419</v>
      </c>
      <c r="B6573" s="3" t="s">
        <v>6756</v>
      </c>
      <c r="C6573" s="3" t="s">
        <v>6796</v>
      </c>
      <c r="D6573" s="3"/>
      <c r="E6573" s="2" t="str">
        <f>HYPERLINK("https://old.ukr-mobil.com/index.php?route=product&amp;product_id=10005186", "Перейти")</f>
        <v>Перейти</v>
      </c>
      <c r="F6573" s="2">
        <v>10005186</v>
      </c>
      <c r="G6573" s="4" t="s">
        <v>6810</v>
      </c>
      <c r="H6573" s="1">
        <v>22</v>
      </c>
      <c r="I6573" s="1">
        <v>8</v>
      </c>
      <c r="J6573" s="1">
        <v>10</v>
      </c>
      <c r="K6573" s="2">
        <v>2.65</v>
      </c>
    </row>
    <row r="6574" spans="1:12">
      <c r="A6574" s="3" t="s">
        <v>6419</v>
      </c>
      <c r="B6574" s="3" t="s">
        <v>6756</v>
      </c>
      <c r="C6574" s="3" t="s">
        <v>6796</v>
      </c>
      <c r="D6574" s="3"/>
      <c r="E6574" s="2" t="str">
        <f>HYPERLINK("https://old.ukr-mobil.com/index.php?route=product&amp;product_id=10005182", "Перейти")</f>
        <v>Перейти</v>
      </c>
      <c r="F6574" s="2">
        <v>10005182</v>
      </c>
      <c r="G6574" s="4" t="s">
        <v>6811</v>
      </c>
      <c r="H6574" s="1">
        <v>19</v>
      </c>
      <c r="I6574" s="1">
        <v>7</v>
      </c>
      <c r="J6574" s="1">
        <v>9</v>
      </c>
      <c r="K6574" s="2">
        <v>4.85</v>
      </c>
    </row>
    <row r="6575" spans="1:12">
      <c r="A6575" s="3" t="s">
        <v>6419</v>
      </c>
      <c r="B6575" s="3" t="s">
        <v>6756</v>
      </c>
      <c r="C6575" s="3" t="s">
        <v>6796</v>
      </c>
      <c r="D6575" s="3"/>
      <c r="E6575" s="2" t="str">
        <f>HYPERLINK("https://old.ukr-mobil.com/index.php?route=product&amp;product_id=10005184", "Перейти")</f>
        <v>Перейти</v>
      </c>
      <c r="F6575" s="2">
        <v>10005184</v>
      </c>
      <c r="G6575" s="4" t="s">
        <v>6812</v>
      </c>
      <c r="H6575" s="1">
        <v>30</v>
      </c>
      <c r="I6575" s="1">
        <v>10</v>
      </c>
      <c r="J6575" s="1">
        <v>10</v>
      </c>
      <c r="K6575" s="2">
        <v>5.35</v>
      </c>
    </row>
    <row r="6576" spans="1:12">
      <c r="A6576" s="3" t="s">
        <v>6419</v>
      </c>
      <c r="B6576" s="3" t="s">
        <v>6756</v>
      </c>
      <c r="C6576" s="3" t="s">
        <v>6796</v>
      </c>
      <c r="D6576" s="3"/>
      <c r="E6576" s="2" t="str">
        <f>HYPERLINK("https://old.ukr-mobil.com/index.php?route=product&amp;product_id=10005180", "Перейти")</f>
        <v>Перейти</v>
      </c>
      <c r="F6576" s="2">
        <v>10005180</v>
      </c>
      <c r="G6576" s="4" t="s">
        <v>6813</v>
      </c>
      <c r="H6576" s="1">
        <v>25</v>
      </c>
      <c r="I6576" s="1">
        <v>3</v>
      </c>
      <c r="J6576" s="1">
        <v>10</v>
      </c>
      <c r="K6576" s="2">
        <v>4.85</v>
      </c>
    </row>
    <row r="6577" spans="1:12">
      <c r="A6577" s="3" t="s">
        <v>6419</v>
      </c>
      <c r="B6577" s="3" t="s">
        <v>6756</v>
      </c>
      <c r="C6577" s="3" t="s">
        <v>6796</v>
      </c>
      <c r="D6577" s="3"/>
      <c r="E6577" s="2" t="str">
        <f>HYPERLINK("https://old.ukr-mobil.com/index.php?route=product&amp;product_id=10005181", "Перейти")</f>
        <v>Перейти</v>
      </c>
      <c r="F6577" s="2">
        <v>10005181</v>
      </c>
      <c r="G6577" s="4" t="s">
        <v>6814</v>
      </c>
      <c r="H6577" s="1">
        <v>29</v>
      </c>
      <c r="I6577" s="1">
        <v>7</v>
      </c>
      <c r="J6577" s="1">
        <v>10</v>
      </c>
      <c r="K6577" s="2">
        <v>4.85</v>
      </c>
    </row>
    <row r="6578" spans="1:12">
      <c r="A6578" s="3" t="s">
        <v>6419</v>
      </c>
      <c r="B6578" s="3" t="s">
        <v>6756</v>
      </c>
      <c r="C6578" s="3" t="s">
        <v>6796</v>
      </c>
      <c r="D6578" s="3"/>
      <c r="E6578" s="2" t="str">
        <f>HYPERLINK("https://old.ukr-mobil.com/index.php?route=product&amp;product_id=10005183", "Перейти")</f>
        <v>Перейти</v>
      </c>
      <c r="F6578" s="2">
        <v>10005183</v>
      </c>
      <c r="G6578" s="4" t="s">
        <v>6815</v>
      </c>
      <c r="H6578" s="1">
        <v>18</v>
      </c>
      <c r="I6578" s="1">
        <v>2</v>
      </c>
      <c r="J6578" s="1">
        <v>8</v>
      </c>
      <c r="K6578" s="2">
        <v>4.85</v>
      </c>
    </row>
    <row r="6579" spans="1:12">
      <c r="A6579" s="3" t="s">
        <v>6419</v>
      </c>
      <c r="B6579" s="3" t="s">
        <v>6756</v>
      </c>
      <c r="C6579" s="3" t="s">
        <v>6796</v>
      </c>
      <c r="D6579" s="3"/>
      <c r="E6579" s="2" t="str">
        <f>HYPERLINK("https://old.ukr-mobil.com/otvyortka_sunshine_ss-719_t3_10000705", "Перейти")</f>
        <v>Перейти</v>
      </c>
      <c r="F6579" s="2">
        <v>10000705</v>
      </c>
      <c r="G6579" s="4" t="s">
        <v>6816</v>
      </c>
      <c r="H6579" s="1">
        <v>0</v>
      </c>
      <c r="I6579" s="1">
        <v>0</v>
      </c>
      <c r="J6579" s="1">
        <v>0</v>
      </c>
      <c r="K6579" s="2">
        <v>4.5</v>
      </c>
    </row>
    <row r="6580" spans="1:12">
      <c r="A6580" s="3" t="s">
        <v>6419</v>
      </c>
      <c r="B6580" s="3" t="s">
        <v>6756</v>
      </c>
      <c r="C6580" s="3" t="s">
        <v>6796</v>
      </c>
      <c r="D6580" s="3"/>
      <c r="E6580" s="2" t="str">
        <f>HYPERLINK("https://old.ukr-mobil.com/otvyortka_sunshine_ss-719_0_8_dlya_iphone_7_10000702", "Перейти")</f>
        <v>Перейти</v>
      </c>
      <c r="F6580" s="2">
        <v>10000702</v>
      </c>
      <c r="G6580" s="4" t="s">
        <v>6817</v>
      </c>
      <c r="H6580" s="1">
        <v>30</v>
      </c>
      <c r="I6580" s="1">
        <v>10</v>
      </c>
      <c r="J6580" s="1">
        <v>10</v>
      </c>
      <c r="K6580" s="2">
        <v>4.5</v>
      </c>
    </row>
    <row r="6581" spans="1:12">
      <c r="A6581" s="3" t="s">
        <v>6419</v>
      </c>
      <c r="B6581" s="3" t="s">
        <v>6756</v>
      </c>
      <c r="C6581" s="3" t="s">
        <v>6796</v>
      </c>
      <c r="D6581" s="3"/>
      <c r="E6581" s="2" t="str">
        <f>HYPERLINK("https://old.ukr-mobil.com/otvyortka_sunshine_ss-719_1_5_10000703", "Перейти")</f>
        <v>Перейти</v>
      </c>
      <c r="F6581" s="2">
        <v>10000703</v>
      </c>
      <c r="G6581" s="4" t="s">
        <v>6818</v>
      </c>
      <c r="H6581" s="1">
        <v>28</v>
      </c>
      <c r="I6581" s="1">
        <v>10</v>
      </c>
      <c r="J6581" s="1">
        <v>9</v>
      </c>
      <c r="K6581" s="2">
        <v>5.0</v>
      </c>
    </row>
    <row r="6582" spans="1:12">
      <c r="A6582" s="3" t="s">
        <v>6419</v>
      </c>
      <c r="B6582" s="3" t="s">
        <v>6756</v>
      </c>
      <c r="C6582" s="3" t="s">
        <v>6796</v>
      </c>
      <c r="D6582" s="3"/>
      <c r="E6582" s="2" t="str">
        <f>HYPERLINK("https://old.ukr-mobil.com/otvyortka_sunshine_ss-719_y0_6_10000704", "Перейти")</f>
        <v>Перейти</v>
      </c>
      <c r="F6582" s="2">
        <v>10000704</v>
      </c>
      <c r="G6582" s="4" t="s">
        <v>6819</v>
      </c>
      <c r="H6582" s="1">
        <v>28</v>
      </c>
      <c r="I6582" s="1">
        <v>10</v>
      </c>
      <c r="J6582" s="1">
        <v>10</v>
      </c>
      <c r="K6582" s="2">
        <v>5.0</v>
      </c>
    </row>
    <row r="6583" spans="1:12">
      <c r="A6583" s="3" t="s">
        <v>6419</v>
      </c>
      <c r="B6583" s="3" t="s">
        <v>6756</v>
      </c>
      <c r="C6583" s="3" t="s">
        <v>6796</v>
      </c>
      <c r="D6583" s="3"/>
      <c r="E6583" s="2" t="str">
        <f>HYPERLINK("https://old.ukr-mobil.com/otvyortka_yaxun_yx-11_y_0_6_dlya_iphone_7_iphone_7_plus_iwatch_8507", "Перейти")</f>
        <v>Перейти</v>
      </c>
      <c r="F6583" s="2">
        <v>8507</v>
      </c>
      <c r="G6583" s="4" t="s">
        <v>6820</v>
      </c>
      <c r="H6583" s="1">
        <v>0</v>
      </c>
      <c r="I6583" s="1">
        <v>0</v>
      </c>
      <c r="J6583" s="1">
        <v>0</v>
      </c>
      <c r="K6583" s="2">
        <v>3.02</v>
      </c>
    </row>
    <row r="6584" spans="1:12">
      <c r="A6584" s="3" t="s">
        <v>6419</v>
      </c>
      <c r="B6584" s="3" t="s">
        <v>6756</v>
      </c>
      <c r="C6584" s="3" t="s">
        <v>6796</v>
      </c>
      <c r="D6584" s="3"/>
      <c r="E6584" s="2" t="str">
        <f>HYPERLINK("https://old.ukr-mobil.com/otvyortka_yaxun_yx-11_0_8_8878", "Перейти")</f>
        <v>Перейти</v>
      </c>
      <c r="F6584" s="2">
        <v>8878</v>
      </c>
      <c r="G6584" s="4" t="s">
        <v>6821</v>
      </c>
      <c r="H6584" s="1">
        <v>0</v>
      </c>
      <c r="I6584" s="1">
        <v>0</v>
      </c>
      <c r="J6584" s="1">
        <v>0</v>
      </c>
      <c r="K6584" s="2">
        <v>2.52</v>
      </c>
    </row>
    <row r="6585" spans="1:12">
      <c r="A6585" s="3" t="s">
        <v>6419</v>
      </c>
      <c r="B6585" s="3" t="s">
        <v>6756</v>
      </c>
      <c r="C6585" s="3" t="s">
        <v>6796</v>
      </c>
      <c r="D6585" s="3"/>
      <c r="E6585" s="2" t="str">
        <f>HYPERLINK("https://old.ukr-mobil.com/otvyortka_yaxun_yx-11_1_5_8877", "Перейти")</f>
        <v>Перейти</v>
      </c>
      <c r="F6585" s="2">
        <v>8877</v>
      </c>
      <c r="G6585" s="4" t="s">
        <v>6822</v>
      </c>
      <c r="H6585" s="1">
        <v>0</v>
      </c>
      <c r="I6585" s="1">
        <v>0</v>
      </c>
      <c r="J6585" s="1">
        <v>0</v>
      </c>
      <c r="K6585" s="2">
        <v>2.52</v>
      </c>
    </row>
    <row r="6586" spans="1:12">
      <c r="A6586" s="3" t="s">
        <v>6419</v>
      </c>
      <c r="B6586" s="3" t="s">
        <v>6756</v>
      </c>
      <c r="C6586" s="3" t="s">
        <v>6796</v>
      </c>
      <c r="D6586" s="3"/>
      <c r="E6586" s="2" t="str">
        <f>HYPERLINK("https://old.ukr-mobil.com/otvyortka_yaxun_yx-11_t2_8879", "Перейти")</f>
        <v>Перейти</v>
      </c>
      <c r="F6586" s="2">
        <v>8879</v>
      </c>
      <c r="G6586" s="4" t="s">
        <v>6823</v>
      </c>
      <c r="H6586" s="1">
        <v>1</v>
      </c>
      <c r="I6586" s="1">
        <v>0</v>
      </c>
      <c r="J6586" s="1">
        <v>0</v>
      </c>
      <c r="K6586" s="2">
        <v>2.52</v>
      </c>
    </row>
    <row r="6587" spans="1:12">
      <c r="A6587" s="3" t="s">
        <v>6419</v>
      </c>
      <c r="B6587" s="3" t="s">
        <v>6756</v>
      </c>
      <c r="C6587" s="3" t="s">
        <v>6796</v>
      </c>
      <c r="D6587" s="3"/>
      <c r="E6587" s="2" t="str">
        <f>HYPERLINK("https://old.ukr-mobil.com/otvyortka_yaxun_yx-11_t6_8880", "Перейти")</f>
        <v>Перейти</v>
      </c>
      <c r="F6587" s="2">
        <v>8880</v>
      </c>
      <c r="G6587" s="4" t="s">
        <v>6824</v>
      </c>
      <c r="H6587" s="1">
        <v>9</v>
      </c>
      <c r="I6587" s="1">
        <v>0</v>
      </c>
      <c r="J6587" s="1">
        <v>2</v>
      </c>
      <c r="K6587" s="2">
        <v>2.52</v>
      </c>
    </row>
    <row r="6588" spans="1:12">
      <c r="A6588" s="3" t="s">
        <v>6419</v>
      </c>
      <c r="B6588" s="3" t="s">
        <v>6756</v>
      </c>
      <c r="C6588" s="3" t="s">
        <v>6796</v>
      </c>
      <c r="D6588" s="3"/>
      <c r="E6588" s="2" t="str">
        <f>HYPERLINK("https://old.ukr-mobil.com/ehlektricheskaya_otvertkka_sunshine_sd-18e_14_nasadok_12277", "Перейти")</f>
        <v>Перейти</v>
      </c>
      <c r="F6588" s="2">
        <v>12277</v>
      </c>
      <c r="G6588" s="4" t="s">
        <v>6825</v>
      </c>
      <c r="H6588" s="1">
        <v>0</v>
      </c>
      <c r="I6588" s="1">
        <v>0</v>
      </c>
      <c r="J6588" s="1">
        <v>0</v>
      </c>
      <c r="K6588" s="2">
        <v>53.0</v>
      </c>
    </row>
    <row r="6589" spans="1:12">
      <c r="A6589" s="3" t="s">
        <v>6419</v>
      </c>
      <c r="B6589" s="3" t="s">
        <v>6756</v>
      </c>
      <c r="C6589" s="3" t="s">
        <v>6826</v>
      </c>
      <c r="D6589" s="3"/>
      <c r="E6589" s="2" t="str">
        <f>HYPERLINK("https://old.ukr-mobil.com/pincet_baku_7-sa_u_r_izognutyj_10016", "Перейти")</f>
        <v>Перейти</v>
      </c>
      <c r="F6589" s="2">
        <v>10016</v>
      </c>
      <c r="G6589" s="4" t="s">
        <v>6827</v>
      </c>
      <c r="H6589" s="1">
        <v>0</v>
      </c>
      <c r="I6589" s="1">
        <v>0</v>
      </c>
      <c r="J6589" s="1">
        <v>0</v>
      </c>
      <c r="K6589" s="2">
        <v>2.27</v>
      </c>
    </row>
    <row r="6590" spans="1:12">
      <c r="A6590" s="3" t="s">
        <v>6419</v>
      </c>
      <c r="B6590" s="3" t="s">
        <v>6756</v>
      </c>
      <c r="C6590" s="3" t="s">
        <v>6826</v>
      </c>
      <c r="D6590" s="3"/>
      <c r="E6590" s="2" t="str">
        <f>HYPERLINK("https://old.ukr-mobil.com/pincet_baku_7a-16_izognutyj_tonkij_11030", "Перейти")</f>
        <v>Перейти</v>
      </c>
      <c r="F6590" s="2">
        <v>11030</v>
      </c>
      <c r="G6590" s="4" t="s">
        <v>6828</v>
      </c>
      <c r="H6590" s="1">
        <v>0</v>
      </c>
      <c r="I6590" s="1">
        <v>0</v>
      </c>
      <c r="J6590" s="1">
        <v>0</v>
      </c>
      <c r="K6590" s="2">
        <v>6.05</v>
      </c>
    </row>
    <row r="6591" spans="1:12">
      <c r="A6591" s="3" t="s">
        <v>6419</v>
      </c>
      <c r="B6591" s="3" t="s">
        <v>6756</v>
      </c>
      <c r="C6591" s="3" t="s">
        <v>6826</v>
      </c>
      <c r="D6591" s="3"/>
      <c r="E6591" s="2" t="str">
        <f>HYPERLINK("https://old.ukr-mobil.com/pincet_baku_a8_7-sa_izognutyj_nemagnitnyj_10000499", "Перейти")</f>
        <v>Перейти</v>
      </c>
      <c r="F6591" s="2">
        <v>10000499</v>
      </c>
      <c r="G6591" s="4" t="s">
        <v>6829</v>
      </c>
      <c r="H6591" s="1">
        <v>0</v>
      </c>
      <c r="I6591" s="1">
        <v>0</v>
      </c>
      <c r="J6591" s="1">
        <v>0</v>
      </c>
      <c r="K6591" s="2">
        <v>1.58</v>
      </c>
    </row>
    <row r="6592" spans="1:12">
      <c r="A6592" s="3" t="s">
        <v>6419</v>
      </c>
      <c r="B6592" s="3" t="s">
        <v>6756</v>
      </c>
      <c r="C6592" s="3" t="s">
        <v>6826</v>
      </c>
      <c r="D6592" s="3"/>
      <c r="E6592" s="2" t="str">
        <f>HYPERLINK("https://old.ukr-mobil.com/pincet_baku_a8_ss-sa_pryamoj_nemagnitnyj_10000500", "Перейти")</f>
        <v>Перейти</v>
      </c>
      <c r="F6592" s="2">
        <v>10000500</v>
      </c>
      <c r="G6592" s="4" t="s">
        <v>6830</v>
      </c>
      <c r="H6592" s="1">
        <v>0</v>
      </c>
      <c r="I6592" s="1">
        <v>0</v>
      </c>
      <c r="J6592" s="1">
        <v>0</v>
      </c>
      <c r="K6592" s="2">
        <v>2.27</v>
      </c>
    </row>
    <row r="6593" spans="1:12">
      <c r="A6593" s="3" t="s">
        <v>6419</v>
      </c>
      <c r="B6593" s="3" t="s">
        <v>6756</v>
      </c>
      <c r="C6593" s="3" t="s">
        <v>6826</v>
      </c>
      <c r="D6593" s="3"/>
      <c r="E6593" s="2" t="str">
        <f>HYPERLINK("https://old.ukr-mobil.com/pincet_baku_i7_72mz_pryamoj_antistaticheskij_s_keramicheskimi_nakonechnikami_8370", "Перейти")</f>
        <v>Перейти</v>
      </c>
      <c r="F6593" s="2">
        <v>8370</v>
      </c>
      <c r="G6593" s="4" t="s">
        <v>6831</v>
      </c>
      <c r="H6593" s="1">
        <v>0</v>
      </c>
      <c r="I6593" s="1">
        <v>0</v>
      </c>
      <c r="J6593" s="1">
        <v>0</v>
      </c>
      <c r="K6593" s="2">
        <v>20.16</v>
      </c>
    </row>
    <row r="6594" spans="1:12">
      <c r="A6594" s="3" t="s">
        <v>6419</v>
      </c>
      <c r="B6594" s="3" t="s">
        <v>6756</v>
      </c>
      <c r="C6594" s="3" t="s">
        <v>6826</v>
      </c>
      <c r="D6594" s="3"/>
      <c r="E6594" s="2" t="str">
        <f>HYPERLINK("https://old.ukr-mobil.com/pincet_baku_v9_7-sa_izognutyj_nemagnitnyj_perforirovanyj_8367", "Перейти")</f>
        <v>Перейти</v>
      </c>
      <c r="F6594" s="2">
        <v>8367</v>
      </c>
      <c r="G6594" s="4" t="s">
        <v>6832</v>
      </c>
      <c r="H6594" s="1">
        <v>0</v>
      </c>
      <c r="I6594" s="1">
        <v>0</v>
      </c>
      <c r="J6594" s="1">
        <v>0</v>
      </c>
      <c r="K6594" s="2">
        <v>3.58</v>
      </c>
    </row>
    <row r="6595" spans="1:12">
      <c r="A6595" s="3" t="s">
        <v>6419</v>
      </c>
      <c r="B6595" s="3" t="s">
        <v>6756</v>
      </c>
      <c r="C6595" s="3" t="s">
        <v>6826</v>
      </c>
      <c r="D6595" s="3"/>
      <c r="E6595" s="2" t="str">
        <f>HYPERLINK("https://old.ukr-mobil.com/pincet_baku_v9_aa-sa_pryamoj_nemagnitnyj_perforirovanyj_8366", "Перейти")</f>
        <v>Перейти</v>
      </c>
      <c r="F6595" s="2">
        <v>8366</v>
      </c>
      <c r="G6595" s="4" t="s">
        <v>6833</v>
      </c>
      <c r="H6595" s="1">
        <v>0</v>
      </c>
      <c r="I6595" s="1">
        <v>0</v>
      </c>
      <c r="J6595" s="1">
        <v>0</v>
      </c>
      <c r="K6595" s="2">
        <v>3.58</v>
      </c>
    </row>
    <row r="6596" spans="1:12">
      <c r="A6596" s="3" t="s">
        <v>6419</v>
      </c>
      <c r="B6596" s="3" t="s">
        <v>6756</v>
      </c>
      <c r="C6596" s="3" t="s">
        <v>6826</v>
      </c>
      <c r="D6596" s="3"/>
      <c r="E6596" s="2" t="str">
        <f>HYPERLINK("https://old.ukr-mobil.com/pincet_mechanic_sak-15_izognutyj_perforirovanyj_10002745", "Перейти")</f>
        <v>Перейти</v>
      </c>
      <c r="F6596" s="2">
        <v>10002745</v>
      </c>
      <c r="G6596" s="4" t="s">
        <v>6834</v>
      </c>
      <c r="H6596" s="1">
        <v>0</v>
      </c>
      <c r="I6596" s="1">
        <v>0</v>
      </c>
      <c r="J6596" s="1">
        <v>0</v>
      </c>
      <c r="K6596" s="2">
        <v>3.25</v>
      </c>
    </row>
    <row r="6597" spans="1:12">
      <c r="A6597" s="3" t="s">
        <v>6419</v>
      </c>
      <c r="B6597" s="3" t="s">
        <v>6756</v>
      </c>
      <c r="C6597" s="3" t="s">
        <v>6826</v>
      </c>
      <c r="D6597" s="3"/>
      <c r="E6597" s="2" t="str">
        <f>HYPERLINK("https://old.ukr-mobil.com/pincet_mechanic_ti-11_pryamoj_ultra-tonkij_nakonechnik_titanovyj_splav_10002747", "Перейти")</f>
        <v>Перейти</v>
      </c>
      <c r="F6597" s="2">
        <v>10002747</v>
      </c>
      <c r="G6597" s="4" t="s">
        <v>6835</v>
      </c>
      <c r="H6597" s="1">
        <v>0</v>
      </c>
      <c r="I6597" s="1">
        <v>0</v>
      </c>
      <c r="J6597" s="1">
        <v>0</v>
      </c>
      <c r="K6597" s="2">
        <v>20.0</v>
      </c>
    </row>
    <row r="6598" spans="1:12">
      <c r="A6598" s="3" t="s">
        <v>6419</v>
      </c>
      <c r="B6598" s="3" t="s">
        <v>6756</v>
      </c>
      <c r="C6598" s="3" t="s">
        <v>6826</v>
      </c>
      <c r="D6598" s="3"/>
      <c r="E6598" s="2" t="str">
        <f>HYPERLINK("https://old.ukr-mobil.com/pincet_mechanic_ti-15_izognutyj_ultra-tonkij_nakonechnik_titanovyj_splav_10002746", "Перейти")</f>
        <v>Перейти</v>
      </c>
      <c r="F6598" s="2">
        <v>10002746</v>
      </c>
      <c r="G6598" s="4" t="s">
        <v>6836</v>
      </c>
      <c r="H6598" s="1">
        <v>2</v>
      </c>
      <c r="I6598" s="1">
        <v>0</v>
      </c>
      <c r="J6598" s="1">
        <v>0</v>
      </c>
      <c r="K6598" s="2">
        <v>17.0</v>
      </c>
    </row>
    <row r="6599" spans="1:12">
      <c r="A6599" s="3" t="s">
        <v>6419</v>
      </c>
      <c r="B6599" s="3" t="s">
        <v>6756</v>
      </c>
      <c r="C6599" s="3" t="s">
        <v>6826</v>
      </c>
      <c r="D6599" s="3"/>
      <c r="E6599" s="2" t="str">
        <f>HYPERLINK("https://old.ukr-mobil.com/index.php?route=product&amp;product_id=10005614", "Перейти")</f>
        <v>Перейти</v>
      </c>
      <c r="F6599" s="2">
        <v>10005614</v>
      </c>
      <c r="G6599" s="4" t="s">
        <v>6837</v>
      </c>
      <c r="H6599" s="1">
        <v>18</v>
      </c>
      <c r="I6599" s="1">
        <v>10</v>
      </c>
      <c r="J6599" s="1">
        <v>10</v>
      </c>
      <c r="K6599" s="2">
        <v>12.0</v>
      </c>
    </row>
    <row r="6600" spans="1:12">
      <c r="A6600" s="3" t="s">
        <v>6419</v>
      </c>
      <c r="B6600" s="3" t="s">
        <v>6756</v>
      </c>
      <c r="C6600" s="3" t="s">
        <v>6826</v>
      </c>
      <c r="D6600" s="3"/>
      <c r="E6600" s="2" t="str">
        <f>HYPERLINK("https://old.ukr-mobil.com/index.php?route=product&amp;product_id=10005615", "Перейти")</f>
        <v>Перейти</v>
      </c>
      <c r="F6600" s="2">
        <v>10005615</v>
      </c>
      <c r="G6600" s="4" t="s">
        <v>6838</v>
      </c>
      <c r="H6600" s="1">
        <v>25</v>
      </c>
      <c r="I6600" s="1">
        <v>4</v>
      </c>
      <c r="J6600" s="1">
        <v>10</v>
      </c>
      <c r="K6600" s="2">
        <v>12.0</v>
      </c>
    </row>
    <row r="6601" spans="1:12">
      <c r="A6601" s="3" t="s">
        <v>6419</v>
      </c>
      <c r="B6601" s="3" t="s">
        <v>6756</v>
      </c>
      <c r="C6601" s="3" t="s">
        <v>6826</v>
      </c>
      <c r="D6601" s="3"/>
      <c r="E6601" s="2" t="str">
        <f>HYPERLINK("https://old.ukr-mobil.com/p_ncet_ts-11_pryamij_2891", "Перейти")</f>
        <v>Перейти</v>
      </c>
      <c r="F6601" s="2">
        <v>2891</v>
      </c>
      <c r="G6601" s="4" t="s">
        <v>6839</v>
      </c>
      <c r="H6601" s="1">
        <v>0</v>
      </c>
      <c r="I6601" s="1">
        <v>0</v>
      </c>
      <c r="J6601" s="1">
        <v>0</v>
      </c>
      <c r="K6601" s="2">
        <v>1.51</v>
      </c>
    </row>
    <row r="6602" spans="1:12">
      <c r="A6602" s="3" t="s">
        <v>6419</v>
      </c>
      <c r="B6602" s="3" t="s">
        <v>6756</v>
      </c>
      <c r="C6602" s="3" t="s">
        <v>6826</v>
      </c>
      <c r="D6602" s="3"/>
      <c r="E6602" s="2" t="str">
        <f>HYPERLINK("https://old.ukr-mobil.com/p_ncet_ts-15_zagnutij_2892", "Перейти")</f>
        <v>Перейти</v>
      </c>
      <c r="F6602" s="2">
        <v>2892</v>
      </c>
      <c r="G6602" s="4" t="s">
        <v>6840</v>
      </c>
      <c r="H6602" s="1">
        <v>0</v>
      </c>
      <c r="I6602" s="1">
        <v>0</v>
      </c>
      <c r="J6602" s="1">
        <v>0</v>
      </c>
      <c r="K6602" s="2">
        <v>1.51</v>
      </c>
    </row>
    <row r="6603" spans="1:12">
      <c r="A6603" s="3" t="s">
        <v>6419</v>
      </c>
      <c r="B6603" s="3" t="s">
        <v>6756</v>
      </c>
      <c r="C6603" s="3" t="s">
        <v>6841</v>
      </c>
      <c r="D6603" s="3"/>
      <c r="E6603" s="2" t="str">
        <f>HYPERLINK("https://old.ukr-mobil.com/n_zh-skalpel_dlya_v_dkrivannya_ipod_ipad_iphone_yx-3b_5000", "Перейти")</f>
        <v>Перейти</v>
      </c>
      <c r="F6603" s="2">
        <v>5000</v>
      </c>
      <c r="G6603" s="4" t="s">
        <v>6842</v>
      </c>
      <c r="H6603" s="1">
        <v>0</v>
      </c>
      <c r="I6603" s="1">
        <v>0</v>
      </c>
      <c r="J6603" s="1">
        <v>0</v>
      </c>
      <c r="K6603" s="2">
        <v>2.77</v>
      </c>
    </row>
    <row r="6604" spans="1:12">
      <c r="A6604" s="3" t="s">
        <v>6419</v>
      </c>
      <c r="B6604" s="3" t="s">
        <v>6756</v>
      </c>
      <c r="C6604" s="3" t="s">
        <v>6841</v>
      </c>
      <c r="D6604" s="3"/>
      <c r="E6604" s="2" t="str">
        <f>HYPERLINK("https://old.ukr-mobil.com/skalpel_nasadki_10sht_2888", "Перейти")</f>
        <v>Перейти</v>
      </c>
      <c r="F6604" s="2">
        <v>2888</v>
      </c>
      <c r="G6604" s="4" t="s">
        <v>6843</v>
      </c>
      <c r="H6604" s="1">
        <v>0</v>
      </c>
      <c r="I6604" s="1">
        <v>0</v>
      </c>
      <c r="J6604" s="1">
        <v>0</v>
      </c>
      <c r="K6604" s="2">
        <v>1.61</v>
      </c>
    </row>
    <row r="6605" spans="1:12">
      <c r="A6605" s="3" t="s">
        <v>6419</v>
      </c>
      <c r="B6605" s="3" t="s">
        <v>6756</v>
      </c>
      <c r="C6605" s="3" t="s">
        <v>6841</v>
      </c>
      <c r="D6605" s="3"/>
      <c r="E6605" s="2" t="str">
        <f>HYPERLINK("https://old.ukr-mobil.com/skalpel_so_smennymi_lezviyami_6in1_hobby_knife_set_8349", "Перейти")</f>
        <v>Перейти</v>
      </c>
      <c r="F6605" s="2">
        <v>8349</v>
      </c>
      <c r="G6605" s="4" t="s">
        <v>6844</v>
      </c>
      <c r="H6605" s="1">
        <v>0</v>
      </c>
      <c r="I6605" s="1">
        <v>0</v>
      </c>
      <c r="J6605" s="1">
        <v>0</v>
      </c>
      <c r="K6605" s="2">
        <v>2.52</v>
      </c>
    </row>
    <row r="6606" spans="1:12">
      <c r="A6606" s="3" t="s">
        <v>6419</v>
      </c>
      <c r="B6606" s="3" t="s">
        <v>6756</v>
      </c>
      <c r="C6606" s="3" t="s">
        <v>6845</v>
      </c>
      <c r="D6606" s="3"/>
      <c r="E6606" s="2" t="str">
        <f>HYPERLINK("https://old.ukr-mobil.com/nabor_universalnyj_bk-7283_shpatel_dlya_pasty_bga_shchetka_dlya_plat_karandash_dlya_plat_i_mikroskhem_nozh_3626", "Перейти")</f>
        <v>Перейти</v>
      </c>
      <c r="F6606" s="2">
        <v>3626</v>
      </c>
      <c r="G6606" s="4" t="s">
        <v>6846</v>
      </c>
      <c r="H6606" s="1">
        <v>0</v>
      </c>
      <c r="I6606" s="1">
        <v>0</v>
      </c>
      <c r="J6606" s="1">
        <v>0</v>
      </c>
      <c r="K6606" s="2">
        <v>2.52</v>
      </c>
    </row>
    <row r="6607" spans="1:12">
      <c r="A6607" s="3" t="s">
        <v>6419</v>
      </c>
      <c r="B6607" s="3" t="s">
        <v>6847</v>
      </c>
      <c r="C6607" s="3"/>
      <c r="D6607" s="3"/>
      <c r="E6607" s="2" t="str">
        <f>HYPERLINK("https://old.ukr-mobil.com/sprej_dlya_ochistki_plat_contact_cleaner_530_550ml_8097", "Перейти")</f>
        <v>Перейти</v>
      </c>
      <c r="F6607" s="2">
        <v>8097</v>
      </c>
      <c r="G6607" s="4" t="s">
        <v>6848</v>
      </c>
      <c r="H6607" s="1">
        <v>0</v>
      </c>
      <c r="I6607" s="1">
        <v>0</v>
      </c>
      <c r="J6607" s="1">
        <v>0</v>
      </c>
      <c r="K6607" s="2">
        <v>7.06</v>
      </c>
    </row>
    <row r="6608" spans="1:12">
      <c r="A6608" s="3" t="s">
        <v>6419</v>
      </c>
      <c r="B6608" s="3" t="s">
        <v>6847</v>
      </c>
      <c r="C6608" s="3"/>
      <c r="D6608" s="3"/>
      <c r="E6608" s="2" t="str">
        <f>HYPERLINK("https://old.ukr-mobil.com/sprej_dlya_ochistki_plat_yx-538_na_osnove_spirta_315ml_9206", "Перейти")</f>
        <v>Перейти</v>
      </c>
      <c r="F6608" s="2">
        <v>9206</v>
      </c>
      <c r="G6608" s="4" t="s">
        <v>6849</v>
      </c>
      <c r="H6608" s="1">
        <v>0</v>
      </c>
      <c r="I6608" s="1">
        <v>0</v>
      </c>
      <c r="J6608" s="1">
        <v>0</v>
      </c>
      <c r="K6608" s="2">
        <v>5.04</v>
      </c>
    </row>
    <row r="6609" spans="1:12">
      <c r="A6609" s="3" t="s">
        <v>6419</v>
      </c>
      <c r="B6609" s="3" t="s">
        <v>6847</v>
      </c>
      <c r="C6609" s="3"/>
      <c r="D6609" s="3"/>
      <c r="E6609" s="2" t="str">
        <f>HYPERLINK("https://old.ukr-mobil.com/sprej_dlya_ochistki_plat_yx-539_na_osnove_spirta_140ml_9205", "Перейти")</f>
        <v>Перейти</v>
      </c>
      <c r="F6609" s="2">
        <v>9205</v>
      </c>
      <c r="G6609" s="4" t="s">
        <v>6850</v>
      </c>
      <c r="H6609" s="1">
        <v>0</v>
      </c>
      <c r="I6609" s="1">
        <v>0</v>
      </c>
      <c r="J6609" s="1">
        <v>0</v>
      </c>
      <c r="K6609" s="2">
        <v>3.02</v>
      </c>
    </row>
    <row r="6610" spans="1:12">
      <c r="A6610" s="3" t="s">
        <v>6419</v>
      </c>
      <c r="B6610" s="3" t="s">
        <v>6851</v>
      </c>
      <c r="C6610" s="3"/>
      <c r="D6610" s="3"/>
      <c r="E6610" s="2" t="str">
        <f>HYPERLINK("https://old.ukr-mobil.com/mezhplatnyj_trafaret_platforma_qianli_3_v_1_dlya_raspajki_i_rebolla_iphone_11_11_pro_11_pro_max_10002226", "Перейти")</f>
        <v>Перейти</v>
      </c>
      <c r="F6610" s="2">
        <v>10002226</v>
      </c>
      <c r="G6610" s="4" t="s">
        <v>6852</v>
      </c>
      <c r="H6610" s="1">
        <v>0</v>
      </c>
      <c r="I6610" s="1">
        <v>0</v>
      </c>
      <c r="J6610" s="1">
        <v>0</v>
      </c>
      <c r="K6610" s="2">
        <v>23.5</v>
      </c>
    </row>
    <row r="6611" spans="1:12">
      <c r="A6611" s="3" t="s">
        <v>6419</v>
      </c>
      <c r="B6611" s="3" t="s">
        <v>6851</v>
      </c>
      <c r="C6611" s="3"/>
      <c r="D6611" s="3"/>
      <c r="E6611" s="2" t="str">
        <f>HYPERLINK("https://old.ukr-mobil.com/mezhplatnyj_trafaret_platforma_qianli_3_v_1_dlya_raspajki_i_rebolla_iphone_x_xs_xs_max_10002228", "Перейти")</f>
        <v>Перейти</v>
      </c>
      <c r="F6611" s="2">
        <v>10002228</v>
      </c>
      <c r="G6611" s="4" t="s">
        <v>6853</v>
      </c>
      <c r="H6611" s="1">
        <v>0</v>
      </c>
      <c r="I6611" s="1">
        <v>0</v>
      </c>
      <c r="J6611" s="1">
        <v>0</v>
      </c>
      <c r="K6611" s="2">
        <v>22.5</v>
      </c>
    </row>
    <row r="6612" spans="1:12">
      <c r="A6612" s="3" t="s">
        <v>6419</v>
      </c>
      <c r="B6612" s="3" t="s">
        <v>6851</v>
      </c>
      <c r="C6612" s="3"/>
      <c r="D6612" s="3"/>
      <c r="E6612" s="2" t="str">
        <f>HYPERLINK("https://old.ukr-mobil.com/mezhplatnyj_trafaret_platforma_qianli_4_v_1_dlya_raspajki_i_rebolla_iphone_12_12_pro_12_pro_max_12_mini_10002227", "Перейти")</f>
        <v>Перейти</v>
      </c>
      <c r="F6612" s="2">
        <v>10002227</v>
      </c>
      <c r="G6612" s="4" t="s">
        <v>6854</v>
      </c>
      <c r="H6612" s="1">
        <v>0</v>
      </c>
      <c r="I6612" s="1">
        <v>0</v>
      </c>
      <c r="J6612" s="1">
        <v>0</v>
      </c>
      <c r="K6612" s="2">
        <v>30.0</v>
      </c>
    </row>
    <row r="6613" spans="1:12">
      <c r="A6613" s="3" t="s">
        <v>6419</v>
      </c>
      <c r="B6613" s="3" t="s">
        <v>6851</v>
      </c>
      <c r="C6613" s="3"/>
      <c r="D6613" s="3"/>
      <c r="E6613" s="2" t="str">
        <f>HYPERLINK("https://old.ukr-mobil.com/trafaret_3d_mechanic_s40-a10_dlya_iphone_7_iphone_7_plus_12301", "Перейти")</f>
        <v>Перейти</v>
      </c>
      <c r="F6613" s="2">
        <v>12301</v>
      </c>
      <c r="G6613" s="4" t="s">
        <v>6855</v>
      </c>
      <c r="H6613" s="1">
        <v>0</v>
      </c>
      <c r="I6613" s="1">
        <v>0</v>
      </c>
      <c r="J6613" s="1">
        <v>0</v>
      </c>
      <c r="K6613" s="2">
        <v>17.0</v>
      </c>
    </row>
    <row r="6614" spans="1:12">
      <c r="A6614" s="3" t="s">
        <v>6419</v>
      </c>
      <c r="B6614" s="3" t="s">
        <v>6851</v>
      </c>
      <c r="C6614" s="3"/>
      <c r="D6614" s="3"/>
      <c r="E6614" s="2" t="str">
        <f>HYPERLINK("https://old.ukr-mobil.com/trafaret_3d_mechanic_s40-a11_dlya_iphone_8_iphone_8_plus_iphone_x_10000358", "Перейти")</f>
        <v>Перейти</v>
      </c>
      <c r="F6614" s="2">
        <v>10000358</v>
      </c>
      <c r="G6614" s="4" t="s">
        <v>6856</v>
      </c>
      <c r="H6614" s="1">
        <v>0</v>
      </c>
      <c r="I6614" s="1">
        <v>0</v>
      </c>
      <c r="J6614" s="1">
        <v>0</v>
      </c>
      <c r="K6614" s="2">
        <v>17.14</v>
      </c>
    </row>
    <row r="6615" spans="1:12">
      <c r="A6615" s="3" t="s">
        <v>6419</v>
      </c>
      <c r="B6615" s="3" t="s">
        <v>6851</v>
      </c>
      <c r="C6615" s="3"/>
      <c r="D6615" s="3"/>
      <c r="E6615" s="2" t="str">
        <f>HYPERLINK("https://old.ukr-mobil.com/trafaret_3d_mechanic_s40-a12_dlya_iphone_xs_iphone_xs_max_iphone_xr_12303", "Перейти")</f>
        <v>Перейти</v>
      </c>
      <c r="F6615" s="2">
        <v>12303</v>
      </c>
      <c r="G6615" s="4" t="s">
        <v>6857</v>
      </c>
      <c r="H6615" s="1">
        <v>6</v>
      </c>
      <c r="I6615" s="1">
        <v>0</v>
      </c>
      <c r="J6615" s="1">
        <v>0</v>
      </c>
      <c r="K6615" s="2">
        <v>14.5</v>
      </c>
    </row>
    <row r="6616" spans="1:12">
      <c r="A6616" s="3" t="s">
        <v>6419</v>
      </c>
      <c r="B6616" s="3" t="s">
        <v>6851</v>
      </c>
      <c r="C6616" s="3"/>
      <c r="D6616" s="3"/>
      <c r="E6616" s="2" t="str">
        <f>HYPERLINK("https://old.ukr-mobil.com/trafaret_3d_mechanic_s40-a8_dlya_iphone_6_iphone_6_plus_10000360", "Перейти")</f>
        <v>Перейти</v>
      </c>
      <c r="F6616" s="2">
        <v>10000360</v>
      </c>
      <c r="G6616" s="4" t="s">
        <v>6858</v>
      </c>
      <c r="H6616" s="1">
        <v>1</v>
      </c>
      <c r="I6616" s="1">
        <v>0</v>
      </c>
      <c r="J6616" s="1">
        <v>0</v>
      </c>
      <c r="K6616" s="2">
        <v>12.0</v>
      </c>
    </row>
    <row r="6617" spans="1:12">
      <c r="A6617" s="3" t="s">
        <v>6419</v>
      </c>
      <c r="B6617" s="3" t="s">
        <v>6851</v>
      </c>
      <c r="C6617" s="3"/>
      <c r="D6617" s="3"/>
      <c r="E6617" s="2" t="str">
        <f>HYPERLINK("https://old.ukr-mobil.com/trafaret_a00_htc_3650", "Перейти")</f>
        <v>Перейти</v>
      </c>
      <c r="F6617" s="2">
        <v>3650</v>
      </c>
      <c r="G6617" s="4" t="s">
        <v>6859</v>
      </c>
      <c r="H6617" s="1">
        <v>7</v>
      </c>
      <c r="I6617" s="1">
        <v>0</v>
      </c>
      <c r="J6617" s="1">
        <v>0</v>
      </c>
      <c r="K6617" s="2">
        <v>4.03</v>
      </c>
    </row>
    <row r="6618" spans="1:12">
      <c r="A6618" s="3" t="s">
        <v>6419</v>
      </c>
      <c r="B6618" s="3" t="s">
        <v>6851</v>
      </c>
      <c r="C6618" s="3"/>
      <c r="D6618" s="3"/>
      <c r="E6618" s="2" t="str">
        <f>HYPERLINK("https://old.ukr-mobil.com/trafaret_a112_5004", "Перейти")</f>
        <v>Перейти</v>
      </c>
      <c r="F6618" s="2">
        <v>5004</v>
      </c>
      <c r="G6618" s="4" t="s">
        <v>6860</v>
      </c>
      <c r="H6618" s="1">
        <v>1</v>
      </c>
      <c r="I6618" s="1">
        <v>0</v>
      </c>
      <c r="J6618" s="1">
        <v>0</v>
      </c>
      <c r="K6618" s="2">
        <v>2.77</v>
      </c>
    </row>
    <row r="6619" spans="1:12">
      <c r="A6619" s="3" t="s">
        <v>6419</v>
      </c>
      <c r="B6619" s="3" t="s">
        <v>6851</v>
      </c>
      <c r="C6619" s="3"/>
      <c r="D6619" s="3"/>
      <c r="E6619" s="2" t="str">
        <f>HYPERLINK("https://old.ukr-mobil.com/trafaret_a113_5005", "Перейти")</f>
        <v>Перейти</v>
      </c>
      <c r="F6619" s="2">
        <v>5005</v>
      </c>
      <c r="G6619" s="4" t="s">
        <v>6861</v>
      </c>
      <c r="H6619" s="1">
        <v>8</v>
      </c>
      <c r="I6619" s="1">
        <v>0</v>
      </c>
      <c r="J6619" s="1">
        <v>0</v>
      </c>
      <c r="K6619" s="2">
        <v>3.53</v>
      </c>
    </row>
    <row r="6620" spans="1:12">
      <c r="A6620" s="3" t="s">
        <v>6419</v>
      </c>
      <c r="B6620" s="3" t="s">
        <v>6851</v>
      </c>
      <c r="C6620" s="3"/>
      <c r="D6620" s="3"/>
      <c r="E6620" s="2" t="str">
        <f>HYPERLINK("https://old.ukr-mobil.com/trafaret_a115_5002", "Перейти")</f>
        <v>Перейти</v>
      </c>
      <c r="F6620" s="2">
        <v>5002</v>
      </c>
      <c r="G6620" s="4" t="s">
        <v>6862</v>
      </c>
      <c r="H6620" s="1">
        <v>3</v>
      </c>
      <c r="I6620" s="1">
        <v>0</v>
      </c>
      <c r="J6620" s="1">
        <v>0</v>
      </c>
      <c r="K6620" s="2">
        <v>3.02</v>
      </c>
    </row>
    <row r="6621" spans="1:12">
      <c r="A6621" s="3" t="s">
        <v>6419</v>
      </c>
      <c r="B6621" s="3" t="s">
        <v>6851</v>
      </c>
      <c r="C6621" s="3"/>
      <c r="D6621" s="3"/>
      <c r="E6621" s="2" t="str">
        <f>HYPERLINK("https://old.ukr-mobil.com/trafaret_b461_samsung_i9000_i9100_3649", "Перейти")</f>
        <v>Перейти</v>
      </c>
      <c r="F6621" s="2">
        <v>3649</v>
      </c>
      <c r="G6621" s="4" t="s">
        <v>6863</v>
      </c>
      <c r="H6621" s="1">
        <v>9</v>
      </c>
      <c r="I6621" s="1">
        <v>0</v>
      </c>
      <c r="J6621" s="1">
        <v>0</v>
      </c>
      <c r="K6621" s="2">
        <v>3.53</v>
      </c>
    </row>
    <row r="6622" spans="1:12">
      <c r="A6622" s="3" t="s">
        <v>6419</v>
      </c>
      <c r="B6622" s="3" t="s">
        <v>6851</v>
      </c>
      <c r="C6622" s="3"/>
      <c r="D6622" s="3"/>
      <c r="E6622" s="2" t="str">
        <f>HYPERLINK("https://old.ukr-mobil.com/trafaret_b462_3653", "Перейти")</f>
        <v>Перейти</v>
      </c>
      <c r="F6622" s="2">
        <v>3653</v>
      </c>
      <c r="G6622" s="4" t="s">
        <v>6864</v>
      </c>
      <c r="H6622" s="1">
        <v>4</v>
      </c>
      <c r="I6622" s="1">
        <v>0</v>
      </c>
      <c r="J6622" s="1">
        <v>0</v>
      </c>
      <c r="K6622" s="2">
        <v>3.78</v>
      </c>
    </row>
    <row r="6623" spans="1:12">
      <c r="A6623" s="3" t="s">
        <v>6419</v>
      </c>
      <c r="B6623" s="3" t="s">
        <v>6851</v>
      </c>
      <c r="C6623" s="3"/>
      <c r="D6623" s="3"/>
      <c r="E6623" s="2" t="str">
        <f>HYPERLINK("https://old.ukr-mobil.com/trafaret_bga_iphone_7_8505", "Перейти")</f>
        <v>Перейти</v>
      </c>
      <c r="F6623" s="2">
        <v>8505</v>
      </c>
      <c r="G6623" s="4" t="s">
        <v>6865</v>
      </c>
      <c r="H6623" s="1">
        <v>0</v>
      </c>
      <c r="I6623" s="1">
        <v>0</v>
      </c>
      <c r="J6623" s="1">
        <v>0</v>
      </c>
      <c r="K6623" s="2">
        <v>3.02</v>
      </c>
    </row>
    <row r="6624" spans="1:12">
      <c r="A6624" s="3" t="s">
        <v>6419</v>
      </c>
      <c r="B6624" s="3" t="s">
        <v>6851</v>
      </c>
      <c r="C6624" s="3"/>
      <c r="D6624" s="3"/>
      <c r="E6624" s="2" t="str">
        <f>HYPERLINK("https://old.ukr-mobil.com/trafaret_bga_iphone_7_plus_11004", "Перейти")</f>
        <v>Перейти</v>
      </c>
      <c r="F6624" s="2">
        <v>11004</v>
      </c>
      <c r="G6624" s="4" t="s">
        <v>6866</v>
      </c>
      <c r="H6624" s="1">
        <v>0</v>
      </c>
      <c r="I6624" s="1">
        <v>0</v>
      </c>
      <c r="J6624" s="1">
        <v>0</v>
      </c>
      <c r="K6624" s="2">
        <v>3.02</v>
      </c>
    </row>
    <row r="6625" spans="1:12">
      <c r="A6625" s="3" t="s">
        <v>6419</v>
      </c>
      <c r="B6625" s="3" t="s">
        <v>6851</v>
      </c>
      <c r="C6625" s="3"/>
      <c r="D6625" s="3"/>
      <c r="E6625" s="2" t="str">
        <f>HYPERLINK("https://old.ukr-mobil.com/trafaret_bga_iphone_8_10000379", "Перейти")</f>
        <v>Перейти</v>
      </c>
      <c r="F6625" s="2">
        <v>10000379</v>
      </c>
      <c r="G6625" s="4" t="s">
        <v>6867</v>
      </c>
      <c r="H6625" s="1">
        <v>6</v>
      </c>
      <c r="I6625" s="1">
        <v>0</v>
      </c>
      <c r="J6625" s="1">
        <v>0</v>
      </c>
      <c r="K6625" s="2">
        <v>3.02</v>
      </c>
    </row>
    <row r="6626" spans="1:12">
      <c r="A6626" s="3" t="s">
        <v>6419</v>
      </c>
      <c r="B6626" s="3" t="s">
        <v>6851</v>
      </c>
      <c r="C6626" s="3"/>
      <c r="D6626" s="3"/>
      <c r="E6626" s="2" t="str">
        <f>HYPERLINK("https://old.ukr-mobil.com/trafaret_bga_iphone_8_plus_10000378", "Перейти")</f>
        <v>Перейти</v>
      </c>
      <c r="F6626" s="2">
        <v>10000378</v>
      </c>
      <c r="G6626" s="4" t="s">
        <v>6868</v>
      </c>
      <c r="H6626" s="1">
        <v>8</v>
      </c>
      <c r="I6626" s="1">
        <v>0</v>
      </c>
      <c r="J6626" s="1">
        <v>0</v>
      </c>
      <c r="K6626" s="2">
        <v>3.02</v>
      </c>
    </row>
    <row r="6627" spans="1:12">
      <c r="A6627" s="3" t="s">
        <v>6419</v>
      </c>
      <c r="B6627" s="3" t="s">
        <v>6851</v>
      </c>
      <c r="C6627" s="3"/>
      <c r="D6627" s="3"/>
      <c r="E6627" s="2" t="str">
        <f>HYPERLINK("https://old.ukr-mobil.com/trafaret_bga_iphone_x_10000377", "Перейти")</f>
        <v>Перейти</v>
      </c>
      <c r="F6627" s="2">
        <v>10000377</v>
      </c>
      <c r="G6627" s="4" t="s">
        <v>6869</v>
      </c>
      <c r="H6627" s="1">
        <v>9</v>
      </c>
      <c r="I6627" s="1">
        <v>0</v>
      </c>
      <c r="J6627" s="1">
        <v>4</v>
      </c>
      <c r="K6627" s="2">
        <v>3.53</v>
      </c>
    </row>
    <row r="6628" spans="1:12">
      <c r="A6628" s="3" t="s">
        <v>6419</v>
      </c>
      <c r="B6628" s="3" t="s">
        <v>6851</v>
      </c>
      <c r="C6628" s="3"/>
      <c r="D6628" s="3"/>
      <c r="E6628" s="2" t="str">
        <f>HYPERLINK("https://old.ukr-mobil.com/trafaret_bga_samsung_g920_galaxy_s6_10000376", "Перейти")</f>
        <v>Перейти</v>
      </c>
      <c r="F6628" s="2">
        <v>10000376</v>
      </c>
      <c r="G6628" s="4" t="s">
        <v>6870</v>
      </c>
      <c r="H6628" s="1">
        <v>2</v>
      </c>
      <c r="I6628" s="1">
        <v>0</v>
      </c>
      <c r="J6628" s="1">
        <v>0</v>
      </c>
      <c r="K6628" s="2">
        <v>3.02</v>
      </c>
    </row>
    <row r="6629" spans="1:12">
      <c r="A6629" s="3" t="s">
        <v>6419</v>
      </c>
      <c r="B6629" s="3" t="s">
        <v>6851</v>
      </c>
      <c r="C6629" s="3"/>
      <c r="D6629" s="3"/>
      <c r="E6629" s="2" t="str">
        <f>HYPERLINK("https://old.ukr-mobil.com/trafaret_bga_samsung_g925_galaxy_s6_edge_10000374", "Перейти")</f>
        <v>Перейти</v>
      </c>
      <c r="F6629" s="2">
        <v>10000374</v>
      </c>
      <c r="G6629" s="4" t="s">
        <v>6871</v>
      </c>
      <c r="H6629" s="1">
        <v>5</v>
      </c>
      <c r="I6629" s="1">
        <v>0</v>
      </c>
      <c r="J6629" s="1">
        <v>0</v>
      </c>
      <c r="K6629" s="2">
        <v>3.02</v>
      </c>
    </row>
    <row r="6630" spans="1:12">
      <c r="A6630" s="3" t="s">
        <v>6419</v>
      </c>
      <c r="B6630" s="3" t="s">
        <v>6851</v>
      </c>
      <c r="C6630" s="3"/>
      <c r="D6630" s="3"/>
      <c r="E6630" s="2" t="str">
        <f>HYPERLINK("https://old.ukr-mobil.com/trafaret_bga_samsung_g930_galaxy_s7_11012", "Перейти")</f>
        <v>Перейти</v>
      </c>
      <c r="F6630" s="2">
        <v>11012</v>
      </c>
      <c r="G6630" s="4" t="s">
        <v>6872</v>
      </c>
      <c r="H6630" s="1">
        <v>9</v>
      </c>
      <c r="I6630" s="1">
        <v>0</v>
      </c>
      <c r="J6630" s="1">
        <v>0</v>
      </c>
      <c r="K6630" s="2">
        <v>3.02</v>
      </c>
    </row>
    <row r="6631" spans="1:12">
      <c r="A6631" s="3" t="s">
        <v>6419</v>
      </c>
      <c r="B6631" s="3" t="s">
        <v>6851</v>
      </c>
      <c r="C6631" s="3"/>
      <c r="D6631" s="3"/>
      <c r="E6631" s="2" t="str">
        <f>HYPERLINK("https://old.ukr-mobil.com/trafaret_bga_samsung_n900_galaxy_note_4_11011", "Перейти")</f>
        <v>Перейти</v>
      </c>
      <c r="F6631" s="2">
        <v>11011</v>
      </c>
      <c r="G6631" s="4" t="s">
        <v>6873</v>
      </c>
      <c r="H6631" s="1">
        <v>2</v>
      </c>
      <c r="I6631" s="1">
        <v>0</v>
      </c>
      <c r="J6631" s="1">
        <v>0</v>
      </c>
      <c r="K6631" s="2">
        <v>3.02</v>
      </c>
    </row>
    <row r="6632" spans="1:12">
      <c r="A6632" s="3" t="s">
        <v>6419</v>
      </c>
      <c r="B6632" s="3" t="s">
        <v>6851</v>
      </c>
      <c r="C6632" s="3"/>
      <c r="D6632" s="3"/>
      <c r="E6632" s="2" t="str">
        <f>HYPERLINK("https://old.ukr-mobil.com/trafaret_bga_samsung_n920_galaxy_note_5_11010", "Перейти")</f>
        <v>Перейти</v>
      </c>
      <c r="F6632" s="2">
        <v>11010</v>
      </c>
      <c r="G6632" s="4" t="s">
        <v>6874</v>
      </c>
      <c r="H6632" s="1">
        <v>4</v>
      </c>
      <c r="I6632" s="1">
        <v>0</v>
      </c>
      <c r="J6632" s="1">
        <v>0</v>
      </c>
      <c r="K6632" s="2">
        <v>3.02</v>
      </c>
    </row>
    <row r="6633" spans="1:12">
      <c r="A6633" s="3" t="s">
        <v>6419</v>
      </c>
      <c r="B6633" s="3" t="s">
        <v>6851</v>
      </c>
      <c r="C6633" s="3"/>
      <c r="D6633" s="3"/>
      <c r="E6633" s="2" t="str">
        <f>HYPERLINK("https://old.ukr-mobil.com/trafaret_bga_samsung_n950_galaxy_note_8_11014", "Перейти")</f>
        <v>Перейти</v>
      </c>
      <c r="F6633" s="2">
        <v>11014</v>
      </c>
      <c r="G6633" s="4" t="s">
        <v>6875</v>
      </c>
      <c r="H6633" s="1">
        <v>3</v>
      </c>
      <c r="I6633" s="1">
        <v>0</v>
      </c>
      <c r="J6633" s="1">
        <v>0</v>
      </c>
      <c r="K6633" s="2">
        <v>3.53</v>
      </c>
    </row>
    <row r="6634" spans="1:12">
      <c r="A6634" s="3" t="s">
        <v>6419</v>
      </c>
      <c r="B6634" s="3" t="s">
        <v>6851</v>
      </c>
      <c r="C6634" s="3"/>
      <c r="D6634" s="3"/>
      <c r="E6634" s="2" t="str">
        <f>HYPERLINK("https://old.ukr-mobil.com/trafaret_iphone_3gs_1573", "Перейти")</f>
        <v>Перейти</v>
      </c>
      <c r="F6634" s="2">
        <v>1573</v>
      </c>
      <c r="G6634" s="4" t="s">
        <v>6876</v>
      </c>
      <c r="H6634" s="1">
        <v>3</v>
      </c>
      <c r="I6634" s="1">
        <v>0</v>
      </c>
      <c r="J6634" s="1">
        <v>0</v>
      </c>
      <c r="K6634" s="2">
        <v>2.52</v>
      </c>
    </row>
    <row r="6635" spans="1:12">
      <c r="A6635" s="3" t="s">
        <v>6419</v>
      </c>
      <c r="B6635" s="3" t="s">
        <v>6851</v>
      </c>
      <c r="C6635" s="3"/>
      <c r="D6635" s="3"/>
      <c r="E6635" s="2" t="str">
        <f>HYPERLINK("https://old.ukr-mobil.com/trafaret_iphone_6_5643", "Перейти")</f>
        <v>Перейти</v>
      </c>
      <c r="F6635" s="2">
        <v>5643</v>
      </c>
      <c r="G6635" s="4" t="s">
        <v>6877</v>
      </c>
      <c r="H6635" s="1">
        <v>0</v>
      </c>
      <c r="I6635" s="1">
        <v>0</v>
      </c>
      <c r="J6635" s="1">
        <v>0</v>
      </c>
      <c r="K6635" s="2">
        <v>3.02</v>
      </c>
    </row>
    <row r="6636" spans="1:12">
      <c r="A6636" s="3" t="s">
        <v>6419</v>
      </c>
      <c r="B6636" s="3" t="s">
        <v>6851</v>
      </c>
      <c r="C6636" s="3"/>
      <c r="D6636" s="3"/>
      <c r="E6636" s="2" t="str">
        <f>HYPERLINK("https://old.ukr-mobil.com/trafaret_iphone_6_plus_5644", "Перейти")</f>
        <v>Перейти</v>
      </c>
      <c r="F6636" s="2">
        <v>5644</v>
      </c>
      <c r="G6636" s="4" t="s">
        <v>6878</v>
      </c>
      <c r="H6636" s="1">
        <v>0</v>
      </c>
      <c r="I6636" s="1">
        <v>0</v>
      </c>
      <c r="J6636" s="1">
        <v>0</v>
      </c>
      <c r="K6636" s="2">
        <v>3.02</v>
      </c>
    </row>
    <row r="6637" spans="1:12">
      <c r="A6637" s="3" t="s">
        <v>6419</v>
      </c>
      <c r="B6637" s="3" t="s">
        <v>6851</v>
      </c>
      <c r="C6637" s="3"/>
      <c r="D6637" s="3"/>
      <c r="E6637" s="2" t="str">
        <f>HYPERLINK("https://old.ukr-mobil.com/trafaret_iphone_6s_plus_11003", "Перейти")</f>
        <v>Перейти</v>
      </c>
      <c r="F6637" s="2">
        <v>11003</v>
      </c>
      <c r="G6637" s="4" t="s">
        <v>6879</v>
      </c>
      <c r="H6637" s="1">
        <v>9</v>
      </c>
      <c r="I6637" s="1">
        <v>0</v>
      </c>
      <c r="J6637" s="1">
        <v>2</v>
      </c>
      <c r="K6637" s="2">
        <v>3.02</v>
      </c>
    </row>
    <row r="6638" spans="1:12">
      <c r="A6638" s="3" t="s">
        <v>6419</v>
      </c>
      <c r="B6638" s="3" t="s">
        <v>6851</v>
      </c>
      <c r="C6638" s="3"/>
      <c r="D6638" s="3"/>
      <c r="E6638" s="2" t="str">
        <f>HYPERLINK("https://old.ukr-mobil.com/trafaret_nokia_c_n_series_3654", "Перейти")</f>
        <v>Перейти</v>
      </c>
      <c r="F6638" s="2">
        <v>3654</v>
      </c>
      <c r="G6638" s="4" t="s">
        <v>6880</v>
      </c>
      <c r="H6638" s="1">
        <v>0</v>
      </c>
      <c r="I6638" s="1">
        <v>0</v>
      </c>
      <c r="J6638" s="1">
        <v>0</v>
      </c>
      <c r="K6638" s="2">
        <v>4.54</v>
      </c>
    </row>
    <row r="6639" spans="1:12">
      <c r="A6639" s="3" t="s">
        <v>6419</v>
      </c>
      <c r="B6639" s="3" t="s">
        <v>6851</v>
      </c>
      <c r="C6639" s="3"/>
      <c r="D6639" s="3"/>
      <c r="E6639" s="2" t="str">
        <f>HYPERLINK("https://old.ukr-mobil.com/trafaret_qualcomm_cpu_a10_a20_5646", "Перейти")</f>
        <v>Перейти</v>
      </c>
      <c r="F6639" s="2">
        <v>5646</v>
      </c>
      <c r="G6639" s="4" t="s">
        <v>6881</v>
      </c>
      <c r="H6639" s="1">
        <v>0</v>
      </c>
      <c r="I6639" s="1">
        <v>0</v>
      </c>
      <c r="J6639" s="1">
        <v>0</v>
      </c>
      <c r="K6639" s="2">
        <v>3.53</v>
      </c>
    </row>
    <row r="6640" spans="1:12">
      <c r="A6640" s="3" t="s">
        <v>6419</v>
      </c>
      <c r="B6640" s="3" t="s">
        <v>6851</v>
      </c>
      <c r="C6640" s="3"/>
      <c r="D6640" s="3"/>
      <c r="E6640" s="2" t="str">
        <f>HYPERLINK("https://old.ukr-mobil.com/trafaret_relife_rl-044_ipz5_dlya_iphone_xr_iphone_xs_iphone_xs_max_cpu_a12_tolshchina_0_12_mm_10004340", "Перейти")</f>
        <v>Перейти</v>
      </c>
      <c r="F6640" s="2">
        <v>10004340</v>
      </c>
      <c r="G6640" s="4" t="s">
        <v>6882</v>
      </c>
      <c r="H6640" s="1">
        <v>0</v>
      </c>
      <c r="I6640" s="1">
        <v>1</v>
      </c>
      <c r="J6640" s="1">
        <v>1</v>
      </c>
      <c r="K6640" s="2">
        <v>5.0</v>
      </c>
    </row>
    <row r="6641" spans="1:12">
      <c r="A6641" s="3" t="s">
        <v>6419</v>
      </c>
      <c r="B6641" s="3" t="s">
        <v>6851</v>
      </c>
      <c r="C6641" s="3"/>
      <c r="D6641" s="3"/>
      <c r="E6641" s="2" t="str">
        <f>HYPERLINK("https://old.ukr-mobil.com/trafaret_relife_rl-044_ipz6_dlya_iphone_11_iphone_11_pro_iphone_11_pro_max_cpu_a13_tolshchina_0_12_mm_10004339", "Перейти")</f>
        <v>Перейти</v>
      </c>
      <c r="F6641" s="2">
        <v>10004339</v>
      </c>
      <c r="G6641" s="4" t="s">
        <v>6883</v>
      </c>
      <c r="H6641" s="1">
        <v>0</v>
      </c>
      <c r="I6641" s="1">
        <v>0</v>
      </c>
      <c r="J6641" s="1">
        <v>0</v>
      </c>
      <c r="K6641" s="2">
        <v>5.0</v>
      </c>
    </row>
    <row r="6642" spans="1:12">
      <c r="A6642" s="3" t="s">
        <v>6419</v>
      </c>
      <c r="B6642" s="3" t="s">
        <v>6851</v>
      </c>
      <c r="C6642" s="3"/>
      <c r="D6642" s="3"/>
      <c r="E6642" s="2" t="str">
        <f>HYPERLINK("https://old.ukr-mobil.com/trafaret_relife_rl-044_ipz7_dlya_iphone_12_iphone_12_pro_iphone_12_pro_max_12_mini_cpu_a14_tolshchina_0_12_mm_10004341", "Перейти")</f>
        <v>Перейти</v>
      </c>
      <c r="F6642" s="2">
        <v>10004341</v>
      </c>
      <c r="G6642" s="4" t="s">
        <v>6884</v>
      </c>
      <c r="H6642" s="1">
        <v>0</v>
      </c>
      <c r="I6642" s="1">
        <v>0</v>
      </c>
      <c r="J6642" s="1">
        <v>0</v>
      </c>
      <c r="K6642" s="2">
        <v>5.0</v>
      </c>
    </row>
    <row r="6643" spans="1:12">
      <c r="A6643" s="3" t="s">
        <v>6419</v>
      </c>
      <c r="B6643" s="3" t="s">
        <v>6851</v>
      </c>
      <c r="C6643" s="3"/>
      <c r="D6643" s="3"/>
      <c r="E6643" s="2" t="str">
        <f>HYPERLINK("https://old.ukr-mobil.com/trafaret_relife_rl-044_ipz7_dlya_iphone_13_iphone_13_pro_iphone_13_pro_max_13_mini_cpu_a15_tolshchina_0_12_mm_10004342", "Перейти")</f>
        <v>Перейти</v>
      </c>
      <c r="F6643" s="2">
        <v>10004342</v>
      </c>
      <c r="G6643" s="4" t="s">
        <v>6885</v>
      </c>
      <c r="H6643" s="1">
        <v>0</v>
      </c>
      <c r="I6643" s="1">
        <v>0</v>
      </c>
      <c r="J6643" s="1">
        <v>0</v>
      </c>
      <c r="K6643" s="2">
        <v>6.0</v>
      </c>
    </row>
    <row r="6644" spans="1:12">
      <c r="A6644" s="3" t="s">
        <v>6419</v>
      </c>
      <c r="B6644" s="3" t="s">
        <v>6851</v>
      </c>
      <c r="C6644" s="3"/>
      <c r="D6644" s="3"/>
      <c r="E6644" s="2" t="str">
        <f>HYPERLINK("https://old.ukr-mobil.com/trafaret_relife_rl-044_ot2_emmc_emcp_nand_10004322", "Перейти")</f>
        <v>Перейти</v>
      </c>
      <c r="F6644" s="2">
        <v>10004322</v>
      </c>
      <c r="G6644" s="4" t="s">
        <v>6886</v>
      </c>
      <c r="H6644" s="1">
        <v>4</v>
      </c>
      <c r="I6644" s="1">
        <v>1</v>
      </c>
      <c r="J6644" s="1">
        <v>1</v>
      </c>
      <c r="K6644" s="2">
        <v>4.5</v>
      </c>
    </row>
    <row r="6645" spans="1:12">
      <c r="A6645" s="3" t="s">
        <v>6419</v>
      </c>
      <c r="B6645" s="3" t="s">
        <v>6851</v>
      </c>
      <c r="C6645" s="3"/>
      <c r="D6645" s="3"/>
      <c r="E6645" s="2" t="str">
        <f>HYPERLINK("https://old.ukr-mobil.com/trafaret_relife_rl-044_universal_pod_mikroskhemy_s_shagom_0_3_mm_0_35_mm_0_4_mm_0_5_mm_10004338", "Перейти")</f>
        <v>Перейти</v>
      </c>
      <c r="F6645" s="2">
        <v>10004338</v>
      </c>
      <c r="G6645" s="4" t="s">
        <v>6887</v>
      </c>
      <c r="H6645" s="1">
        <v>0</v>
      </c>
      <c r="I6645" s="1">
        <v>0</v>
      </c>
      <c r="J6645" s="1">
        <v>0</v>
      </c>
      <c r="K6645" s="2">
        <v>4.5</v>
      </c>
    </row>
    <row r="6646" spans="1:12">
      <c r="A6646" s="3" t="s">
        <v>6419</v>
      </c>
      <c r="B6646" s="3" t="s">
        <v>6851</v>
      </c>
      <c r="C6646" s="3"/>
      <c r="D6646" s="3"/>
      <c r="E6646" s="2" t="str">
        <f>HYPERLINK("https://old.ukr-mobil.com/trafaret_universal_0_3_1_27_5003", "Перейти")</f>
        <v>Перейти</v>
      </c>
      <c r="F6646" s="2">
        <v>5003</v>
      </c>
      <c r="G6646" s="4" t="s">
        <v>6888</v>
      </c>
      <c r="H6646" s="1">
        <v>0</v>
      </c>
      <c r="I6646" s="1">
        <v>0</v>
      </c>
      <c r="J6646" s="1">
        <v>0</v>
      </c>
      <c r="K6646" s="2">
        <v>3.53</v>
      </c>
    </row>
    <row r="6647" spans="1:12">
      <c r="A6647" s="3" t="s">
        <v>6419</v>
      </c>
      <c r="B6647" s="3" t="s">
        <v>6851</v>
      </c>
      <c r="C6647" s="3"/>
      <c r="D6647" s="3"/>
      <c r="E6647" s="2" t="str">
        <f>HYPERLINK("https://old.ukr-mobil.com/trafaret_universal_vip12_mother_board_5006", "Перейти")</f>
        <v>Перейти</v>
      </c>
      <c r="F6647" s="2">
        <v>5006</v>
      </c>
      <c r="G6647" s="4" t="s">
        <v>6889</v>
      </c>
      <c r="H6647" s="1">
        <v>0</v>
      </c>
      <c r="I6647" s="1">
        <v>0</v>
      </c>
      <c r="J6647" s="1">
        <v>0</v>
      </c>
      <c r="K6647" s="2">
        <v>3.02</v>
      </c>
    </row>
    <row r="6648" spans="1:12">
      <c r="A6648" s="3" t="s">
        <v>6890</v>
      </c>
      <c r="B6648" s="3"/>
      <c r="C6648" s="3"/>
      <c r="D6648" s="3"/>
      <c r="E6648" s="2" t="str">
        <f>HYPERLINK("https://old.ukr-mobil.com/akkumulyator_pmnn4544a_dlya_racii_motorola_serii_dp4000_dp4800_dp4801_dp4600_dp4601_dp4400_dp4401_dp4801_3000_mah_10004525", "Перейти")</f>
        <v>Перейти</v>
      </c>
      <c r="F6648" s="2">
        <v>10004525</v>
      </c>
      <c r="G6648" s="4" t="s">
        <v>6891</v>
      </c>
      <c r="H6648" s="1">
        <v>156</v>
      </c>
      <c r="I6648" s="1">
        <v>22</v>
      </c>
      <c r="J6648" s="1">
        <v>25</v>
      </c>
      <c r="K6648" s="2">
        <v>22.0</v>
      </c>
    </row>
    <row r="6649" spans="1:12">
      <c r="A6649" s="3" t="s">
        <v>6890</v>
      </c>
      <c r="B6649" s="3"/>
      <c r="C6649" s="3"/>
      <c r="D6649" s="3"/>
      <c r="E6649" s="2" t="str">
        <f>HYPERLINK("https://old.ukr-mobil.com/index.php?route=product&amp;product_id=10004819", "Перейти")</f>
        <v>Перейти</v>
      </c>
      <c r="F6649" s="2">
        <v>10004819</v>
      </c>
      <c r="G6649" s="4" t="s">
        <v>6892</v>
      </c>
      <c r="H6649" s="1">
        <v>0</v>
      </c>
      <c r="I6649" s="1">
        <v>0</v>
      </c>
      <c r="J6649" s="1">
        <v>0</v>
      </c>
      <c r="K6649" s="2">
        <v>15.0</v>
      </c>
    </row>
    <row r="6650" spans="1:12">
      <c r="A6650" s="3" t="s">
        <v>6890</v>
      </c>
      <c r="B6650" s="3"/>
      <c r="C6650" s="3"/>
      <c r="D6650" s="3"/>
      <c r="E6650" s="2" t="str">
        <f>HYPERLINK("https://old.ukr-mobil.com/index.php?route=product&amp;product_id=10004820", "Перейти")</f>
        <v>Перейти</v>
      </c>
      <c r="F6650" s="2">
        <v>10004820</v>
      </c>
      <c r="G6650" s="4" t="s">
        <v>6893</v>
      </c>
      <c r="H6650" s="1">
        <v>1</v>
      </c>
      <c r="I6650" s="1">
        <v>0</v>
      </c>
      <c r="J6650" s="1">
        <v>0</v>
      </c>
      <c r="K6650" s="2">
        <v>22.0</v>
      </c>
    </row>
    <row r="6651" spans="1:12">
      <c r="A6651" s="3" t="s">
        <v>6890</v>
      </c>
      <c r="B6651" s="3"/>
      <c r="C6651" s="3"/>
      <c r="D6651" s="3"/>
      <c r="E6651" s="2" t="str">
        <f>HYPERLINK("https://old.ukr-mobil.com/index.php?route=product&amp;product_id=10004957", "Перейти")</f>
        <v>Перейти</v>
      </c>
      <c r="F6651" s="2">
        <v>10004957</v>
      </c>
      <c r="G6651" s="4" t="s">
        <v>6894</v>
      </c>
      <c r="H6651" s="1">
        <v>12</v>
      </c>
      <c r="I6651" s="1">
        <v>0</v>
      </c>
      <c r="J6651" s="1">
        <v>0</v>
      </c>
      <c r="K6651" s="2">
        <v>70.0</v>
      </c>
    </row>
    <row r="6652" spans="1:12">
      <c r="A6652" s="3" t="s">
        <v>6890</v>
      </c>
      <c r="B6652" s="3"/>
      <c r="C6652" s="3"/>
      <c r="D6652" s="3"/>
      <c r="E6652" s="2" t="str">
        <f>HYPERLINK("https://old.ukr-mobil.com/raciya_motorola_dp4400e_vhf_136-174_mgc_5w_10004998", "Перейти")</f>
        <v>Перейти</v>
      </c>
      <c r="F6652" s="2">
        <v>10004998</v>
      </c>
      <c r="G6652" s="4" t="s">
        <v>6895</v>
      </c>
      <c r="H6652" s="1">
        <v>0</v>
      </c>
      <c r="I6652" s="1">
        <v>0</v>
      </c>
      <c r="J6652" s="1">
        <v>0</v>
      </c>
      <c r="K6652" s="2">
        <v>300.0</v>
      </c>
    </row>
    <row r="6653" spans="1:12">
      <c r="A6653" s="3" t="s">
        <v>6890</v>
      </c>
      <c r="B6653" s="3"/>
      <c r="C6653" s="3"/>
      <c r="D6653" s="3"/>
      <c r="E6653" s="2" t="str">
        <f>HYPERLINK("https://old.ukr-mobil.com/index.php?route=product&amp;product_id=10004818", "Перейти")</f>
        <v>Перейти</v>
      </c>
      <c r="F6653" s="2">
        <v>10004818</v>
      </c>
      <c r="G6653" s="4" t="s">
        <v>6896</v>
      </c>
      <c r="H6653" s="1">
        <v>0</v>
      </c>
      <c r="I6653" s="1">
        <v>0</v>
      </c>
      <c r="J6653" s="1">
        <v>0</v>
      </c>
      <c r="K6653" s="2">
        <v>540.0</v>
      </c>
    </row>
    <row r="6654" spans="1:12">
      <c r="A6654" s="3" t="s">
        <v>6897</v>
      </c>
      <c r="B6654" s="3"/>
      <c r="C6654" s="3"/>
      <c r="D6654" s="3"/>
      <c r="E6654" s="2" t="str">
        <f>HYPERLINK("https://old.ukr-mobil.com/index.php?route=product&amp;product_id=10006220", "Перейти")</f>
        <v>Перейти</v>
      </c>
      <c r="F6654" s="2">
        <v>10006220</v>
      </c>
      <c r="G6654" s="4" t="s">
        <v>6898</v>
      </c>
      <c r="H6654" s="1">
        <v>4</v>
      </c>
      <c r="I6654" s="1">
        <v>0</v>
      </c>
      <c r="J6654" s="1">
        <v>0</v>
      </c>
      <c r="K6654" s="2">
        <v>3550.0</v>
      </c>
    </row>
    <row r="6655" spans="1:12">
      <c r="A6655" s="3" t="s">
        <v>6897</v>
      </c>
      <c r="B6655" s="3"/>
      <c r="C6655" s="3"/>
      <c r="D6655" s="3"/>
      <c r="E6655" s="2" t="str">
        <f>HYPERLINK("https://old.ukr-mobil.com/index.php?route=product&amp;product_id=10006221", "Перейти")</f>
        <v>Перейти</v>
      </c>
      <c r="F6655" s="2">
        <v>10006221</v>
      </c>
      <c r="G6655" s="4" t="s">
        <v>6899</v>
      </c>
      <c r="H6655" s="1">
        <v>4</v>
      </c>
      <c r="I6655" s="1">
        <v>0</v>
      </c>
      <c r="J6655" s="1">
        <v>0</v>
      </c>
      <c r="K6655" s="2">
        <v>5200.0</v>
      </c>
    </row>
    <row r="6656" spans="1:12">
      <c r="A6656" s="3" t="s">
        <v>6900</v>
      </c>
      <c r="B6656" s="3" t="s">
        <v>6901</v>
      </c>
      <c r="C6656" s="3"/>
      <c r="D6656" s="3"/>
      <c r="E6656" s="2" t="str">
        <f>HYPERLINK("https://old.ukr-mobil.com/akkumulyator_vysokotokovyj_inr18650-26e_2600_mah_18650_10002187", "Перейти")</f>
        <v>Перейти</v>
      </c>
      <c r="F6656" s="2">
        <v>10002187</v>
      </c>
      <c r="G6656" s="4" t="s">
        <v>6902</v>
      </c>
      <c r="H6656" s="1">
        <v>0</v>
      </c>
      <c r="I6656" s="1">
        <v>0</v>
      </c>
      <c r="J6656" s="1">
        <v>0</v>
      </c>
      <c r="K6656" s="2">
        <v>2.5</v>
      </c>
    </row>
    <row r="6657" spans="1:12">
      <c r="A6657" s="3" t="s">
        <v>6900</v>
      </c>
      <c r="B6657" s="3" t="s">
        <v>6901</v>
      </c>
      <c r="C6657" s="3"/>
      <c r="D6657" s="3"/>
      <c r="E6657" s="2" t="str">
        <f>HYPERLINK("https://old.ukr-mobil.com/akkumulyator_eve_icr18650-26v_2600_mah_3_7_v_tok_rozryada_max_30a_10003178", "Перейти")</f>
        <v>Перейти</v>
      </c>
      <c r="F6657" s="2">
        <v>10003178</v>
      </c>
      <c r="G6657" s="4" t="s">
        <v>6903</v>
      </c>
      <c r="H6657" s="1">
        <v>77</v>
      </c>
      <c r="I6657" s="1">
        <v>122</v>
      </c>
      <c r="J6657" s="1">
        <v>801</v>
      </c>
      <c r="K6657" s="2">
        <v>2.1</v>
      </c>
    </row>
    <row r="6658" spans="1:12">
      <c r="A6658" s="3" t="s">
        <v>6900</v>
      </c>
      <c r="B6658" s="3" t="s">
        <v>6901</v>
      </c>
      <c r="C6658" s="3"/>
      <c r="D6658" s="3"/>
      <c r="E6658" s="2" t="str">
        <f>HYPERLINK("https://old.ukr-mobil.com/akkumulyator_fsd_18650_2600_mah_3_6_4_2_v_tok_rozryada_max_10_4a_10003181", "Перейти")</f>
        <v>Перейти</v>
      </c>
      <c r="F6658" s="2">
        <v>10003181</v>
      </c>
      <c r="G6658" s="4" t="s">
        <v>6904</v>
      </c>
      <c r="H6658" s="1">
        <v>9882</v>
      </c>
      <c r="I6658" s="1">
        <v>103</v>
      </c>
      <c r="J6658" s="1">
        <v>0</v>
      </c>
      <c r="K6658" s="2">
        <v>2.1</v>
      </c>
    </row>
    <row r="6659" spans="1:12">
      <c r="A6659" s="3" t="s">
        <v>6900</v>
      </c>
      <c r="B6659" s="3" t="s">
        <v>6901</v>
      </c>
      <c r="C6659" s="3"/>
      <c r="D6659" s="3"/>
      <c r="E6659" s="2" t="str">
        <f>HYPERLINK("https://old.ukr-mobil.com/akkumulyator_inr18650_2500_mah_3_65_v_soprotivlenie_17_20_om_data_proizvodstva_25_02_2021_10001749", "Перейти")</f>
        <v>Перейти</v>
      </c>
      <c r="F6659" s="2">
        <v>10001749</v>
      </c>
      <c r="G6659" s="4" t="s">
        <v>6905</v>
      </c>
      <c r="H6659" s="1">
        <v>1</v>
      </c>
      <c r="I6659" s="1">
        <v>0</v>
      </c>
      <c r="J6659" s="1">
        <v>0</v>
      </c>
      <c r="K6659" s="2">
        <v>2.5</v>
      </c>
    </row>
    <row r="6660" spans="1:12">
      <c r="A6660" s="3" t="s">
        <v>6900</v>
      </c>
      <c r="B6660" s="3" t="s">
        <v>6901</v>
      </c>
      <c r="C6660" s="3"/>
      <c r="D6660" s="3"/>
      <c r="E6660" s="2" t="str">
        <f>HYPERLINK("https://old.ukr-mobil.com/akkumulyator_lishen_lr1865sk_2600_mah_3_7_v_tok_rozryada_max_5a_18650_10003180", "Перейти")</f>
        <v>Перейти</v>
      </c>
      <c r="F6660" s="2">
        <v>10003180</v>
      </c>
      <c r="G6660" s="4" t="s">
        <v>6906</v>
      </c>
      <c r="H6660" s="1">
        <v>4997</v>
      </c>
      <c r="I6660" s="1">
        <v>0</v>
      </c>
      <c r="J6660" s="1">
        <v>0</v>
      </c>
      <c r="K6660" s="2">
        <v>2.25</v>
      </c>
    </row>
    <row r="6661" spans="1:12">
      <c r="A6661" s="3" t="s">
        <v>6900</v>
      </c>
      <c r="B6661" s="3" t="s">
        <v>6901</v>
      </c>
      <c r="C6661" s="3"/>
      <c r="D6661" s="3"/>
      <c r="E6661" s="2" t="str">
        <f>HYPERLINK("https://old.ukr-mobil.com/akkumulyator_lishen_lr1865ss_3000mah_3_7_v_max_6a_18650_10005118", "Перейти")</f>
        <v>Перейти</v>
      </c>
      <c r="F6661" s="2">
        <v>10005118</v>
      </c>
      <c r="G6661" s="4" t="s">
        <v>6907</v>
      </c>
      <c r="H6661" s="1">
        <v>0</v>
      </c>
      <c r="I6661" s="1">
        <v>0</v>
      </c>
      <c r="J6661" s="1">
        <v>0</v>
      </c>
      <c r="K6661" s="2">
        <v>3.35</v>
      </c>
    </row>
    <row r="6662" spans="1:12">
      <c r="A6662" s="3" t="s">
        <v>6900</v>
      </c>
      <c r="B6662" s="3" t="s">
        <v>6901</v>
      </c>
      <c r="C6662" s="3"/>
      <c r="D6662" s="3"/>
      <c r="E6662" s="2" t="str">
        <f>HYPERLINK("https://old.ukr-mobil.com/akkumulyator_lishen_lr1865la_2000_mah_3_7_v_tok_rozryada_max_20a_18650_10003182", "Перейти")</f>
        <v>Перейти</v>
      </c>
      <c r="F6662" s="2">
        <v>10003182</v>
      </c>
      <c r="G6662" s="4" t="s">
        <v>6908</v>
      </c>
      <c r="H6662" s="1">
        <v>0</v>
      </c>
      <c r="I6662" s="1">
        <v>0</v>
      </c>
      <c r="J6662" s="1">
        <v>1</v>
      </c>
      <c r="K6662" s="2">
        <v>2.5</v>
      </c>
    </row>
    <row r="6663" spans="1:12">
      <c r="A6663" s="3" t="s">
        <v>6900</v>
      </c>
      <c r="B6663" s="3" t="s">
        <v>6901</v>
      </c>
      <c r="C6663" s="3"/>
      <c r="D6663" s="3"/>
      <c r="E6663" s="2" t="str">
        <f>HYPERLINK("https://old.ukr-mobil.com/akkumulyator_sinowatt_sw18650-34mp_3400_mah_3_6_v_tok_rozryada_max_9_75a_10003183", "Перейти")</f>
        <v>Перейти</v>
      </c>
      <c r="F6663" s="2">
        <v>10003183</v>
      </c>
      <c r="G6663" s="4" t="s">
        <v>6909</v>
      </c>
      <c r="H6663" s="1">
        <v>0</v>
      </c>
      <c r="I6663" s="1">
        <v>0</v>
      </c>
      <c r="J6663" s="1">
        <v>0</v>
      </c>
      <c r="K6663" s="2">
        <v>4.15</v>
      </c>
    </row>
    <row r="6664" spans="1:12">
      <c r="A6664" s="3" t="s">
        <v>6900</v>
      </c>
      <c r="B6664" s="3" t="s">
        <v>6901</v>
      </c>
      <c r="C6664" s="3"/>
      <c r="D6664" s="3"/>
      <c r="E6664" s="2" t="str">
        <f>HYPERLINK("https://old.ukr-mobil.com/index.php?route=product&amp;product_id=10006238", "Перейти")</f>
        <v>Перейти</v>
      </c>
      <c r="F6664" s="2">
        <v>10006238</v>
      </c>
      <c r="G6664" s="4" t="s">
        <v>6910</v>
      </c>
      <c r="H6664" s="1">
        <v>800</v>
      </c>
      <c r="I6664" s="1">
        <v>0</v>
      </c>
      <c r="J6664" s="1">
        <v>0</v>
      </c>
      <c r="K6664" s="2">
        <v>2.5</v>
      </c>
    </row>
    <row r="6665" spans="1:12">
      <c r="A6665" s="3" t="s">
        <v>6900</v>
      </c>
      <c r="B6665" s="3" t="s">
        <v>6901</v>
      </c>
      <c r="C6665" s="3"/>
      <c r="D6665" s="3"/>
      <c r="E6665" s="2" t="str">
        <f>HYPERLINK("https://old.ukr-mobil.com/akkumulyator_inr18650-30e_3000mah_6a_18650_10002188", "Перейти")</f>
        <v>Перейти</v>
      </c>
      <c r="F6665" s="2">
        <v>10002188</v>
      </c>
      <c r="G6665" s="4" t="s">
        <v>6911</v>
      </c>
      <c r="H6665" s="1">
        <v>7</v>
      </c>
      <c r="I6665" s="1">
        <v>0</v>
      </c>
      <c r="J6665" s="1">
        <v>0</v>
      </c>
      <c r="K6665" s="2">
        <v>3.0</v>
      </c>
    </row>
    <row r="6666" spans="1:12">
      <c r="A6666" s="3" t="s">
        <v>6900</v>
      </c>
      <c r="B6666" s="3" t="s">
        <v>6901</v>
      </c>
      <c r="C6666" s="3"/>
      <c r="D6666" s="3"/>
      <c r="E6666" s="2" t="str">
        <f>HYPERLINK("https://old.ukr-mobil.com/akkumulyator_lishen_lr1865sz_2500_mah_18650_vysokotokovyj_10002186", "Перейти")</f>
        <v>Перейти</v>
      </c>
      <c r="F6666" s="2">
        <v>10002186</v>
      </c>
      <c r="G6666" s="4" t="s">
        <v>6912</v>
      </c>
      <c r="H6666" s="1">
        <v>0</v>
      </c>
      <c r="I6666" s="1">
        <v>0</v>
      </c>
      <c r="J6666" s="1">
        <v>0</v>
      </c>
      <c r="K6666" s="2">
        <v>2.9</v>
      </c>
    </row>
    <row r="6667" spans="1:12">
      <c r="A6667" s="3" t="s">
        <v>6900</v>
      </c>
      <c r="B6667" s="3" t="s">
        <v>6913</v>
      </c>
      <c r="C6667" s="3"/>
      <c r="D6667" s="3"/>
      <c r="E6667" s="2" t="str">
        <f>HYPERLINK("https://old.ukr-mobil.com/index.php?route=product&amp;product_id=10006203", "Перейти")</f>
        <v>Перейти</v>
      </c>
      <c r="F6667" s="2">
        <v>10006203</v>
      </c>
      <c r="G6667" s="4" t="s">
        <v>6914</v>
      </c>
      <c r="H6667" s="1">
        <v>1770</v>
      </c>
      <c r="I6667" s="1">
        <v>0</v>
      </c>
      <c r="J6667" s="1">
        <v>0</v>
      </c>
      <c r="K6667" s="2">
        <v>3.75</v>
      </c>
    </row>
    <row r="6668" spans="1:12">
      <c r="A6668" s="3" t="s">
        <v>6900</v>
      </c>
      <c r="B6668" s="3" t="s">
        <v>6913</v>
      </c>
      <c r="C6668" s="3"/>
      <c r="D6668" s="3"/>
      <c r="E6668" s="2" t="str">
        <f>HYPERLINK("https://old.ukr-mobil.com/akkumulyator_vysokotokovyj_lishen_lr2170sd_5000_mah_21700_10004498", "Перейти")</f>
        <v>Перейти</v>
      </c>
      <c r="F6668" s="2">
        <v>10004498</v>
      </c>
      <c r="G6668" s="4" t="s">
        <v>6915</v>
      </c>
      <c r="H6668" s="1">
        <v>52</v>
      </c>
      <c r="I6668" s="1">
        <v>0</v>
      </c>
      <c r="J6668" s="1">
        <v>124</v>
      </c>
      <c r="K6668" s="2">
        <v>4.35</v>
      </c>
    </row>
    <row r="6669" spans="1:12">
      <c r="A6669" s="3" t="s">
        <v>6900</v>
      </c>
      <c r="B6669" s="3" t="s">
        <v>6913</v>
      </c>
      <c r="C6669" s="3"/>
      <c r="D6669" s="3"/>
      <c r="E6669" s="2" t="str">
        <f>HYPERLINK("https://old.ukr-mobil.com/index.php?route=product&amp;product_id=10006206", "Перейти")</f>
        <v>Перейти</v>
      </c>
      <c r="F6669" s="2">
        <v>10006206</v>
      </c>
      <c r="G6669" s="4" t="s">
        <v>6916</v>
      </c>
      <c r="H6669" s="1">
        <v>4916</v>
      </c>
      <c r="I6669" s="1">
        <v>0</v>
      </c>
      <c r="J6669" s="1">
        <v>0</v>
      </c>
      <c r="K6669" s="2">
        <v>3.1</v>
      </c>
    </row>
    <row r="6670" spans="1:12">
      <c r="A6670" s="3" t="s">
        <v>6900</v>
      </c>
      <c r="B6670" s="3" t="s">
        <v>6913</v>
      </c>
      <c r="C6670" s="3"/>
      <c r="D6670" s="3"/>
      <c r="E6670" s="2" t="str">
        <f>HYPERLINK("https://old.ukr-mobil.com/akkumulyator_vysokotokovyj_lr2170la_4000_mah_21700_10002189", "Перейти")</f>
        <v>Перейти</v>
      </c>
      <c r="F6670" s="2">
        <v>10002189</v>
      </c>
      <c r="G6670" s="4" t="s">
        <v>6917</v>
      </c>
      <c r="H6670" s="1">
        <v>25255</v>
      </c>
      <c r="I6670" s="1">
        <v>28</v>
      </c>
      <c r="J6670" s="1">
        <v>1</v>
      </c>
      <c r="K6670" s="2">
        <v>2.6</v>
      </c>
    </row>
    <row r="6671" spans="1:12">
      <c r="A6671" s="3" t="s">
        <v>6900</v>
      </c>
      <c r="B6671" s="3" t="s">
        <v>6913</v>
      </c>
      <c r="C6671" s="3"/>
      <c r="D6671" s="3"/>
      <c r="E6671" s="2" t="str">
        <f>HYPERLINK("https://old.ukr-mobil.com/index.php?route=product&amp;product_id=10005750", "Перейти")</f>
        <v>Перейти</v>
      </c>
      <c r="F6671" s="2">
        <v>10005750</v>
      </c>
      <c r="G6671" s="4" t="s">
        <v>6918</v>
      </c>
      <c r="H6671" s="1">
        <v>6820</v>
      </c>
      <c r="I6671" s="1">
        <v>66</v>
      </c>
      <c r="J6671" s="1">
        <v>145</v>
      </c>
      <c r="K6671" s="2">
        <v>4.35</v>
      </c>
    </row>
    <row r="6672" spans="1:12">
      <c r="A6672" s="3" t="s">
        <v>6900</v>
      </c>
      <c r="B6672" s="3" t="s">
        <v>6913</v>
      </c>
      <c r="C6672" s="3"/>
      <c r="D6672" s="3"/>
      <c r="E6672" s="2" t="str">
        <f>HYPERLINK("https://old.ukr-mobil.com/index.php?route=product&amp;product_id=10006232", "Перейти")</f>
        <v>Перейти</v>
      </c>
      <c r="F6672" s="2">
        <v>10006232</v>
      </c>
      <c r="G6672" s="4" t="s">
        <v>6919</v>
      </c>
      <c r="H6672" s="1">
        <v>1000</v>
      </c>
      <c r="I6672" s="1">
        <v>0</v>
      </c>
      <c r="J6672" s="1">
        <v>0</v>
      </c>
      <c r="K6672" s="2">
        <v>16.0</v>
      </c>
    </row>
    <row r="6673" spans="1:12">
      <c r="A6673" s="3" t="s">
        <v>6900</v>
      </c>
      <c r="B6673" s="3" t="s">
        <v>6913</v>
      </c>
      <c r="C6673" s="3"/>
      <c r="D6673" s="3"/>
      <c r="E6673" s="2" t="str">
        <f>HYPERLINK("https://old.ukr-mobil.com/index.php?route=product&amp;product_id=10006205", "Перейти")</f>
        <v>Перейти</v>
      </c>
      <c r="F6673" s="2">
        <v>10006205</v>
      </c>
      <c r="G6673" s="4" t="s">
        <v>6920</v>
      </c>
      <c r="H6673" s="1">
        <v>5000</v>
      </c>
      <c r="I6673" s="1">
        <v>0</v>
      </c>
      <c r="J6673" s="1">
        <v>0</v>
      </c>
      <c r="K6673" s="2">
        <v>4.85</v>
      </c>
    </row>
    <row r="6674" spans="1:12">
      <c r="A6674" s="3" t="s">
        <v>6900</v>
      </c>
      <c r="B6674" s="3" t="s">
        <v>6913</v>
      </c>
      <c r="C6674" s="3"/>
      <c r="D6674" s="3"/>
      <c r="E6674" s="2" t="str">
        <f>HYPERLINK("https://old.ukr-mobil.com/index.php?route=product&amp;product_id=10006234", "Перейти")</f>
        <v>Перейти</v>
      </c>
      <c r="F6674" s="2">
        <v>10006234</v>
      </c>
      <c r="G6674" s="4" t="s">
        <v>6921</v>
      </c>
      <c r="H6674" s="1">
        <v>3580</v>
      </c>
      <c r="I6674" s="1">
        <v>0</v>
      </c>
      <c r="J6674" s="1">
        <v>0</v>
      </c>
      <c r="K6674" s="2">
        <v>5.0</v>
      </c>
    </row>
    <row r="6675" spans="1:12">
      <c r="A6675" s="3" t="s">
        <v>6900</v>
      </c>
      <c r="B6675" s="3" t="s">
        <v>6913</v>
      </c>
      <c r="C6675" s="3"/>
      <c r="D6675" s="3"/>
      <c r="E6675" s="2" t="str">
        <f>HYPERLINK("https://old.ukr-mobil.com/index.php?route=product&amp;product_id=10006208", "Перейти")</f>
        <v>Перейти</v>
      </c>
      <c r="F6675" s="2">
        <v>10006208</v>
      </c>
      <c r="G6675" s="4" t="s">
        <v>6922</v>
      </c>
      <c r="H6675" s="1">
        <v>7496</v>
      </c>
      <c r="I6675" s="1">
        <v>0</v>
      </c>
      <c r="J6675" s="1">
        <v>0</v>
      </c>
      <c r="K6675" s="2">
        <v>3.0</v>
      </c>
    </row>
    <row r="6676" spans="1:12">
      <c r="A6676" s="3" t="s">
        <v>6900</v>
      </c>
      <c r="B6676" s="3" t="s">
        <v>6923</v>
      </c>
      <c r="C6676" s="3"/>
      <c r="D6676" s="3"/>
      <c r="E6676" s="2" t="str">
        <f>HYPERLINK("https://old.ukr-mobil.com/index.php?route=product&amp;product_id=10006200", "Перейти")</f>
        <v>Перейти</v>
      </c>
      <c r="F6676" s="2">
        <v>10006200</v>
      </c>
      <c r="G6676" s="4" t="s">
        <v>6924</v>
      </c>
      <c r="H6676" s="1">
        <v>0</v>
      </c>
      <c r="I6676" s="1">
        <v>0</v>
      </c>
      <c r="J6676" s="1">
        <v>0</v>
      </c>
      <c r="K6676" s="2">
        <v>0.0</v>
      </c>
    </row>
    <row r="6677" spans="1:12">
      <c r="A6677" s="3" t="s">
        <v>6900</v>
      </c>
      <c r="B6677" s="3" t="s">
        <v>6925</v>
      </c>
      <c r="C6677" s="3"/>
      <c r="D6677" s="3"/>
      <c r="E6677" s="2" t="str">
        <f>HYPERLINK("https://old.ukr-mobil.com/index.php?route=product&amp;product_id=10006204", "Перейти")</f>
        <v>Перейти</v>
      </c>
      <c r="F6677" s="2">
        <v>10006204</v>
      </c>
      <c r="G6677" s="4" t="s">
        <v>6926</v>
      </c>
      <c r="H6677" s="1">
        <v>0</v>
      </c>
      <c r="I6677" s="1">
        <v>0</v>
      </c>
      <c r="J6677" s="1">
        <v>0</v>
      </c>
      <c r="K6677" s="2">
        <v>0.0</v>
      </c>
    </row>
    <row r="6678" spans="1:12">
      <c r="A6678" s="3" t="s">
        <v>6900</v>
      </c>
      <c r="B6678" s="3" t="s">
        <v>6925</v>
      </c>
      <c r="C6678" s="3"/>
      <c r="D6678" s="3"/>
      <c r="E6678" s="2" t="str">
        <f>HYPERLINK("https://old.ukr-mobil.com/akkumulyator_headway_38120_hp_lifepo4_3_2v_10ah_10003498", "Перейти")</f>
        <v>Перейти</v>
      </c>
      <c r="F6678" s="2">
        <v>10003498</v>
      </c>
      <c r="G6678" s="4" t="s">
        <v>6927</v>
      </c>
      <c r="H6678" s="1">
        <v>222</v>
      </c>
      <c r="I6678" s="1">
        <v>43</v>
      </c>
      <c r="J6678" s="1">
        <v>0</v>
      </c>
      <c r="K6678" s="2">
        <v>11.0</v>
      </c>
    </row>
    <row r="6679" spans="1:12">
      <c r="A6679" s="3" t="s">
        <v>6900</v>
      </c>
      <c r="B6679" s="3" t="s">
        <v>6928</v>
      </c>
      <c r="C6679" s="3"/>
      <c r="D6679" s="3"/>
      <c r="E6679" s="2" t="str">
        <f>HYPERLINK("https://old.ukr-mobil.com/korpus_universalnyj_pod_akkumulyator_12v_es12-100ah_10004293", "Перейти")</f>
        <v>Перейти</v>
      </c>
      <c r="F6679" s="2">
        <v>10004293</v>
      </c>
      <c r="G6679" s="4" t="s">
        <v>6929</v>
      </c>
      <c r="H6679" s="1">
        <v>0</v>
      </c>
      <c r="I6679" s="1">
        <v>0</v>
      </c>
      <c r="J6679" s="1">
        <v>0</v>
      </c>
      <c r="K6679" s="2">
        <v>18.0</v>
      </c>
    </row>
    <row r="6680" spans="1:12">
      <c r="A6680" s="3" t="s">
        <v>6900</v>
      </c>
      <c r="B6680" s="3" t="s">
        <v>6928</v>
      </c>
      <c r="C6680" s="3"/>
      <c r="D6680" s="3"/>
      <c r="E6680" s="2" t="str">
        <f>HYPERLINK("https://old.ukr-mobil.com/korpus_universalnyj_pod_akkumulyator_12v_es12-12d_10004294", "Перейти")</f>
        <v>Перейти</v>
      </c>
      <c r="F6680" s="2">
        <v>10004294</v>
      </c>
      <c r="G6680" s="4" t="s">
        <v>6930</v>
      </c>
      <c r="H6680" s="1">
        <v>0</v>
      </c>
      <c r="I6680" s="1">
        <v>0</v>
      </c>
      <c r="J6680" s="1">
        <v>0</v>
      </c>
      <c r="K6680" s="2">
        <v>5.5</v>
      </c>
    </row>
    <row r="6681" spans="1:12">
      <c r="A6681" s="3" t="s">
        <v>6900</v>
      </c>
      <c r="B6681" s="3" t="s">
        <v>6928</v>
      </c>
      <c r="C6681" s="3"/>
      <c r="D6681" s="3"/>
      <c r="E6681" s="2" t="str">
        <f>HYPERLINK("https://old.ukr-mobil.com/korpus_universalnyj_pod_akkumulyator_12v_es12-20b_10004291", "Перейти")</f>
        <v>Перейти</v>
      </c>
      <c r="F6681" s="2">
        <v>10004291</v>
      </c>
      <c r="G6681" s="4" t="s">
        <v>6931</v>
      </c>
      <c r="H6681" s="1">
        <v>0</v>
      </c>
      <c r="I6681" s="1">
        <v>0</v>
      </c>
      <c r="J6681" s="1">
        <v>0</v>
      </c>
      <c r="K6681" s="2">
        <v>9.0</v>
      </c>
    </row>
    <row r="6682" spans="1:12">
      <c r="A6682" s="3" t="s">
        <v>6900</v>
      </c>
      <c r="B6682" s="3" t="s">
        <v>6928</v>
      </c>
      <c r="C6682" s="3"/>
      <c r="D6682" s="3"/>
      <c r="E6682" s="2" t="str">
        <f>HYPERLINK("https://old.ukr-mobil.com/korpus_universalnyj_pod_akkumulyator_12v_es12-33c_10004296", "Перейти")</f>
        <v>Перейти</v>
      </c>
      <c r="F6682" s="2">
        <v>10004296</v>
      </c>
      <c r="G6682" s="4" t="s">
        <v>6932</v>
      </c>
      <c r="H6682" s="1">
        <v>9</v>
      </c>
      <c r="I6682" s="1">
        <v>0</v>
      </c>
      <c r="J6682" s="1">
        <v>1</v>
      </c>
      <c r="K6682" s="2">
        <v>11.0</v>
      </c>
    </row>
    <row r="6683" spans="1:12">
      <c r="A6683" s="3" t="s">
        <v>6900</v>
      </c>
      <c r="B6683" s="3" t="s">
        <v>6928</v>
      </c>
      <c r="C6683" s="3"/>
      <c r="D6683" s="3"/>
      <c r="E6683" s="2" t="str">
        <f>HYPERLINK("https://old.ukr-mobil.com/korpus_universalnyj_pod_akkumulyator_12v_es12-33d_10004297", "Перейти")</f>
        <v>Перейти</v>
      </c>
      <c r="F6683" s="2">
        <v>10004297</v>
      </c>
      <c r="G6683" s="4" t="s">
        <v>6933</v>
      </c>
      <c r="H6683" s="1">
        <v>9</v>
      </c>
      <c r="I6683" s="1">
        <v>0</v>
      </c>
      <c r="J6683" s="1">
        <v>0</v>
      </c>
      <c r="K6683" s="2">
        <v>12.0</v>
      </c>
    </row>
    <row r="6684" spans="1:12">
      <c r="A6684" s="3" t="s">
        <v>6900</v>
      </c>
      <c r="B6684" s="3" t="s">
        <v>6928</v>
      </c>
      <c r="C6684" s="3"/>
      <c r="D6684" s="3"/>
      <c r="E6684" s="2" t="str">
        <f>HYPERLINK("https://old.ukr-mobil.com/korpus_universalnyj_pod_akkumulyator_12v_es12-4_10004298", "Перейти")</f>
        <v>Перейти</v>
      </c>
      <c r="F6684" s="2">
        <v>10004298</v>
      </c>
      <c r="G6684" s="4" t="s">
        <v>6934</v>
      </c>
      <c r="H6684" s="1">
        <v>2</v>
      </c>
      <c r="I6684" s="1">
        <v>0</v>
      </c>
      <c r="J6684" s="1">
        <v>0</v>
      </c>
      <c r="K6684" s="2">
        <v>2.0</v>
      </c>
    </row>
    <row r="6685" spans="1:12">
      <c r="A6685" s="3" t="s">
        <v>6900</v>
      </c>
      <c r="B6685" s="3" t="s">
        <v>6928</v>
      </c>
      <c r="C6685" s="3"/>
      <c r="D6685" s="3"/>
      <c r="E6685" s="2" t="str">
        <f>HYPERLINK("https://old.ukr-mobil.com/korpus_universalnyj_pod_akkumulyator_12v_es12-40_10004292", "Перейти")</f>
        <v>Перейти</v>
      </c>
      <c r="F6685" s="2">
        <v>10004292</v>
      </c>
      <c r="G6685" s="4" t="s">
        <v>6935</v>
      </c>
      <c r="H6685" s="1">
        <v>7</v>
      </c>
      <c r="I6685" s="1">
        <v>0</v>
      </c>
      <c r="J6685" s="1">
        <v>0</v>
      </c>
      <c r="K6685" s="2">
        <v>9.0</v>
      </c>
    </row>
    <row r="6686" spans="1:12">
      <c r="A6686" s="3" t="s">
        <v>6900</v>
      </c>
      <c r="B6686" s="3" t="s">
        <v>6928</v>
      </c>
      <c r="C6686" s="3"/>
      <c r="D6686" s="3"/>
      <c r="E6686" s="2" t="str">
        <f>HYPERLINK("https://old.ukr-mobil.com/korpus_universalnyj_pod_akkumulyator_12v_es12-45ah_10004295", "Перейти")</f>
        <v>Перейти</v>
      </c>
      <c r="F6686" s="2">
        <v>10004295</v>
      </c>
      <c r="G6686" s="4" t="s">
        <v>6936</v>
      </c>
      <c r="H6686" s="1">
        <v>10</v>
      </c>
      <c r="I6686" s="1">
        <v>0</v>
      </c>
      <c r="J6686" s="1">
        <v>0</v>
      </c>
      <c r="K6686" s="2">
        <v>9.0</v>
      </c>
    </row>
    <row r="6687" spans="1:12">
      <c r="A6687" s="3" t="s">
        <v>6900</v>
      </c>
      <c r="B6687" s="3" t="s">
        <v>6928</v>
      </c>
      <c r="C6687" s="3"/>
      <c r="D6687" s="3"/>
      <c r="E6687" s="2" t="str">
        <f>HYPERLINK("https://old.ukr-mobil.com/korpus_universalnyj_pod_akkumulyator_12v_es12-7d_10004288", "Перейти")</f>
        <v>Перейти</v>
      </c>
      <c r="F6687" s="2">
        <v>10004288</v>
      </c>
      <c r="G6687" s="4" t="s">
        <v>6937</v>
      </c>
      <c r="H6687" s="1">
        <v>0</v>
      </c>
      <c r="I6687" s="1">
        <v>0</v>
      </c>
      <c r="J6687" s="1">
        <v>0</v>
      </c>
      <c r="K6687" s="2">
        <v>4.2</v>
      </c>
    </row>
    <row r="6688" spans="1:12">
      <c r="A6688" s="3" t="s">
        <v>6900</v>
      </c>
      <c r="B6688" s="3" t="s">
        <v>6938</v>
      </c>
      <c r="C6688" s="3"/>
      <c r="D6688" s="3"/>
      <c r="E6688" s="2" t="str">
        <f>HYPERLINK("https://old.ukr-mobil.com/apparat_kontaktnoj_tochechnoj_svarki_glitter_801a_dlya_akb_18650_11_6_kwh_10003717", "Перейти")</f>
        <v>Перейти</v>
      </c>
      <c r="F6688" s="2">
        <v>10003717</v>
      </c>
      <c r="G6688" s="4" t="s">
        <v>6939</v>
      </c>
      <c r="H6688" s="1">
        <v>6</v>
      </c>
      <c r="I6688" s="1">
        <v>0</v>
      </c>
      <c r="J6688" s="1">
        <v>1</v>
      </c>
      <c r="K6688" s="2">
        <v>200.0</v>
      </c>
    </row>
    <row r="6689" spans="1:12">
      <c r="A6689" s="3" t="s">
        <v>6900</v>
      </c>
      <c r="B6689" s="3" t="s">
        <v>6938</v>
      </c>
      <c r="C6689" s="3"/>
      <c r="D6689" s="3"/>
      <c r="E6689" s="2" t="str">
        <f>HYPERLINK("https://old.ukr-mobil.com/apparat_kontaktnoj_tochechnoj_svarki_glitter_801a_dlya_akb_18650_9_9_kwh_10003716", "Перейти")</f>
        <v>Перейти</v>
      </c>
      <c r="F6689" s="2">
        <v>10003716</v>
      </c>
      <c r="G6689" s="4" t="s">
        <v>6940</v>
      </c>
      <c r="H6689" s="1">
        <v>0</v>
      </c>
      <c r="I6689" s="1">
        <v>0</v>
      </c>
      <c r="J6689" s="1">
        <v>0</v>
      </c>
      <c r="K6689" s="2">
        <v>150.0</v>
      </c>
    </row>
    <row r="6690" spans="1:12">
      <c r="A6690" s="3" t="s">
        <v>6900</v>
      </c>
      <c r="B6690" s="3" t="s">
        <v>6938</v>
      </c>
      <c r="C6690" s="3"/>
      <c r="D6690" s="3"/>
      <c r="E6690" s="2" t="str">
        <f>HYPERLINK("https://old.ukr-mobil.com/apparat_kontaktnoj_tochechnoj_svarki_glitter_801b_dlya_akb_18650_21700_11_6_kwh_10004603", "Перейти")</f>
        <v>Перейти</v>
      </c>
      <c r="F6690" s="2">
        <v>10004603</v>
      </c>
      <c r="G6690" s="4" t="s">
        <v>6941</v>
      </c>
      <c r="H6690" s="1">
        <v>0</v>
      </c>
      <c r="I6690" s="1">
        <v>0</v>
      </c>
      <c r="J6690" s="1">
        <v>0</v>
      </c>
      <c r="K6690" s="2">
        <v>230.0</v>
      </c>
    </row>
    <row r="6691" spans="1:12">
      <c r="A6691" s="3" t="s">
        <v>6900</v>
      </c>
      <c r="B6691" s="3" t="s">
        <v>6938</v>
      </c>
      <c r="C6691" s="3"/>
      <c r="D6691" s="3"/>
      <c r="E6691" s="2" t="str">
        <f>HYPERLINK("https://old.ukr-mobil.com/apparat_kontaktnoj_tochechnoj_svarki_glitter_801d_dlya_akb_18650_21700_12_kwh_10004602", "Перейти")</f>
        <v>Перейти</v>
      </c>
      <c r="F6691" s="2">
        <v>10004602</v>
      </c>
      <c r="G6691" s="4" t="s">
        <v>6942</v>
      </c>
      <c r="H6691" s="1">
        <v>0</v>
      </c>
      <c r="I6691" s="1">
        <v>0</v>
      </c>
      <c r="J6691" s="1">
        <v>0</v>
      </c>
      <c r="K6691" s="2">
        <v>210.0</v>
      </c>
    </row>
    <row r="6692" spans="1:12">
      <c r="A6692" s="3" t="s">
        <v>6900</v>
      </c>
      <c r="B6692" s="3" t="s">
        <v>6938</v>
      </c>
      <c r="C6692" s="3"/>
      <c r="D6692" s="3"/>
      <c r="E6692" s="2" t="str">
        <f>HYPERLINK("https://old.ukr-mobil.com/apparat_kontaktnoj_tochechnoj_svarki_glitter_801h_dlya_akb_18650_19_8_kwh_10003718", "Перейти")</f>
        <v>Перейти</v>
      </c>
      <c r="F6692" s="2">
        <v>10003718</v>
      </c>
      <c r="G6692" s="4" t="s">
        <v>6943</v>
      </c>
      <c r="H6692" s="1">
        <v>0</v>
      </c>
      <c r="I6692" s="1">
        <v>0</v>
      </c>
      <c r="J6692" s="1">
        <v>0</v>
      </c>
      <c r="K6692" s="2">
        <v>300.0</v>
      </c>
    </row>
    <row r="6693" spans="1:12">
      <c r="A6693" s="3" t="s">
        <v>6900</v>
      </c>
      <c r="B6693" s="3" t="s">
        <v>6938</v>
      </c>
      <c r="C6693" s="3"/>
      <c r="D6693" s="3"/>
      <c r="E6693" s="2" t="str">
        <f>HYPERLINK("https://old.ukr-mobil.com/apparat_kontaktnoj_tochechnoj_svarki_glitter_811a_dlya_akb_18650_36_kwh_10003715", "Перейти")</f>
        <v>Перейти</v>
      </c>
      <c r="F6693" s="2">
        <v>10003715</v>
      </c>
      <c r="G6693" s="4" t="s">
        <v>6944</v>
      </c>
      <c r="H6693" s="1">
        <v>0</v>
      </c>
      <c r="I6693" s="1">
        <v>0</v>
      </c>
      <c r="J6693" s="1">
        <v>0</v>
      </c>
      <c r="K6693" s="2">
        <v>440.0</v>
      </c>
    </row>
    <row r="6694" spans="1:12">
      <c r="A6694" s="3" t="s">
        <v>6900</v>
      </c>
      <c r="B6694" s="3" t="s">
        <v>6938</v>
      </c>
      <c r="C6694" s="3"/>
      <c r="D6694" s="3"/>
      <c r="E6694" s="2" t="str">
        <f>HYPERLINK("https://old.ukr-mobil.com/apparat_kontaktnoj_tochechnoj_svarki_glitter_812a_s_payalnikom_dlya_akb_18650_21700_12_kwh_10004601", "Перейти")</f>
        <v>Перейти</v>
      </c>
      <c r="F6694" s="2">
        <v>10004601</v>
      </c>
      <c r="G6694" s="4" t="s">
        <v>6945</v>
      </c>
      <c r="H6694" s="1">
        <v>0</v>
      </c>
      <c r="I6694" s="1">
        <v>0</v>
      </c>
      <c r="J6694" s="1">
        <v>0</v>
      </c>
      <c r="K6694" s="2">
        <v>416.0</v>
      </c>
    </row>
    <row r="6695" spans="1:12">
      <c r="A6695" s="3" t="s">
        <v>6900</v>
      </c>
      <c r="B6695" s="3" t="s">
        <v>6938</v>
      </c>
      <c r="C6695" s="3"/>
      <c r="D6695" s="3"/>
      <c r="E6695" s="2" t="str">
        <f>HYPERLINK("https://old.ukr-mobil.com/apparat_kontaktnoj_tochechnoj_svarki_sunkko_709_plus_s_payalnikom_dlya_akb_18650_21700_4300_wh_10004599", "Перейти")</f>
        <v>Перейти</v>
      </c>
      <c r="F6695" s="2">
        <v>10004599</v>
      </c>
      <c r="G6695" s="4" t="s">
        <v>6946</v>
      </c>
      <c r="H6695" s="1">
        <v>0</v>
      </c>
      <c r="I6695" s="1">
        <v>0</v>
      </c>
      <c r="J6695" s="1">
        <v>0</v>
      </c>
      <c r="K6695" s="2">
        <v>380.0</v>
      </c>
    </row>
    <row r="6696" spans="1:12">
      <c r="A6696" s="3" t="s">
        <v>6900</v>
      </c>
      <c r="B6696" s="3" t="s">
        <v>6938</v>
      </c>
      <c r="C6696" s="3"/>
      <c r="D6696" s="3"/>
      <c r="E6696" s="2" t="str">
        <f>HYPERLINK("https://old.ukr-mobil.com/apparat_kontaktnoj_tochechnoj_svarki_sunkko_709a_dlya_akb_18650_3000_wh_10003712", "Перейти")</f>
        <v>Перейти</v>
      </c>
      <c r="F6696" s="2">
        <v>10003712</v>
      </c>
      <c r="G6696" s="4" t="s">
        <v>6947</v>
      </c>
      <c r="H6696" s="1">
        <v>0</v>
      </c>
      <c r="I6696" s="1">
        <v>0</v>
      </c>
      <c r="J6696" s="1">
        <v>0</v>
      </c>
      <c r="K6696" s="2">
        <v>345.0</v>
      </c>
    </row>
    <row r="6697" spans="1:12">
      <c r="A6697" s="3" t="s">
        <v>6900</v>
      </c>
      <c r="B6697" s="3" t="s">
        <v>6938</v>
      </c>
      <c r="C6697" s="3"/>
      <c r="D6697" s="3"/>
      <c r="E6697" s="2" t="str">
        <f>HYPERLINK("https://old.ukr-mobil.com/apparat_kontaktnoj_tochechnoj_svarki_sunkko_737dh_dlya_akb_18650_21700_4300_wh_10003714", "Перейти")</f>
        <v>Перейти</v>
      </c>
      <c r="F6697" s="2">
        <v>10003714</v>
      </c>
      <c r="G6697" s="4" t="s">
        <v>6948</v>
      </c>
      <c r="H6697" s="1">
        <v>0</v>
      </c>
      <c r="I6697" s="1">
        <v>0</v>
      </c>
      <c r="J6697" s="1">
        <v>0</v>
      </c>
      <c r="K6697" s="2">
        <v>375.0</v>
      </c>
    </row>
    <row r="6698" spans="1:12">
      <c r="A6698" s="3" t="s">
        <v>6900</v>
      </c>
      <c r="B6698" s="3" t="s">
        <v>6938</v>
      </c>
      <c r="C6698" s="3"/>
      <c r="D6698" s="3"/>
      <c r="E6698" s="2" t="str">
        <f>HYPERLINK("https://old.ukr-mobil.com/apparat_kontaktnoj_tochechnoj_svarki_sunkko_737g_dlya_akb_18650_800a_1500_wh_10003711", "Перейти")</f>
        <v>Перейти</v>
      </c>
      <c r="F6698" s="2">
        <v>10003711</v>
      </c>
      <c r="G6698" s="4" t="s">
        <v>6949</v>
      </c>
      <c r="H6698" s="1">
        <v>0</v>
      </c>
      <c r="I6698" s="1">
        <v>0</v>
      </c>
      <c r="J6698" s="1">
        <v>0</v>
      </c>
      <c r="K6698" s="2">
        <v>180.0</v>
      </c>
    </row>
    <row r="6699" spans="1:12">
      <c r="A6699" s="3" t="s">
        <v>6900</v>
      </c>
      <c r="B6699" s="3" t="s">
        <v>6938</v>
      </c>
      <c r="C6699" s="3"/>
      <c r="D6699" s="3"/>
      <c r="E6699" s="2" t="str">
        <f>HYPERLINK("https://old.ukr-mobil.com/apparat_kontaktnoj_tochechnoj_svarki_sunkko_769d_dlya_akb_18650_3200_wh_10003713", "Перейти")</f>
        <v>Перейти</v>
      </c>
      <c r="F6699" s="2">
        <v>10003713</v>
      </c>
      <c r="G6699" s="4" t="s">
        <v>6950</v>
      </c>
      <c r="H6699" s="1">
        <v>2</v>
      </c>
      <c r="I6699" s="1">
        <v>1</v>
      </c>
      <c r="J6699" s="1">
        <v>0</v>
      </c>
      <c r="K6699" s="2">
        <v>460.0</v>
      </c>
    </row>
    <row r="6700" spans="1:12">
      <c r="A6700" s="3" t="s">
        <v>6900</v>
      </c>
      <c r="B6700" s="3" t="s">
        <v>6938</v>
      </c>
      <c r="C6700" s="3"/>
      <c r="D6700" s="3"/>
      <c r="E6700" s="2" t="str">
        <f>HYPERLINK("https://old.ukr-mobil.com/apparat_kontaktnoj_tochechnoj_svarki_sunkko_787a_s_blokom_pitaniya_15v_2a_dlya_akb_18650_21700_2800_wh_10004600", "Перейти")</f>
        <v>Перейти</v>
      </c>
      <c r="F6700" s="2">
        <v>10004600</v>
      </c>
      <c r="G6700" s="4" t="s">
        <v>6951</v>
      </c>
      <c r="H6700" s="1">
        <v>0</v>
      </c>
      <c r="I6700" s="1">
        <v>0</v>
      </c>
      <c r="J6700" s="1">
        <v>0</v>
      </c>
      <c r="K6700" s="2">
        <v>250.0</v>
      </c>
    </row>
    <row r="6701" spans="1:12">
      <c r="A6701" s="3" t="s">
        <v>6900</v>
      </c>
      <c r="B6701" s="3" t="s">
        <v>6938</v>
      </c>
      <c r="C6701" s="3"/>
      <c r="D6701" s="3"/>
      <c r="E6701" s="2" t="str">
        <f>HYPERLINK("https://old.ukr-mobil.com/apparat_kontaktnoj_tochechnoj_svarki_sunkko_788h_usb_s_blokom_pitaniya_36v_2a_dlya_akb_18650_21700_2800_wh_10004598", "Перейти")</f>
        <v>Перейти</v>
      </c>
      <c r="F6701" s="2">
        <v>10004598</v>
      </c>
      <c r="G6701" s="4" t="s">
        <v>6952</v>
      </c>
      <c r="H6701" s="1">
        <v>1</v>
      </c>
      <c r="I6701" s="1">
        <v>0</v>
      </c>
      <c r="J6701" s="1">
        <v>0</v>
      </c>
      <c r="K6701" s="2">
        <v>270.0</v>
      </c>
    </row>
    <row r="6702" spans="1:12">
      <c r="A6702" s="3" t="s">
        <v>6900</v>
      </c>
      <c r="B6702" s="3" t="s">
        <v>6938</v>
      </c>
      <c r="C6702" s="3"/>
      <c r="D6702" s="3"/>
      <c r="E6702" s="2" t="str">
        <f>HYPERLINK("https://old.ukr-mobil.com/apparat_kontaktnoj_tochechnoj_svarki_sunkko_788h_s_blokom_pitaniya_36v_2a_dlya_akb_18650_21700_2800_wh_10004597", "Перейти")</f>
        <v>Перейти</v>
      </c>
      <c r="F6702" s="2">
        <v>10004597</v>
      </c>
      <c r="G6702" s="4" t="s">
        <v>6953</v>
      </c>
      <c r="H6702" s="1">
        <v>1</v>
      </c>
      <c r="I6702" s="1">
        <v>0</v>
      </c>
      <c r="J6702" s="1">
        <v>0</v>
      </c>
      <c r="K6702" s="2">
        <v>190.0</v>
      </c>
    </row>
    <row r="6703" spans="1:12">
      <c r="A6703" s="3" t="s">
        <v>6900</v>
      </c>
      <c r="B6703" s="3" t="s">
        <v>6954</v>
      </c>
      <c r="C6703" s="3"/>
      <c r="D6703" s="3"/>
      <c r="E6703" s="2" t="str">
        <f>HYPERLINK("https://old.ukr-mobil.com/plata_balansirovki_akkumulyatora_ehkvalajzer_sunkko_bal-24s-1_2a_24s_1_2a_10003722", "Перейти")</f>
        <v>Перейти</v>
      </c>
      <c r="F6703" s="2">
        <v>10003722</v>
      </c>
      <c r="G6703" s="4" t="s">
        <v>6955</v>
      </c>
      <c r="H6703" s="1">
        <v>0</v>
      </c>
      <c r="I6703" s="1">
        <v>0</v>
      </c>
      <c r="J6703" s="1">
        <v>0</v>
      </c>
      <c r="K6703" s="2">
        <v>56.0</v>
      </c>
    </row>
    <row r="6704" spans="1:12">
      <c r="A6704" s="3" t="s">
        <v>6900</v>
      </c>
      <c r="B6704" s="3" t="s">
        <v>6954</v>
      </c>
      <c r="C6704" s="3"/>
      <c r="D6704" s="3"/>
      <c r="E6704" s="2" t="str">
        <f>HYPERLINK("https://old.ukr-mobil.com/plata_balansirovki_akkumulyatora_ehkvalajzer_sunkko_bal-813_13s_8a_10003724", "Перейти")</f>
        <v>Перейти</v>
      </c>
      <c r="F6704" s="2">
        <v>10003724</v>
      </c>
      <c r="G6704" s="4" t="s">
        <v>6956</v>
      </c>
      <c r="H6704" s="1">
        <v>0</v>
      </c>
      <c r="I6704" s="1">
        <v>0</v>
      </c>
      <c r="J6704" s="1">
        <v>0</v>
      </c>
      <c r="K6704" s="2">
        <v>75.0</v>
      </c>
    </row>
    <row r="6705" spans="1:12">
      <c r="A6705" s="3" t="s">
        <v>6900</v>
      </c>
      <c r="B6705" s="3" t="s">
        <v>6954</v>
      </c>
      <c r="C6705" s="3"/>
      <c r="D6705" s="3"/>
      <c r="E6705" s="2" t="str">
        <f>HYPERLINK("https://old.ukr-mobil.com/plata_balansirovki_akkumulyatora_ehkvalajzer_sunkko_bal-824_24s_8a_10003723", "Перейти")</f>
        <v>Перейти</v>
      </c>
      <c r="F6705" s="2">
        <v>10003723</v>
      </c>
      <c r="G6705" s="4" t="s">
        <v>6957</v>
      </c>
      <c r="H6705" s="1">
        <v>0</v>
      </c>
      <c r="I6705" s="1">
        <v>0</v>
      </c>
      <c r="J6705" s="1">
        <v>0</v>
      </c>
      <c r="K6705" s="2">
        <v>104.0</v>
      </c>
    </row>
    <row r="6706" spans="1:12">
      <c r="A6706" s="3" t="s">
        <v>6900</v>
      </c>
      <c r="B6706" s="3" t="s">
        <v>6958</v>
      </c>
      <c r="C6706" s="3"/>
      <c r="D6706" s="3"/>
      <c r="E6706" s="2" t="str">
        <f>HYPERLINK("https://old.ukr-mobil.com/plata_bms_daly_li-ion_12v_3s_100a_simetriya_vlagozashchitnaya_s_balansirom_10003008", "Перейти")</f>
        <v>Перейти</v>
      </c>
      <c r="F6706" s="2">
        <v>10003008</v>
      </c>
      <c r="G6706" s="4" t="s">
        <v>6959</v>
      </c>
      <c r="H6706" s="1">
        <v>0</v>
      </c>
      <c r="I6706" s="1">
        <v>0</v>
      </c>
      <c r="J6706" s="1">
        <v>0</v>
      </c>
      <c r="K6706" s="2">
        <v>42.0</v>
      </c>
    </row>
    <row r="6707" spans="1:12">
      <c r="A6707" s="3" t="s">
        <v>6900</v>
      </c>
      <c r="B6707" s="3" t="s">
        <v>6958</v>
      </c>
      <c r="C6707" s="3"/>
      <c r="D6707" s="3"/>
      <c r="E6707" s="2" t="str">
        <f>HYPERLINK("https://old.ukr-mobil.com/plata_bms_daly_li-ion_12v_3s_100a_s_ventilyatorom_simetriya_vlagozashchitnaya_s_balansirom_10003013", "Перейти")</f>
        <v>Перейти</v>
      </c>
      <c r="F6707" s="2">
        <v>10003013</v>
      </c>
      <c r="G6707" s="4" t="s">
        <v>6960</v>
      </c>
      <c r="H6707" s="1">
        <v>0</v>
      </c>
      <c r="I6707" s="1">
        <v>0</v>
      </c>
      <c r="J6707" s="1">
        <v>0</v>
      </c>
      <c r="K6707" s="2">
        <v>63.0</v>
      </c>
    </row>
    <row r="6708" spans="1:12">
      <c r="A6708" s="3" t="s">
        <v>6900</v>
      </c>
      <c r="B6708" s="3" t="s">
        <v>6958</v>
      </c>
      <c r="C6708" s="3"/>
      <c r="D6708" s="3"/>
      <c r="E6708" s="2" t="str">
        <f>HYPERLINK("https://old.ukr-mobil.com/plata_bms_daly_li-ion_12v_3s_20a_simetriya_vlagozashchitnaya_s_balansirom_10003005", "Перейти")</f>
        <v>Перейти</v>
      </c>
      <c r="F6708" s="2">
        <v>10003005</v>
      </c>
      <c r="G6708" s="4" t="s">
        <v>6961</v>
      </c>
      <c r="H6708" s="1">
        <v>0</v>
      </c>
      <c r="I6708" s="1">
        <v>0</v>
      </c>
      <c r="J6708" s="1">
        <v>0</v>
      </c>
      <c r="K6708" s="2">
        <v>9.0</v>
      </c>
    </row>
    <row r="6709" spans="1:12">
      <c r="A6709" s="3" t="s">
        <v>6900</v>
      </c>
      <c r="B6709" s="3" t="s">
        <v>6958</v>
      </c>
      <c r="C6709" s="3"/>
      <c r="D6709" s="3"/>
      <c r="E6709" s="2" t="str">
        <f>HYPERLINK("https://old.ukr-mobil.com/plata_bms_daly_li-ion_12v_3s_40a_simetriya_vlagozashchitnaya_s_balansirom_10003006", "Перейти")</f>
        <v>Перейти</v>
      </c>
      <c r="F6709" s="2">
        <v>10003006</v>
      </c>
      <c r="G6709" s="4" t="s">
        <v>6962</v>
      </c>
      <c r="H6709" s="1">
        <v>38</v>
      </c>
      <c r="I6709" s="1">
        <v>0</v>
      </c>
      <c r="J6709" s="1">
        <v>3</v>
      </c>
      <c r="K6709" s="2">
        <v>15.0</v>
      </c>
    </row>
    <row r="6710" spans="1:12">
      <c r="A6710" s="3" t="s">
        <v>6900</v>
      </c>
      <c r="B6710" s="3" t="s">
        <v>6958</v>
      </c>
      <c r="C6710" s="3"/>
      <c r="D6710" s="3"/>
      <c r="E6710" s="2" t="str">
        <f>HYPERLINK("https://old.ukr-mobil.com/plata_bms_daly_li-ion_12v_3s_60a_simetriya_vlagozashchitnaya_s_balansirom_10003007", "Перейти")</f>
        <v>Перейти</v>
      </c>
      <c r="F6710" s="2">
        <v>10003007</v>
      </c>
      <c r="G6710" s="4" t="s">
        <v>6963</v>
      </c>
      <c r="H6710" s="1">
        <v>0</v>
      </c>
      <c r="I6710" s="1">
        <v>0</v>
      </c>
      <c r="J6710" s="1">
        <v>0</v>
      </c>
      <c r="K6710" s="2">
        <v>20.5</v>
      </c>
    </row>
    <row r="6711" spans="1:12">
      <c r="A6711" s="3" t="s">
        <v>6900</v>
      </c>
      <c r="B6711" s="3" t="s">
        <v>6958</v>
      </c>
      <c r="C6711" s="3"/>
      <c r="D6711" s="3"/>
      <c r="E6711" s="2" t="str">
        <f>HYPERLINK("https://old.ukr-mobil.com/plata_bms_daly_li-ion_12v_4s_100a_simetriya_vlagozashchitnaya_s_balansirom_10003017", "Перейти")</f>
        <v>Перейти</v>
      </c>
      <c r="F6711" s="2">
        <v>10003017</v>
      </c>
      <c r="G6711" s="4" t="s">
        <v>6964</v>
      </c>
      <c r="H6711" s="1">
        <v>0</v>
      </c>
      <c r="I6711" s="1">
        <v>0</v>
      </c>
      <c r="J6711" s="1">
        <v>0</v>
      </c>
      <c r="K6711" s="2">
        <v>48.0</v>
      </c>
    </row>
    <row r="6712" spans="1:12">
      <c r="A6712" s="3" t="s">
        <v>6900</v>
      </c>
      <c r="B6712" s="3" t="s">
        <v>6958</v>
      </c>
      <c r="C6712" s="3"/>
      <c r="D6712" s="3"/>
      <c r="E6712" s="2" t="str">
        <f>HYPERLINK("https://old.ukr-mobil.com/plata_bms_daly_li-ion_12v_4s_100a_s_ventilyatorom_simetriya_vlagozashchitnaya_s_balansirom_10003018", "Перейти")</f>
        <v>Перейти</v>
      </c>
      <c r="F6712" s="2">
        <v>10003018</v>
      </c>
      <c r="G6712" s="4" t="s">
        <v>6965</v>
      </c>
      <c r="H6712" s="1">
        <v>3</v>
      </c>
      <c r="I6712" s="1">
        <v>0</v>
      </c>
      <c r="J6712" s="1">
        <v>0</v>
      </c>
      <c r="K6712" s="2">
        <v>62.0</v>
      </c>
    </row>
    <row r="6713" spans="1:12">
      <c r="A6713" s="3" t="s">
        <v>6900</v>
      </c>
      <c r="B6713" s="3" t="s">
        <v>6958</v>
      </c>
      <c r="C6713" s="3"/>
      <c r="D6713" s="3"/>
      <c r="E6713" s="2" t="str">
        <f>HYPERLINK("https://old.ukr-mobil.com/plata_bms_daly_li-ion_12v_4s_20a_simetriya_vlagozashchitnaya_s_balansirom_10003014", "Перейти")</f>
        <v>Перейти</v>
      </c>
      <c r="F6713" s="2">
        <v>10003014</v>
      </c>
      <c r="G6713" s="4" t="s">
        <v>6966</v>
      </c>
      <c r="H6713" s="1">
        <v>0</v>
      </c>
      <c r="I6713" s="1">
        <v>0</v>
      </c>
      <c r="J6713" s="1">
        <v>0</v>
      </c>
      <c r="K6713" s="2">
        <v>10.0</v>
      </c>
    </row>
    <row r="6714" spans="1:12">
      <c r="A6714" s="3" t="s">
        <v>6900</v>
      </c>
      <c r="B6714" s="3" t="s">
        <v>6958</v>
      </c>
      <c r="C6714" s="3"/>
      <c r="D6714" s="3"/>
      <c r="E6714" s="2" t="str">
        <f>HYPERLINK("https://old.ukr-mobil.com/plata_bms_daly_li-ion_12v_4s_40a_simetriya_vlagozashchitnaya_s_balansirom_10003015", "Перейти")</f>
        <v>Перейти</v>
      </c>
      <c r="F6714" s="2">
        <v>10003015</v>
      </c>
      <c r="G6714" s="4" t="s">
        <v>6967</v>
      </c>
      <c r="H6714" s="1">
        <v>0</v>
      </c>
      <c r="I6714" s="1">
        <v>0</v>
      </c>
      <c r="J6714" s="1">
        <v>0</v>
      </c>
      <c r="K6714" s="2">
        <v>15.0</v>
      </c>
    </row>
    <row r="6715" spans="1:12">
      <c r="A6715" s="3" t="s">
        <v>6900</v>
      </c>
      <c r="B6715" s="3" t="s">
        <v>6958</v>
      </c>
      <c r="C6715" s="3"/>
      <c r="D6715" s="3"/>
      <c r="E6715" s="2" t="str">
        <f>HYPERLINK("https://old.ukr-mobil.com/plata_bms_daly_li-ion_12v_4s_60a_simetriya_vlagozashchitnaya_s_balansirom_10003016", "Перейти")</f>
        <v>Перейти</v>
      </c>
      <c r="F6715" s="2">
        <v>10003016</v>
      </c>
      <c r="G6715" s="4" t="s">
        <v>6968</v>
      </c>
      <c r="H6715" s="1">
        <v>0</v>
      </c>
      <c r="I6715" s="1">
        <v>0</v>
      </c>
      <c r="J6715" s="1">
        <v>0</v>
      </c>
      <c r="K6715" s="2">
        <v>25.0</v>
      </c>
    </row>
    <row r="6716" spans="1:12">
      <c r="A6716" s="3" t="s">
        <v>6900</v>
      </c>
      <c r="B6716" s="3" t="s">
        <v>6958</v>
      </c>
      <c r="C6716" s="3"/>
      <c r="D6716" s="3"/>
      <c r="E6716" s="2" t="str">
        <f>HYPERLINK("https://old.ukr-mobil.com/plata_bms_daly_li-ion_24v_6s_20a_simetriya_vlagozashchitnaya_s_balansirom_10003024", "Перейти")</f>
        <v>Перейти</v>
      </c>
      <c r="F6716" s="2">
        <v>10003024</v>
      </c>
      <c r="G6716" s="4" t="s">
        <v>6969</v>
      </c>
      <c r="H6716" s="1">
        <v>0</v>
      </c>
      <c r="I6716" s="1">
        <v>0</v>
      </c>
      <c r="J6716" s="1">
        <v>0</v>
      </c>
      <c r="K6716" s="2">
        <v>13.0</v>
      </c>
    </row>
    <row r="6717" spans="1:12">
      <c r="A6717" s="3" t="s">
        <v>6900</v>
      </c>
      <c r="B6717" s="3" t="s">
        <v>6958</v>
      </c>
      <c r="C6717" s="3"/>
      <c r="D6717" s="3"/>
      <c r="E6717" s="2" t="str">
        <f>HYPERLINK("https://old.ukr-mobil.com/plata_bms_daly_li-ion_24v_6s_30a_simetriya_vlagozashchitnaya_s_balansirom_10003025", "Перейти")</f>
        <v>Перейти</v>
      </c>
      <c r="F6717" s="2">
        <v>10003025</v>
      </c>
      <c r="G6717" s="4" t="s">
        <v>6970</v>
      </c>
      <c r="H6717" s="1">
        <v>0</v>
      </c>
      <c r="I6717" s="1">
        <v>0</v>
      </c>
      <c r="J6717" s="1">
        <v>0</v>
      </c>
      <c r="K6717" s="2">
        <v>19.0</v>
      </c>
    </row>
    <row r="6718" spans="1:12">
      <c r="A6718" s="3" t="s">
        <v>6900</v>
      </c>
      <c r="B6718" s="3" t="s">
        <v>6958</v>
      </c>
      <c r="C6718" s="3"/>
      <c r="D6718" s="3"/>
      <c r="E6718" s="2" t="str">
        <f>HYPERLINK("https://old.ukr-mobil.com/plata_bms_daly_li-ion_24v_7s_20a_simetriya_vlagozashchitnaya_s_balansirom_10003026", "Перейти")</f>
        <v>Перейти</v>
      </c>
      <c r="F6718" s="2">
        <v>10003026</v>
      </c>
      <c r="G6718" s="4" t="s">
        <v>6971</v>
      </c>
      <c r="H6718" s="1">
        <v>50</v>
      </c>
      <c r="I6718" s="1">
        <v>0</v>
      </c>
      <c r="J6718" s="1">
        <v>0</v>
      </c>
      <c r="K6718" s="2">
        <v>14.0</v>
      </c>
    </row>
    <row r="6719" spans="1:12">
      <c r="A6719" s="3" t="s">
        <v>6900</v>
      </c>
      <c r="B6719" s="3" t="s">
        <v>6958</v>
      </c>
      <c r="C6719" s="3"/>
      <c r="D6719" s="3"/>
      <c r="E6719" s="2" t="str">
        <f>HYPERLINK("https://old.ukr-mobil.com/plata_bms_daly_li-ion_24v_7s_30a_simetriya_vlagozashchitnaya_s_balansirom_10003027", "Перейти")</f>
        <v>Перейти</v>
      </c>
      <c r="F6719" s="2">
        <v>10003027</v>
      </c>
      <c r="G6719" s="4" t="s">
        <v>6972</v>
      </c>
      <c r="H6719" s="1">
        <v>47</v>
      </c>
      <c r="I6719" s="1">
        <v>0</v>
      </c>
      <c r="J6719" s="1">
        <v>0</v>
      </c>
      <c r="K6719" s="2">
        <v>17.0</v>
      </c>
    </row>
    <row r="6720" spans="1:12">
      <c r="A6720" s="3" t="s">
        <v>6900</v>
      </c>
      <c r="B6720" s="3" t="s">
        <v>6958</v>
      </c>
      <c r="C6720" s="3"/>
      <c r="D6720" s="3"/>
      <c r="E6720" s="2" t="str">
        <f>HYPERLINK("https://old.ukr-mobil.com/plata_bms_daly_li-ion_36v_10s_30a_simetriya_vlagozashchitnaya_s_balansirom_10002985", "Перейти")</f>
        <v>Перейти</v>
      </c>
      <c r="F6720" s="2">
        <v>10002985</v>
      </c>
      <c r="G6720" s="4" t="s">
        <v>6973</v>
      </c>
      <c r="H6720" s="1">
        <v>13</v>
      </c>
      <c r="I6720" s="1">
        <v>3</v>
      </c>
      <c r="J6720" s="1">
        <v>0</v>
      </c>
      <c r="K6720" s="2">
        <v>22.0</v>
      </c>
    </row>
    <row r="6721" spans="1:12">
      <c r="A6721" s="3" t="s">
        <v>6900</v>
      </c>
      <c r="B6721" s="3" t="s">
        <v>6958</v>
      </c>
      <c r="C6721" s="3"/>
      <c r="D6721" s="3"/>
      <c r="E6721" s="2" t="str">
        <f>HYPERLINK("https://old.ukr-mobil.com/plata_bms_daly_li-ion_36v_10s_50a_simetriya_vlagozashchitnaya_s_balansirom_10003030", "Перейти")</f>
        <v>Перейти</v>
      </c>
      <c r="F6721" s="2">
        <v>10003030</v>
      </c>
      <c r="G6721" s="4" t="s">
        <v>6974</v>
      </c>
      <c r="H6721" s="1">
        <v>3</v>
      </c>
      <c r="I6721" s="1">
        <v>0</v>
      </c>
      <c r="J6721" s="1">
        <v>2</v>
      </c>
      <c r="K6721" s="2">
        <v>36.0</v>
      </c>
    </row>
    <row r="6722" spans="1:12">
      <c r="A6722" s="3" t="s">
        <v>6900</v>
      </c>
      <c r="B6722" s="3" t="s">
        <v>6958</v>
      </c>
      <c r="C6722" s="3"/>
      <c r="D6722" s="3"/>
      <c r="E6722" s="2" t="str">
        <f>HYPERLINK("https://old.ukr-mobil.com/plata_bms_daly_li-ion_48v_13s_30a_simetriya_vlagozashchitnaya_s_balansirom_10003033", "Перейти")</f>
        <v>Перейти</v>
      </c>
      <c r="F6722" s="2">
        <v>10003033</v>
      </c>
      <c r="G6722" s="4" t="s">
        <v>6975</v>
      </c>
      <c r="H6722" s="1">
        <v>0</v>
      </c>
      <c r="I6722" s="1">
        <v>1</v>
      </c>
      <c r="J6722" s="1">
        <v>0</v>
      </c>
      <c r="K6722" s="2">
        <v>29.5</v>
      </c>
    </row>
    <row r="6723" spans="1:12">
      <c r="A6723" s="3" t="s">
        <v>6900</v>
      </c>
      <c r="B6723" s="3" t="s">
        <v>6958</v>
      </c>
      <c r="C6723" s="3"/>
      <c r="D6723" s="3"/>
      <c r="E6723" s="2" t="str">
        <f>HYPERLINK("https://old.ukr-mobil.com/plata_bms_daly_li-ion_48v_13s_50a_simetriya_vlagozashchitnaya_s_balansirom_10003034", "Перейти")</f>
        <v>Перейти</v>
      </c>
      <c r="F6723" s="2">
        <v>10003034</v>
      </c>
      <c r="G6723" s="4" t="s">
        <v>6976</v>
      </c>
      <c r="H6723" s="1">
        <v>15</v>
      </c>
      <c r="I6723" s="1">
        <v>0</v>
      </c>
      <c r="J6723" s="1">
        <v>0</v>
      </c>
      <c r="K6723" s="2">
        <v>25.85</v>
      </c>
    </row>
    <row r="6724" spans="1:12">
      <c r="A6724" s="3" t="s">
        <v>6900</v>
      </c>
      <c r="B6724" s="3" t="s">
        <v>6958</v>
      </c>
      <c r="C6724" s="3"/>
      <c r="D6724" s="3"/>
      <c r="E6724" s="2" t="str">
        <f>HYPERLINK("https://old.ukr-mobil.com/plata_bms_daly_li-ion_48v_14s_30a_simetriya_vlagozashchitnaya_s_balansirom_10003035", "Перейти")</f>
        <v>Перейти</v>
      </c>
      <c r="F6724" s="2">
        <v>10003035</v>
      </c>
      <c r="G6724" s="4" t="s">
        <v>6977</v>
      </c>
      <c r="H6724" s="1">
        <v>23</v>
      </c>
      <c r="I6724" s="1">
        <v>0</v>
      </c>
      <c r="J6724" s="1">
        <v>0</v>
      </c>
      <c r="K6724" s="2">
        <v>17.65</v>
      </c>
    </row>
    <row r="6725" spans="1:12">
      <c r="A6725" s="3" t="s">
        <v>6900</v>
      </c>
      <c r="B6725" s="3" t="s">
        <v>6958</v>
      </c>
      <c r="C6725" s="3"/>
      <c r="D6725" s="3"/>
      <c r="E6725" s="2" t="str">
        <f>HYPERLINK("https://old.ukr-mobil.com/plata_bms_daly_li-ion_48v_14s_50a_simetriya_vlagozashchitnaya_s_balansirom_10003036", "Перейти")</f>
        <v>Перейти</v>
      </c>
      <c r="F6725" s="2">
        <v>10003036</v>
      </c>
      <c r="G6725" s="4" t="s">
        <v>6978</v>
      </c>
      <c r="H6725" s="1">
        <v>11</v>
      </c>
      <c r="I6725" s="1">
        <v>0</v>
      </c>
      <c r="J6725" s="1">
        <v>0</v>
      </c>
      <c r="K6725" s="2">
        <v>44.0</v>
      </c>
    </row>
    <row r="6726" spans="1:12">
      <c r="A6726" s="3" t="s">
        <v>6900</v>
      </c>
      <c r="B6726" s="3" t="s">
        <v>6958</v>
      </c>
      <c r="C6726" s="3"/>
      <c r="D6726" s="3"/>
      <c r="E6726" s="2" t="str">
        <f>HYPERLINK("https://old.ukr-mobil.com/plata_bms_daly_li-ion_60v_16s_30a_simetriya_vlagozashchitnaya_s_balansirom_10003041", "Перейти")</f>
        <v>Перейти</v>
      </c>
      <c r="F6726" s="2">
        <v>10003041</v>
      </c>
      <c r="G6726" s="4" t="s">
        <v>6979</v>
      </c>
      <c r="H6726" s="1">
        <v>10</v>
      </c>
      <c r="I6726" s="1">
        <v>1</v>
      </c>
      <c r="J6726" s="1">
        <v>0</v>
      </c>
      <c r="K6726" s="2">
        <v>30.0</v>
      </c>
    </row>
    <row r="6727" spans="1:12">
      <c r="A6727" s="3" t="s">
        <v>6900</v>
      </c>
      <c r="B6727" s="3" t="s">
        <v>6958</v>
      </c>
      <c r="C6727" s="3"/>
      <c r="D6727" s="3"/>
      <c r="E6727" s="2" t="str">
        <f>HYPERLINK("https://old.ukr-mobil.com/plata_bms_daly_li-ion_60v_16s_60a_simetriya_vlagozashchitnaya_s_balansirom_10003042", "Перейти")</f>
        <v>Перейти</v>
      </c>
      <c r="F6727" s="2">
        <v>10003042</v>
      </c>
      <c r="G6727" s="4" t="s">
        <v>6980</v>
      </c>
      <c r="H6727" s="1">
        <v>11</v>
      </c>
      <c r="I6727" s="1">
        <v>1</v>
      </c>
      <c r="J6727" s="1">
        <v>0</v>
      </c>
      <c r="K6727" s="2">
        <v>49.0</v>
      </c>
    </row>
    <row r="6728" spans="1:12">
      <c r="A6728" s="3" t="s">
        <v>6900</v>
      </c>
      <c r="B6728" s="3" t="s">
        <v>6958</v>
      </c>
      <c r="C6728" s="3"/>
      <c r="D6728" s="3"/>
      <c r="E6728" s="2" t="str">
        <f>HYPERLINK("https://old.ukr-mobil.com/plata_bms_daly_li-ion_60v_17s_30a_simetriya_vlagozashchitnaya_s_balansirom_10003043", "Перейти")</f>
        <v>Перейти</v>
      </c>
      <c r="F6728" s="2">
        <v>10003043</v>
      </c>
      <c r="G6728" s="4" t="s">
        <v>6981</v>
      </c>
      <c r="H6728" s="1">
        <v>10</v>
      </c>
      <c r="I6728" s="1">
        <v>0</v>
      </c>
      <c r="J6728" s="1">
        <v>0</v>
      </c>
      <c r="K6728" s="2">
        <v>27.0</v>
      </c>
    </row>
    <row r="6729" spans="1:12">
      <c r="A6729" s="3" t="s">
        <v>6900</v>
      </c>
      <c r="B6729" s="3" t="s">
        <v>6958</v>
      </c>
      <c r="C6729" s="3"/>
      <c r="D6729" s="3"/>
      <c r="E6729" s="2" t="str">
        <f>HYPERLINK("https://old.ukr-mobil.com/plata_bms_daly_li-ion_60v_17s_60a_simetriya_vlagozashchitnaya_s_balansirom_10003044", "Перейти")</f>
        <v>Перейти</v>
      </c>
      <c r="F6729" s="2">
        <v>10003044</v>
      </c>
      <c r="G6729" s="4" t="s">
        <v>6982</v>
      </c>
      <c r="H6729" s="1">
        <v>9</v>
      </c>
      <c r="I6729" s="1">
        <v>1</v>
      </c>
      <c r="J6729" s="1">
        <v>0</v>
      </c>
      <c r="K6729" s="2">
        <v>50.0</v>
      </c>
    </row>
    <row r="6730" spans="1:12">
      <c r="A6730" s="3" t="s">
        <v>6900</v>
      </c>
      <c r="B6730" s="3" t="s">
        <v>6958</v>
      </c>
      <c r="C6730" s="3"/>
      <c r="D6730" s="3"/>
      <c r="E6730" s="2" t="str">
        <f>HYPERLINK("https://old.ukr-mobil.com/plata_bms_daly_li-ion_72v_20s_40a_simetriya_vlagozashchitnaya_s_balansirom_10003047", "Перейти")</f>
        <v>Перейти</v>
      </c>
      <c r="F6730" s="2">
        <v>10003047</v>
      </c>
      <c r="G6730" s="4" t="s">
        <v>6983</v>
      </c>
      <c r="H6730" s="1">
        <v>3</v>
      </c>
      <c r="I6730" s="1">
        <v>2</v>
      </c>
      <c r="J6730" s="1">
        <v>0</v>
      </c>
      <c r="K6730" s="2">
        <v>34.0</v>
      </c>
    </row>
    <row r="6731" spans="1:12">
      <c r="A6731" s="3" t="s">
        <v>6900</v>
      </c>
      <c r="B6731" s="3" t="s">
        <v>6958</v>
      </c>
      <c r="C6731" s="3"/>
      <c r="D6731" s="3"/>
      <c r="E6731" s="2" t="str">
        <f>HYPERLINK("https://old.ukr-mobil.com/plata_bms_daly_li-ion_72v_20s_60a_simetriya_vlagozashchitnaya_s_balansirom_10003048", "Перейти")</f>
        <v>Перейти</v>
      </c>
      <c r="F6731" s="2">
        <v>10003048</v>
      </c>
      <c r="G6731" s="4" t="s">
        <v>6984</v>
      </c>
      <c r="H6731" s="1">
        <v>7</v>
      </c>
      <c r="I6731" s="1">
        <v>1</v>
      </c>
      <c r="J6731" s="1">
        <v>0</v>
      </c>
      <c r="K6731" s="2">
        <v>56.0</v>
      </c>
    </row>
    <row r="6732" spans="1:12">
      <c r="A6732" s="3" t="s">
        <v>6900</v>
      </c>
      <c r="B6732" s="3" t="s">
        <v>6958</v>
      </c>
      <c r="C6732" s="3"/>
      <c r="D6732" s="3"/>
      <c r="E6732" s="2" t="str">
        <f>HYPERLINK("https://old.ukr-mobil.com/plata_bms_daly_li-ion_72v_21s_40a_simetriya_vlagozashchitnaya_s_balansirom_10003049", "Перейти")</f>
        <v>Перейти</v>
      </c>
      <c r="F6732" s="2">
        <v>10003049</v>
      </c>
      <c r="G6732" s="4" t="s">
        <v>6985</v>
      </c>
      <c r="H6732" s="1">
        <v>8</v>
      </c>
      <c r="I6732" s="1">
        <v>1</v>
      </c>
      <c r="J6732" s="1">
        <v>0</v>
      </c>
      <c r="K6732" s="2">
        <v>36.0</v>
      </c>
    </row>
    <row r="6733" spans="1:12">
      <c r="A6733" s="3" t="s">
        <v>6900</v>
      </c>
      <c r="B6733" s="3" t="s">
        <v>6958</v>
      </c>
      <c r="C6733" s="3"/>
      <c r="D6733" s="3"/>
      <c r="E6733" s="2" t="str">
        <f>HYPERLINK("https://old.ukr-mobil.com/plata_bms_daly_li-ion_72v_21s_60a_simetriya_vlagozashchitnaya_s_balansirom_10003050", "Перейти")</f>
        <v>Перейти</v>
      </c>
      <c r="F6733" s="2">
        <v>10003050</v>
      </c>
      <c r="G6733" s="4" t="s">
        <v>6986</v>
      </c>
      <c r="H6733" s="1">
        <v>11</v>
      </c>
      <c r="I6733" s="1">
        <v>2</v>
      </c>
      <c r="J6733" s="1">
        <v>0</v>
      </c>
      <c r="K6733" s="2">
        <v>54.0</v>
      </c>
    </row>
    <row r="6734" spans="1:12">
      <c r="A6734" s="3" t="s">
        <v>6900</v>
      </c>
      <c r="B6734" s="3" t="s">
        <v>6958</v>
      </c>
      <c r="C6734" s="3"/>
      <c r="D6734" s="3"/>
      <c r="E6734" s="2" t="str">
        <f>HYPERLINK("https://old.ukr-mobil.com/plata_bms_daly_lifepo4_12v_4s_100a_simetriya_vlagozashchitnaya_s_balansirom_10003022", "Перейти")</f>
        <v>Перейти</v>
      </c>
      <c r="F6734" s="2">
        <v>10003022</v>
      </c>
      <c r="G6734" s="4" t="s">
        <v>6987</v>
      </c>
      <c r="H6734" s="1">
        <v>1</v>
      </c>
      <c r="I6734" s="1">
        <v>0</v>
      </c>
      <c r="J6734" s="1">
        <v>0</v>
      </c>
      <c r="K6734" s="2">
        <v>47.0</v>
      </c>
    </row>
    <row r="6735" spans="1:12">
      <c r="A6735" s="3" t="s">
        <v>6900</v>
      </c>
      <c r="B6735" s="3" t="s">
        <v>6958</v>
      </c>
      <c r="C6735" s="3"/>
      <c r="D6735" s="3"/>
      <c r="E6735" s="2" t="str">
        <f>HYPERLINK("https://old.ukr-mobil.com/plata_bms_daly_lifepo4_12v_4s_100a_s_ventilyatorom_simetriya_vlagozashchitnaya_s_balansirom_10003023", "Перейти")</f>
        <v>Перейти</v>
      </c>
      <c r="F6735" s="2">
        <v>10003023</v>
      </c>
      <c r="G6735" s="4" t="s">
        <v>6988</v>
      </c>
      <c r="H6735" s="1">
        <v>4</v>
      </c>
      <c r="I6735" s="1">
        <v>0</v>
      </c>
      <c r="J6735" s="1">
        <v>0</v>
      </c>
      <c r="K6735" s="2">
        <v>64.0</v>
      </c>
    </row>
    <row r="6736" spans="1:12">
      <c r="A6736" s="3" t="s">
        <v>6900</v>
      </c>
      <c r="B6736" s="3" t="s">
        <v>6958</v>
      </c>
      <c r="C6736" s="3"/>
      <c r="D6736" s="3"/>
      <c r="E6736" s="2" t="str">
        <f>HYPERLINK("https://old.ukr-mobil.com/plata_bms_daly_lifepo4_12v_4s_20a_simetriya_vlagozashchitnaya_s_balansirom_10003019", "Перейти")</f>
        <v>Перейти</v>
      </c>
      <c r="F6736" s="2">
        <v>10003019</v>
      </c>
      <c r="G6736" s="4" t="s">
        <v>6989</v>
      </c>
      <c r="H6736" s="1">
        <v>0</v>
      </c>
      <c r="I6736" s="1">
        <v>0</v>
      </c>
      <c r="J6736" s="1">
        <v>0</v>
      </c>
      <c r="K6736" s="2">
        <v>8.5</v>
      </c>
    </row>
    <row r="6737" spans="1:12">
      <c r="A6737" s="3" t="s">
        <v>6900</v>
      </c>
      <c r="B6737" s="3" t="s">
        <v>6958</v>
      </c>
      <c r="C6737" s="3"/>
      <c r="D6737" s="3"/>
      <c r="E6737" s="2" t="str">
        <f>HYPERLINK("https://old.ukr-mobil.com/plata_bms_daly_lifepo4_12v_4s_40a_simetriya_vlagozashchitnaya_s_balansirom_10003020", "Перейти")</f>
        <v>Перейти</v>
      </c>
      <c r="F6737" s="2">
        <v>10003020</v>
      </c>
      <c r="G6737" s="4" t="s">
        <v>6990</v>
      </c>
      <c r="H6737" s="1">
        <v>0</v>
      </c>
      <c r="I6737" s="1">
        <v>0</v>
      </c>
      <c r="J6737" s="1">
        <v>0</v>
      </c>
      <c r="K6737" s="2">
        <v>16.0</v>
      </c>
    </row>
    <row r="6738" spans="1:12">
      <c r="A6738" s="3" t="s">
        <v>6900</v>
      </c>
      <c r="B6738" s="3" t="s">
        <v>6958</v>
      </c>
      <c r="C6738" s="3"/>
      <c r="D6738" s="3"/>
      <c r="E6738" s="2" t="str">
        <f>HYPERLINK("https://old.ukr-mobil.com/plata_bms_daly_lifepo4_12v_4s_60a_simetriya_vlagozashchitnaya_s_balansirom_10003021", "Перейти")</f>
        <v>Перейти</v>
      </c>
      <c r="F6738" s="2">
        <v>10003021</v>
      </c>
      <c r="G6738" s="4" t="s">
        <v>6991</v>
      </c>
      <c r="H6738" s="1">
        <v>2</v>
      </c>
      <c r="I6738" s="1">
        <v>0</v>
      </c>
      <c r="J6738" s="1">
        <v>0</v>
      </c>
      <c r="K6738" s="2">
        <v>22.0</v>
      </c>
    </row>
    <row r="6739" spans="1:12">
      <c r="A6739" s="3" t="s">
        <v>6900</v>
      </c>
      <c r="B6739" s="3" t="s">
        <v>6958</v>
      </c>
      <c r="C6739" s="3"/>
      <c r="D6739" s="3"/>
      <c r="E6739" s="2" t="str">
        <f>HYPERLINK("https://old.ukr-mobil.com/plata_bms_daly_lifepo4_24v_8s_20a_simetriya_vlagozashchitnaya_s_balansirom_10003028", "Перейти")</f>
        <v>Перейти</v>
      </c>
      <c r="F6739" s="2">
        <v>10003028</v>
      </c>
      <c r="G6739" s="4" t="s">
        <v>6992</v>
      </c>
      <c r="H6739" s="1">
        <v>0</v>
      </c>
      <c r="I6739" s="1">
        <v>0</v>
      </c>
      <c r="J6739" s="1">
        <v>0</v>
      </c>
      <c r="K6739" s="2">
        <v>12.35</v>
      </c>
    </row>
    <row r="6740" spans="1:12">
      <c r="A6740" s="3" t="s">
        <v>6900</v>
      </c>
      <c r="B6740" s="3" t="s">
        <v>6958</v>
      </c>
      <c r="C6740" s="3"/>
      <c r="D6740" s="3"/>
      <c r="E6740" s="2" t="str">
        <f>HYPERLINK("https://old.ukr-mobil.com/plata_bms_daly_lifepo4_24v_8s_30a_simetriya_vlagozashchitnaya_s_balansirom_10003029", "Перейти")</f>
        <v>Перейти</v>
      </c>
      <c r="F6740" s="2">
        <v>10003029</v>
      </c>
      <c r="G6740" s="4" t="s">
        <v>6993</v>
      </c>
      <c r="H6740" s="1">
        <v>27</v>
      </c>
      <c r="I6740" s="1">
        <v>6</v>
      </c>
      <c r="J6740" s="1">
        <v>0</v>
      </c>
      <c r="K6740" s="2">
        <v>20.0</v>
      </c>
    </row>
    <row r="6741" spans="1:12">
      <c r="A6741" s="3" t="s">
        <v>6900</v>
      </c>
      <c r="B6741" s="3" t="s">
        <v>6958</v>
      </c>
      <c r="C6741" s="3"/>
      <c r="D6741" s="3"/>
      <c r="E6741" s="2" t="str">
        <f>HYPERLINK("https://old.ukr-mobil.com/plata_bms_daly_lifepo4_36v_12s_30a_simetriya_vlagozashchitnaya_s_balansirom_10003031", "Перейти")</f>
        <v>Перейти</v>
      </c>
      <c r="F6741" s="2">
        <v>10003031</v>
      </c>
      <c r="G6741" s="4" t="s">
        <v>6994</v>
      </c>
      <c r="H6741" s="1">
        <v>4</v>
      </c>
      <c r="I6741" s="1">
        <v>1</v>
      </c>
      <c r="J6741" s="1">
        <v>0</v>
      </c>
      <c r="K6741" s="2">
        <v>22.0</v>
      </c>
    </row>
    <row r="6742" spans="1:12">
      <c r="A6742" s="3" t="s">
        <v>6900</v>
      </c>
      <c r="B6742" s="3" t="s">
        <v>6958</v>
      </c>
      <c r="C6742" s="3"/>
      <c r="D6742" s="3"/>
      <c r="E6742" s="2" t="str">
        <f>HYPERLINK("https://old.ukr-mobil.com/plata_bms_daly_lifepo4_36v_12s_50a_simetriya_vlagozashchitnaya_s_balansirom_10003032", "Перейти")</f>
        <v>Перейти</v>
      </c>
      <c r="F6742" s="2">
        <v>10003032</v>
      </c>
      <c r="G6742" s="4" t="s">
        <v>6995</v>
      </c>
      <c r="H6742" s="1">
        <v>5</v>
      </c>
      <c r="I6742" s="1">
        <v>2</v>
      </c>
      <c r="J6742" s="1">
        <v>0</v>
      </c>
      <c r="K6742" s="2">
        <v>31.0</v>
      </c>
    </row>
    <row r="6743" spans="1:12">
      <c r="A6743" s="3" t="s">
        <v>6900</v>
      </c>
      <c r="B6743" s="3" t="s">
        <v>6958</v>
      </c>
      <c r="C6743" s="3"/>
      <c r="D6743" s="3"/>
      <c r="E6743" s="2" t="str">
        <f>HYPERLINK("https://old.ukr-mobil.com/plata_bms_daly_lifepo4_48v_15s_30a_simetriya_vlagozashchitnaya_s_balansirom_10003037", "Перейти")</f>
        <v>Перейти</v>
      </c>
      <c r="F6743" s="2">
        <v>10003037</v>
      </c>
      <c r="G6743" s="4" t="s">
        <v>6996</v>
      </c>
      <c r="H6743" s="1">
        <v>23</v>
      </c>
      <c r="I6743" s="1">
        <v>0</v>
      </c>
      <c r="J6743" s="1">
        <v>0</v>
      </c>
      <c r="K6743" s="2">
        <v>24.0</v>
      </c>
    </row>
    <row r="6744" spans="1:12">
      <c r="A6744" s="3" t="s">
        <v>6900</v>
      </c>
      <c r="B6744" s="3" t="s">
        <v>6958</v>
      </c>
      <c r="C6744" s="3"/>
      <c r="D6744" s="3"/>
      <c r="E6744" s="2" t="str">
        <f>HYPERLINK("https://old.ukr-mobil.com/plata_bms_daly_lifepo4_48v_15s_50a_simetriya_vlagozashchitnaya_s_balansirom_10003038", "Перейти")</f>
        <v>Перейти</v>
      </c>
      <c r="F6744" s="2">
        <v>10003038</v>
      </c>
      <c r="G6744" s="4" t="s">
        <v>6997</v>
      </c>
      <c r="H6744" s="1">
        <v>0</v>
      </c>
      <c r="I6744" s="1">
        <v>0</v>
      </c>
      <c r="J6744" s="1">
        <v>0</v>
      </c>
      <c r="K6744" s="2">
        <v>42.0</v>
      </c>
    </row>
    <row r="6745" spans="1:12">
      <c r="A6745" s="3" t="s">
        <v>6900</v>
      </c>
      <c r="B6745" s="3" t="s">
        <v>6958</v>
      </c>
      <c r="C6745" s="3"/>
      <c r="D6745" s="3"/>
      <c r="E6745" s="2" t="str">
        <f>HYPERLINK("https://old.ukr-mobil.com/plata_bms_daly_lifepo4_48v_16s_120a_simetriya_vlagozashchitnaya_s_balansirom_10003895", "Перейти")</f>
        <v>Перейти</v>
      </c>
      <c r="F6745" s="2">
        <v>10003895</v>
      </c>
      <c r="G6745" s="4" t="s">
        <v>6998</v>
      </c>
      <c r="H6745" s="1">
        <v>0</v>
      </c>
      <c r="I6745" s="1">
        <v>1</v>
      </c>
      <c r="J6745" s="1">
        <v>2</v>
      </c>
      <c r="K6745" s="2">
        <v>90.0</v>
      </c>
    </row>
    <row r="6746" spans="1:12">
      <c r="A6746" s="3" t="s">
        <v>6900</v>
      </c>
      <c r="B6746" s="3" t="s">
        <v>6958</v>
      </c>
      <c r="C6746" s="3"/>
      <c r="D6746" s="3"/>
      <c r="E6746" s="2" t="str">
        <f>HYPERLINK("https://old.ukr-mobil.com/plata_bms_daly_lifepo4_48v_16s_30a_simetriya_vlagozashchitnaya_s_balansirom_10003039", "Перейти")</f>
        <v>Перейти</v>
      </c>
      <c r="F6746" s="2">
        <v>10003039</v>
      </c>
      <c r="G6746" s="4" t="s">
        <v>6999</v>
      </c>
      <c r="H6746" s="1">
        <v>5</v>
      </c>
      <c r="I6746" s="1">
        <v>2</v>
      </c>
      <c r="J6746" s="1">
        <v>0</v>
      </c>
      <c r="K6746" s="2">
        <v>29.0</v>
      </c>
    </row>
    <row r="6747" spans="1:12">
      <c r="A6747" s="3" t="s">
        <v>6900</v>
      </c>
      <c r="B6747" s="3" t="s">
        <v>6958</v>
      </c>
      <c r="C6747" s="3"/>
      <c r="D6747" s="3"/>
      <c r="E6747" s="2" t="str">
        <f>HYPERLINK("https://old.ukr-mobil.com/plata_bms_daly_lifepo4_48v_16s_50a_simetriya_vlagozashchitnaya_s_balansirom_10003040", "Перейти")</f>
        <v>Перейти</v>
      </c>
      <c r="F6747" s="2">
        <v>10003040</v>
      </c>
      <c r="G6747" s="4" t="s">
        <v>7000</v>
      </c>
      <c r="H6747" s="1">
        <v>3</v>
      </c>
      <c r="I6747" s="1">
        <v>4</v>
      </c>
      <c r="J6747" s="1">
        <v>0</v>
      </c>
      <c r="K6747" s="2">
        <v>31.0</v>
      </c>
    </row>
    <row r="6748" spans="1:12">
      <c r="A6748" s="3" t="s">
        <v>6900</v>
      </c>
      <c r="B6748" s="3" t="s">
        <v>6958</v>
      </c>
      <c r="C6748" s="3"/>
      <c r="D6748" s="3"/>
      <c r="E6748" s="2" t="str">
        <f>HYPERLINK("https://old.ukr-mobil.com/plata_bms_daly_lifepo4_60v_20s_30a_simetriya_vlagozashchitnaya_s_balansirom_10003045", "Перейти")</f>
        <v>Перейти</v>
      </c>
      <c r="F6748" s="2">
        <v>10003045</v>
      </c>
      <c r="G6748" s="4" t="s">
        <v>7001</v>
      </c>
      <c r="H6748" s="1">
        <v>6</v>
      </c>
      <c r="I6748" s="1">
        <v>0</v>
      </c>
      <c r="J6748" s="1">
        <v>0</v>
      </c>
      <c r="K6748" s="2">
        <v>26.0</v>
      </c>
    </row>
    <row r="6749" spans="1:12">
      <c r="A6749" s="3" t="s">
        <v>6900</v>
      </c>
      <c r="B6749" s="3" t="s">
        <v>6958</v>
      </c>
      <c r="C6749" s="3"/>
      <c r="D6749" s="3"/>
      <c r="E6749" s="2" t="str">
        <f>HYPERLINK("https://old.ukr-mobil.com/plata_bms_daly_lifepo4_60v_20s_60a_simetriya_vlagozashchitnaya_s_balansirom_10003046", "Перейти")</f>
        <v>Перейти</v>
      </c>
      <c r="F6749" s="2">
        <v>10003046</v>
      </c>
      <c r="G6749" s="4" t="s">
        <v>7002</v>
      </c>
      <c r="H6749" s="1">
        <v>15</v>
      </c>
      <c r="I6749" s="1">
        <v>0</v>
      </c>
      <c r="J6749" s="1">
        <v>0</v>
      </c>
      <c r="K6749" s="2">
        <v>52.0</v>
      </c>
    </row>
    <row r="6750" spans="1:12">
      <c r="A6750" s="3" t="s">
        <v>6900</v>
      </c>
      <c r="B6750" s="3" t="s">
        <v>6958</v>
      </c>
      <c r="C6750" s="3"/>
      <c r="D6750" s="3"/>
      <c r="E6750" s="2" t="str">
        <f>HYPERLINK("https://old.ukr-mobil.com/plata_bms_daly_lifepo4_72v_24s_40a_simetriya_vlagozashchitnaya_s_balansirom_10003051", "Перейти")</f>
        <v>Перейти</v>
      </c>
      <c r="F6750" s="2">
        <v>10003051</v>
      </c>
      <c r="G6750" s="4" t="s">
        <v>7003</v>
      </c>
      <c r="H6750" s="1">
        <v>9</v>
      </c>
      <c r="I6750" s="1">
        <v>0</v>
      </c>
      <c r="J6750" s="1">
        <v>0</v>
      </c>
      <c r="K6750" s="2">
        <v>38.0</v>
      </c>
    </row>
    <row r="6751" spans="1:12">
      <c r="A6751" s="3" t="s">
        <v>6900</v>
      </c>
      <c r="B6751" s="3" t="s">
        <v>6958</v>
      </c>
      <c r="C6751" s="3"/>
      <c r="D6751" s="3"/>
      <c r="E6751" s="2" t="str">
        <f>HYPERLINK("https://old.ukr-mobil.com/plata_bms_daly_lifepo4_72v_24s_60a_simetriya_vlagozashchitnaya_s_balansirom_10003052", "Перейти")</f>
        <v>Перейти</v>
      </c>
      <c r="F6751" s="2">
        <v>10003052</v>
      </c>
      <c r="G6751" s="4" t="s">
        <v>7004</v>
      </c>
      <c r="H6751" s="1">
        <v>9</v>
      </c>
      <c r="I6751" s="1">
        <v>0</v>
      </c>
      <c r="J6751" s="1">
        <v>0</v>
      </c>
      <c r="K6751" s="2">
        <v>54.0</v>
      </c>
    </row>
    <row r="6752" spans="1:12">
      <c r="A6752" s="3" t="s">
        <v>6900</v>
      </c>
      <c r="B6752" s="3" t="s">
        <v>6958</v>
      </c>
      <c r="C6752" s="3"/>
      <c r="D6752" s="3"/>
      <c r="E6752" s="2" t="str">
        <f>HYPERLINK("https://old.ukr-mobil.com/index.php?route=product&amp;product_id=10005370", "Перейти")</f>
        <v>Перейти</v>
      </c>
      <c r="F6752" s="2">
        <v>10005370</v>
      </c>
      <c r="G6752" s="4" t="s">
        <v>7005</v>
      </c>
      <c r="H6752" s="1">
        <v>0</v>
      </c>
      <c r="I6752" s="1">
        <v>1</v>
      </c>
      <c r="J6752" s="1">
        <v>0</v>
      </c>
      <c r="K6752" s="2">
        <v>76.0</v>
      </c>
    </row>
    <row r="6753" spans="1:12">
      <c r="A6753" s="3" t="s">
        <v>6900</v>
      </c>
      <c r="B6753" s="3" t="s">
        <v>6958</v>
      </c>
      <c r="C6753" s="3"/>
      <c r="D6753" s="3"/>
      <c r="E6753" s="2" t="str">
        <f>HYPERLINK("https://old.ukr-mobil.com/index.php?route=product&amp;product_id=10005371", "Перейти")</f>
        <v>Перейти</v>
      </c>
      <c r="F6753" s="2">
        <v>10005371</v>
      </c>
      <c r="G6753" s="4" t="s">
        <v>7006</v>
      </c>
      <c r="H6753" s="1">
        <v>4</v>
      </c>
      <c r="I6753" s="1">
        <v>1</v>
      </c>
      <c r="J6753" s="1">
        <v>0</v>
      </c>
      <c r="K6753" s="2">
        <v>82.0</v>
      </c>
    </row>
    <row r="6754" spans="1:12">
      <c r="A6754" s="3" t="s">
        <v>6900</v>
      </c>
      <c r="B6754" s="3" t="s">
        <v>6958</v>
      </c>
      <c r="C6754" s="3"/>
      <c r="D6754" s="3"/>
      <c r="E6754" s="2" t="str">
        <f>HYPERLINK("https://old.ukr-mobil.com/index.php?route=product&amp;product_id=10005372", "Перейти")</f>
        <v>Перейти</v>
      </c>
      <c r="F6754" s="2">
        <v>10005372</v>
      </c>
      <c r="G6754" s="4" t="s">
        <v>7007</v>
      </c>
      <c r="H6754" s="1">
        <v>7</v>
      </c>
      <c r="I6754" s="1">
        <v>2</v>
      </c>
      <c r="J6754" s="1">
        <v>0</v>
      </c>
      <c r="K6754" s="2">
        <v>66.0</v>
      </c>
    </row>
    <row r="6755" spans="1:12">
      <c r="A6755" s="3" t="s">
        <v>6900</v>
      </c>
      <c r="B6755" s="3" t="s">
        <v>6958</v>
      </c>
      <c r="C6755" s="3"/>
      <c r="D6755" s="3"/>
      <c r="E6755" s="2" t="str">
        <f>HYPERLINK("https://old.ukr-mobil.com/index.php?route=product&amp;product_id=10005373", "Перейти")</f>
        <v>Перейти</v>
      </c>
      <c r="F6755" s="2">
        <v>10005373</v>
      </c>
      <c r="G6755" s="4" t="s">
        <v>7008</v>
      </c>
      <c r="H6755" s="1">
        <v>5</v>
      </c>
      <c r="I6755" s="1">
        <v>3</v>
      </c>
      <c r="J6755" s="1">
        <v>0</v>
      </c>
      <c r="K6755" s="2">
        <v>74.0</v>
      </c>
    </row>
    <row r="6756" spans="1:12">
      <c r="A6756" s="3" t="s">
        <v>6900</v>
      </c>
      <c r="B6756" s="3" t="s">
        <v>6958</v>
      </c>
      <c r="C6756" s="3"/>
      <c r="D6756" s="3"/>
      <c r="E6756" s="2" t="str">
        <f>HYPERLINK("https://old.ukr-mobil.com/index.php?route=product&amp;product_id=10005374", "Перейти")</f>
        <v>Перейти</v>
      </c>
      <c r="F6756" s="2">
        <v>10005374</v>
      </c>
      <c r="G6756" s="4" t="s">
        <v>7009</v>
      </c>
      <c r="H6756" s="1">
        <v>4</v>
      </c>
      <c r="I6756" s="1">
        <v>1</v>
      </c>
      <c r="J6756" s="1">
        <v>0</v>
      </c>
      <c r="K6756" s="2">
        <v>84.0</v>
      </c>
    </row>
    <row r="6757" spans="1:12">
      <c r="A6757" s="3" t="s">
        <v>6900</v>
      </c>
      <c r="B6757" s="3" t="s">
        <v>6958</v>
      </c>
      <c r="C6757" s="3"/>
      <c r="D6757" s="3"/>
      <c r="E6757" s="2" t="str">
        <f>HYPERLINK("https://old.ukr-mobil.com/index.php?route=product&amp;product_id=10005375", "Перейти")</f>
        <v>Перейти</v>
      </c>
      <c r="F6757" s="2">
        <v>10005375</v>
      </c>
      <c r="G6757" s="4" t="s">
        <v>7010</v>
      </c>
      <c r="H6757" s="1">
        <v>4</v>
      </c>
      <c r="I6757" s="1">
        <v>1</v>
      </c>
      <c r="J6757" s="1">
        <v>0</v>
      </c>
      <c r="K6757" s="2">
        <v>96.0</v>
      </c>
    </row>
    <row r="6758" spans="1:12">
      <c r="A6758" s="3" t="s">
        <v>6900</v>
      </c>
      <c r="B6758" s="3" t="s">
        <v>6958</v>
      </c>
      <c r="C6758" s="3"/>
      <c r="D6758" s="3"/>
      <c r="E6758" s="2" t="str">
        <f>HYPERLINK("https://old.ukr-mobil.com/index.php?route=product&amp;product_id=10005376", "Перейти")</f>
        <v>Перейти</v>
      </c>
      <c r="F6758" s="2">
        <v>10005376</v>
      </c>
      <c r="G6758" s="4" t="s">
        <v>7011</v>
      </c>
      <c r="H6758" s="1">
        <v>3</v>
      </c>
      <c r="I6758" s="1">
        <v>1</v>
      </c>
      <c r="J6758" s="1">
        <v>0</v>
      </c>
      <c r="K6758" s="2">
        <v>86.0</v>
      </c>
    </row>
    <row r="6759" spans="1:12">
      <c r="A6759" s="3" t="s">
        <v>6900</v>
      </c>
      <c r="B6759" s="3" t="s">
        <v>6958</v>
      </c>
      <c r="C6759" s="3"/>
      <c r="D6759" s="3"/>
      <c r="E6759" s="2" t="str">
        <f>HYPERLINK("https://old.ukr-mobil.com/plata_bms_daly_lifepo4_12v_4s_250a_simetriya_vlagozashchitnaya_s_balansirom_uart_bluetooth_knopka_vklyucheniya_10004497", "Перейти")</f>
        <v>Перейти</v>
      </c>
      <c r="F6759" s="2">
        <v>10004497</v>
      </c>
      <c r="G6759" s="4" t="s">
        <v>7012</v>
      </c>
      <c r="H6759" s="1">
        <v>0</v>
      </c>
      <c r="I6759" s="1">
        <v>0</v>
      </c>
      <c r="J6759" s="1">
        <v>0</v>
      </c>
      <c r="K6759" s="2">
        <v>186.0</v>
      </c>
    </row>
    <row r="6760" spans="1:12">
      <c r="A6760" s="3" t="s">
        <v>6900</v>
      </c>
      <c r="B6760" s="3" t="s">
        <v>6958</v>
      </c>
      <c r="C6760" s="3"/>
      <c r="D6760" s="3"/>
      <c r="E6760" s="2" t="str">
        <f>HYPERLINK("https://old.ukr-mobil.com/index.php?route=product&amp;product_id=10004592", "Перейти")</f>
        <v>Перейти</v>
      </c>
      <c r="F6760" s="2">
        <v>10004592</v>
      </c>
      <c r="G6760" s="4" t="s">
        <v>7013</v>
      </c>
      <c r="H6760" s="1">
        <v>0</v>
      </c>
      <c r="I6760" s="1">
        <v>0</v>
      </c>
      <c r="J6760" s="1">
        <v>0</v>
      </c>
      <c r="K6760" s="2">
        <v>260.0</v>
      </c>
    </row>
    <row r="6761" spans="1:12">
      <c r="A6761" s="3" t="s">
        <v>6900</v>
      </c>
      <c r="B6761" s="3" t="s">
        <v>6958</v>
      </c>
      <c r="C6761" s="3"/>
      <c r="D6761" s="3"/>
      <c r="E6761" s="2" t="str">
        <f>HYPERLINK("https://old.ukr-mobil.com/index.php?route=product&amp;product_id=10005377", "Перейти")</f>
        <v>Перейти</v>
      </c>
      <c r="F6761" s="2">
        <v>10005377</v>
      </c>
      <c r="G6761" s="4" t="s">
        <v>7014</v>
      </c>
      <c r="H6761" s="1">
        <v>4</v>
      </c>
      <c r="I6761" s="1">
        <v>1</v>
      </c>
      <c r="J6761" s="1">
        <v>0</v>
      </c>
      <c r="K6761" s="2">
        <v>81.0</v>
      </c>
    </row>
    <row r="6762" spans="1:12">
      <c r="A6762" s="3" t="s">
        <v>6900</v>
      </c>
      <c r="B6762" s="3" t="s">
        <v>6958</v>
      </c>
      <c r="C6762" s="3"/>
      <c r="D6762" s="3"/>
      <c r="E6762" s="2" t="str">
        <f>HYPERLINK("https://old.ukr-mobil.com/index.php?route=product&amp;product_id=10005378", "Перейти")</f>
        <v>Перейти</v>
      </c>
      <c r="F6762" s="2">
        <v>10005378</v>
      </c>
      <c r="G6762" s="4" t="s">
        <v>7015</v>
      </c>
      <c r="H6762" s="1">
        <v>4</v>
      </c>
      <c r="I6762" s="1">
        <v>1</v>
      </c>
      <c r="J6762" s="1">
        <v>0</v>
      </c>
      <c r="K6762" s="2">
        <v>92.0</v>
      </c>
    </row>
    <row r="6763" spans="1:12">
      <c r="A6763" s="3" t="s">
        <v>6900</v>
      </c>
      <c r="B6763" s="3" t="s">
        <v>6958</v>
      </c>
      <c r="C6763" s="3"/>
      <c r="D6763" s="3"/>
      <c r="E6763" s="2" t="str">
        <f>HYPERLINK("https://old.ukr-mobil.com/index.php?route=product&amp;product_id=10005379", "Перейти")</f>
        <v>Перейти</v>
      </c>
      <c r="F6763" s="2">
        <v>10005379</v>
      </c>
      <c r="G6763" s="4" t="s">
        <v>7016</v>
      </c>
      <c r="H6763" s="1">
        <v>3</v>
      </c>
      <c r="I6763" s="1">
        <v>1</v>
      </c>
      <c r="J6763" s="1">
        <v>0</v>
      </c>
      <c r="K6763" s="2">
        <v>98.0</v>
      </c>
    </row>
    <row r="6764" spans="1:12">
      <c r="A6764" s="3" t="s">
        <v>6900</v>
      </c>
      <c r="B6764" s="3" t="s">
        <v>6958</v>
      </c>
      <c r="C6764" s="3"/>
      <c r="D6764" s="3"/>
      <c r="E6764" s="2" t="str">
        <f>HYPERLINK("https://old.ukr-mobil.com/plata_bms_li-ion_12v_3s_40a_s_balansirom_10003149", "Перейти")</f>
        <v>Перейти</v>
      </c>
      <c r="F6764" s="2">
        <v>10003149</v>
      </c>
      <c r="G6764" s="4" t="s">
        <v>7017</v>
      </c>
      <c r="H6764" s="1">
        <v>0</v>
      </c>
      <c r="I6764" s="1">
        <v>0</v>
      </c>
      <c r="J6764" s="1">
        <v>0</v>
      </c>
      <c r="K6764" s="2">
        <v>2.3</v>
      </c>
    </row>
    <row r="6765" spans="1:12">
      <c r="A6765" s="3" t="s">
        <v>6900</v>
      </c>
      <c r="B6765" s="3" t="s">
        <v>6958</v>
      </c>
      <c r="C6765" s="3"/>
      <c r="D6765" s="3"/>
      <c r="E6765" s="2" t="str">
        <f>HYPERLINK("https://old.ukr-mobil.com/plata_bms_li-ion_36v_10s_30a_simmetriya_s_balansirom_10003150", "Перейти")</f>
        <v>Перейти</v>
      </c>
      <c r="F6765" s="2">
        <v>10003150</v>
      </c>
      <c r="G6765" s="4" t="s">
        <v>7018</v>
      </c>
      <c r="H6765" s="1">
        <v>0</v>
      </c>
      <c r="I6765" s="1">
        <v>0</v>
      </c>
      <c r="J6765" s="1">
        <v>0</v>
      </c>
      <c r="K6765" s="2">
        <v>11.5</v>
      </c>
    </row>
    <row r="6766" spans="1:12">
      <c r="A6766" s="3" t="s">
        <v>6900</v>
      </c>
      <c r="B6766" s="3" t="s">
        <v>6958</v>
      </c>
      <c r="C6766" s="3"/>
      <c r="D6766" s="3"/>
      <c r="E6766" s="2" t="str">
        <f>HYPERLINK("https://old.ukr-mobil.com/plata_bms_li-ion_48v_13s_30a_50a_max_simmetriya_s_balansirom_10003151", "Перейти")</f>
        <v>Перейти</v>
      </c>
      <c r="F6766" s="2">
        <v>10003151</v>
      </c>
      <c r="G6766" s="4" t="s">
        <v>7019</v>
      </c>
      <c r="H6766" s="1">
        <v>0</v>
      </c>
      <c r="I6766" s="1">
        <v>0</v>
      </c>
      <c r="J6766" s="1">
        <v>0</v>
      </c>
      <c r="K6766" s="2">
        <v>12.25</v>
      </c>
    </row>
    <row r="6767" spans="1:12">
      <c r="A6767" s="3" t="s">
        <v>6900</v>
      </c>
      <c r="B6767" s="3" t="s">
        <v>6958</v>
      </c>
      <c r="C6767" s="3"/>
      <c r="D6767" s="3"/>
      <c r="E6767" s="2" t="str">
        <f>HYPERLINK("https://old.ukr-mobil.com/plata_bms_li-ion_48v_13s_30a_50a_max_simmetrichna_s_balansirom_10004505", "Перейти")</f>
        <v>Перейти</v>
      </c>
      <c r="F6767" s="2">
        <v>10004505</v>
      </c>
      <c r="G6767" s="4" t="s">
        <v>7020</v>
      </c>
      <c r="H6767" s="1">
        <v>5</v>
      </c>
      <c r="I6767" s="1">
        <v>1</v>
      </c>
      <c r="J6767" s="1">
        <v>0</v>
      </c>
      <c r="K6767" s="2">
        <v>17.0</v>
      </c>
    </row>
    <row r="6768" spans="1:12">
      <c r="A6768" s="3" t="s">
        <v>6900</v>
      </c>
      <c r="B6768" s="3" t="s">
        <v>6958</v>
      </c>
      <c r="C6768" s="3"/>
      <c r="D6768" s="3"/>
      <c r="E6768" s="2" t="str">
        <f>HYPERLINK("https://old.ukr-mobil.com/plata_bms_li-ion_48v_13s_60a_s_balansirom_10003152", "Перейти")</f>
        <v>Перейти</v>
      </c>
      <c r="F6768" s="2">
        <v>10003152</v>
      </c>
      <c r="G6768" s="4" t="s">
        <v>7021</v>
      </c>
      <c r="H6768" s="1">
        <v>0</v>
      </c>
      <c r="I6768" s="1">
        <v>0</v>
      </c>
      <c r="J6768" s="1">
        <v>0</v>
      </c>
      <c r="K6768" s="2">
        <v>14.0</v>
      </c>
    </row>
    <row r="6769" spans="1:12">
      <c r="A6769" s="3" t="s">
        <v>6900</v>
      </c>
      <c r="B6769" s="3" t="s">
        <v>6958</v>
      </c>
      <c r="C6769" s="3"/>
      <c r="D6769" s="3"/>
      <c r="E6769" s="2" t="str">
        <f>HYPERLINK("https://old.ukr-mobil.com/plata_bms_li-ion_60v_16s_60a_s_balansirom_10004302", "Перейти")</f>
        <v>Перейти</v>
      </c>
      <c r="F6769" s="2">
        <v>10004302</v>
      </c>
      <c r="G6769" s="4" t="s">
        <v>7022</v>
      </c>
      <c r="H6769" s="1">
        <v>9</v>
      </c>
      <c r="I6769" s="1">
        <v>1</v>
      </c>
      <c r="J6769" s="1">
        <v>0</v>
      </c>
      <c r="K6769" s="2">
        <v>20.0</v>
      </c>
    </row>
    <row r="6770" spans="1:12">
      <c r="A6770" s="3" t="s">
        <v>6900</v>
      </c>
      <c r="B6770" s="3" t="s">
        <v>6958</v>
      </c>
      <c r="C6770" s="3"/>
      <c r="D6770" s="3"/>
      <c r="E6770" s="2" t="str">
        <f>HYPERLINK("https://old.ukr-mobil.com/plata_bms_li-ion_72v_20s_45a_90a_max_simmetriya_s_balansirom_10003154", "Перейти")</f>
        <v>Перейти</v>
      </c>
      <c r="F6770" s="2">
        <v>10003154</v>
      </c>
      <c r="G6770" s="4" t="s">
        <v>7023</v>
      </c>
      <c r="H6770" s="1">
        <v>0</v>
      </c>
      <c r="I6770" s="1">
        <v>0</v>
      </c>
      <c r="J6770" s="1">
        <v>0</v>
      </c>
      <c r="K6770" s="2">
        <v>31.0</v>
      </c>
    </row>
    <row r="6771" spans="1:12">
      <c r="A6771" s="3" t="s">
        <v>6900</v>
      </c>
      <c r="B6771" s="3" t="s">
        <v>6958</v>
      </c>
      <c r="C6771" s="3" t="s">
        <v>7024</v>
      </c>
      <c r="D6771" s="3"/>
      <c r="E6771" s="2" t="str">
        <f>HYPERLINK("https://old.ukr-mobil.com/index.php?route=product&amp;product_id=10005874", "Перейти")</f>
        <v>Перейти</v>
      </c>
      <c r="F6771" s="2">
        <v>10005874</v>
      </c>
      <c r="G6771" s="4" t="s">
        <v>7025</v>
      </c>
      <c r="H6771" s="1">
        <v>0</v>
      </c>
      <c r="I6771" s="1">
        <v>0</v>
      </c>
      <c r="J6771" s="1">
        <v>0</v>
      </c>
      <c r="K6771" s="2">
        <v>29.0</v>
      </c>
    </row>
    <row r="6772" spans="1:12">
      <c r="A6772" s="3" t="s">
        <v>6900</v>
      </c>
      <c r="B6772" s="3" t="s">
        <v>6958</v>
      </c>
      <c r="C6772" s="3" t="s">
        <v>7024</v>
      </c>
      <c r="D6772" s="3"/>
      <c r="E6772" s="2" t="str">
        <f>HYPERLINK("https://old.ukr-mobil.com/index.php?route=product&amp;product_id=10005875", "Перейти")</f>
        <v>Перейти</v>
      </c>
      <c r="F6772" s="2">
        <v>10005875</v>
      </c>
      <c r="G6772" s="4" t="s">
        <v>7026</v>
      </c>
      <c r="H6772" s="1">
        <v>2</v>
      </c>
      <c r="I6772" s="1">
        <v>0</v>
      </c>
      <c r="J6772" s="1">
        <v>0</v>
      </c>
      <c r="K6772" s="2">
        <v>39.5</v>
      </c>
    </row>
    <row r="6773" spans="1:12">
      <c r="A6773" s="3" t="s">
        <v>6900</v>
      </c>
      <c r="B6773" s="3" t="s">
        <v>6958</v>
      </c>
      <c r="C6773" s="3" t="s">
        <v>7024</v>
      </c>
      <c r="D6773" s="3"/>
      <c r="E6773" s="2" t="str">
        <f>HYPERLINK("https://old.ukr-mobil.com/index.php?route=product&amp;product_id=10005877", "Перейти")</f>
        <v>Перейти</v>
      </c>
      <c r="F6773" s="2">
        <v>10005877</v>
      </c>
      <c r="G6773" s="4" t="s">
        <v>7027</v>
      </c>
      <c r="H6773" s="1">
        <v>0</v>
      </c>
      <c r="I6773" s="1">
        <v>0</v>
      </c>
      <c r="J6773" s="1">
        <v>0</v>
      </c>
      <c r="K6773" s="2">
        <v>2.0</v>
      </c>
    </row>
    <row r="6774" spans="1:12">
      <c r="A6774" s="3" t="s">
        <v>6900</v>
      </c>
      <c r="B6774" s="3" t="s">
        <v>6958</v>
      </c>
      <c r="C6774" s="3" t="s">
        <v>7024</v>
      </c>
      <c r="D6774" s="3"/>
      <c r="E6774" s="2" t="str">
        <f>HYPERLINK("https://old.ukr-mobil.com/index.php?route=product&amp;product_id=10005873", "Перейти")</f>
        <v>Перейти</v>
      </c>
      <c r="F6774" s="2">
        <v>10005873</v>
      </c>
      <c r="G6774" s="4" t="s">
        <v>7028</v>
      </c>
      <c r="H6774" s="1">
        <v>0</v>
      </c>
      <c r="I6774" s="1">
        <v>0</v>
      </c>
      <c r="J6774" s="1">
        <v>0</v>
      </c>
      <c r="K6774" s="2">
        <v>58.0</v>
      </c>
    </row>
    <row r="6775" spans="1:12">
      <c r="A6775" s="3" t="s">
        <v>6900</v>
      </c>
      <c r="B6775" s="3" t="s">
        <v>6958</v>
      </c>
      <c r="C6775" s="3" t="s">
        <v>7024</v>
      </c>
      <c r="D6775" s="3"/>
      <c r="E6775" s="2" t="str">
        <f>HYPERLINK("https://old.ukr-mobil.com/index.php?route=product&amp;product_id=10005825", "Перейти")</f>
        <v>Перейти</v>
      </c>
      <c r="F6775" s="2">
        <v>10005825</v>
      </c>
      <c r="G6775" s="4" t="s">
        <v>7029</v>
      </c>
      <c r="H6775" s="1">
        <v>30</v>
      </c>
      <c r="I6775" s="1">
        <v>10</v>
      </c>
      <c r="J6775" s="1">
        <v>9</v>
      </c>
      <c r="K6775" s="2">
        <v>66.0</v>
      </c>
    </row>
    <row r="6776" spans="1:12">
      <c r="A6776" s="3" t="s">
        <v>6900</v>
      </c>
      <c r="B6776" s="3" t="s">
        <v>6958</v>
      </c>
      <c r="C6776" s="3" t="s">
        <v>7024</v>
      </c>
      <c r="D6776" s="3"/>
      <c r="E6776" s="2" t="str">
        <f>HYPERLINK("https://old.ukr-mobil.com/index.php?route=product&amp;product_id=10005867", "Перейти")</f>
        <v>Перейти</v>
      </c>
      <c r="F6776" s="2">
        <v>10005867</v>
      </c>
      <c r="G6776" s="4" t="s">
        <v>7030</v>
      </c>
      <c r="H6776" s="1">
        <v>2</v>
      </c>
      <c r="I6776" s="1">
        <v>0</v>
      </c>
      <c r="J6776" s="1">
        <v>0</v>
      </c>
      <c r="K6776" s="2">
        <v>132.0</v>
      </c>
    </row>
    <row r="6777" spans="1:12">
      <c r="A6777" s="3" t="s">
        <v>6900</v>
      </c>
      <c r="B6777" s="3" t="s">
        <v>6958</v>
      </c>
      <c r="C6777" s="3" t="s">
        <v>7024</v>
      </c>
      <c r="D6777" s="3"/>
      <c r="E6777" s="2" t="str">
        <f>HYPERLINK("https://old.ukr-mobil.com/index.php?route=product&amp;product_id=10005824", "Перейти")</f>
        <v>Перейти</v>
      </c>
      <c r="F6777" s="2">
        <v>10005824</v>
      </c>
      <c r="G6777" s="4" t="s">
        <v>7031</v>
      </c>
      <c r="H6777" s="1">
        <v>55</v>
      </c>
      <c r="I6777" s="1">
        <v>7</v>
      </c>
      <c r="J6777" s="1">
        <v>6</v>
      </c>
      <c r="K6777" s="2">
        <v>58.0</v>
      </c>
    </row>
    <row r="6778" spans="1:12">
      <c r="A6778" s="3" t="s">
        <v>6900</v>
      </c>
      <c r="B6778" s="3" t="s">
        <v>6958</v>
      </c>
      <c r="C6778" s="3" t="s">
        <v>7024</v>
      </c>
      <c r="D6778" s="3"/>
      <c r="E6778" s="2" t="str">
        <f>HYPERLINK("https://old.ukr-mobil.com/index.php?route=product&amp;product_id=10005869", "Перейти")</f>
        <v>Перейти</v>
      </c>
      <c r="F6778" s="2">
        <v>10005869</v>
      </c>
      <c r="G6778" s="4" t="s">
        <v>7032</v>
      </c>
      <c r="H6778" s="1">
        <v>0</v>
      </c>
      <c r="I6778" s="1">
        <v>0</v>
      </c>
      <c r="J6778" s="1">
        <v>0</v>
      </c>
      <c r="K6778" s="2">
        <v>40.0</v>
      </c>
    </row>
    <row r="6779" spans="1:12">
      <c r="A6779" s="3" t="s">
        <v>6900</v>
      </c>
      <c r="B6779" s="3" t="s">
        <v>6958</v>
      </c>
      <c r="C6779" s="3" t="s">
        <v>7024</v>
      </c>
      <c r="D6779" s="3"/>
      <c r="E6779" s="2" t="str">
        <f>HYPERLINK("https://old.ukr-mobil.com/index.php?route=product&amp;product_id=10005870", "Перейти")</f>
        <v>Перейти</v>
      </c>
      <c r="F6779" s="2">
        <v>10005870</v>
      </c>
      <c r="G6779" s="4" t="s">
        <v>7033</v>
      </c>
      <c r="H6779" s="1">
        <v>0</v>
      </c>
      <c r="I6779" s="1">
        <v>0</v>
      </c>
      <c r="J6779" s="1">
        <v>0</v>
      </c>
      <c r="K6779" s="2">
        <v>53.0</v>
      </c>
    </row>
    <row r="6780" spans="1:12">
      <c r="A6780" s="3" t="s">
        <v>6900</v>
      </c>
      <c r="B6780" s="3" t="s">
        <v>6958</v>
      </c>
      <c r="C6780" s="3" t="s">
        <v>7024</v>
      </c>
      <c r="D6780" s="3"/>
      <c r="E6780" s="2" t="str">
        <f>HYPERLINK("https://old.ukr-mobil.com/index.php?route=product&amp;product_id=10005871", "Перейти")</f>
        <v>Перейти</v>
      </c>
      <c r="F6780" s="2">
        <v>10005871</v>
      </c>
      <c r="G6780" s="4" t="s">
        <v>7034</v>
      </c>
      <c r="H6780" s="1">
        <v>0</v>
      </c>
      <c r="I6780" s="1">
        <v>0</v>
      </c>
      <c r="J6780" s="1">
        <v>0</v>
      </c>
      <c r="K6780" s="2">
        <v>42.0</v>
      </c>
    </row>
    <row r="6781" spans="1:12">
      <c r="A6781" s="3" t="s">
        <v>6900</v>
      </c>
      <c r="B6781" s="3" t="s">
        <v>6958</v>
      </c>
      <c r="C6781" s="3" t="s">
        <v>7024</v>
      </c>
      <c r="D6781" s="3"/>
      <c r="E6781" s="2" t="str">
        <f>HYPERLINK("https://old.ukr-mobil.com/index.php?route=product&amp;product_id=10005820", "Перейти")</f>
        <v>Перейти</v>
      </c>
      <c r="F6781" s="2">
        <v>10005820</v>
      </c>
      <c r="G6781" s="4" t="s">
        <v>7035</v>
      </c>
      <c r="H6781" s="1">
        <v>1</v>
      </c>
      <c r="I6781" s="1">
        <v>0</v>
      </c>
      <c r="J6781" s="1">
        <v>0</v>
      </c>
      <c r="K6781" s="2">
        <v>54.0</v>
      </c>
    </row>
    <row r="6782" spans="1:12">
      <c r="A6782" s="3" t="s">
        <v>6900</v>
      </c>
      <c r="B6782" s="3" t="s">
        <v>6958</v>
      </c>
      <c r="C6782" s="3" t="s">
        <v>7024</v>
      </c>
      <c r="D6782" s="3"/>
      <c r="E6782" s="2" t="str">
        <f>HYPERLINK("https://old.ukr-mobil.com/index.php?route=product&amp;product_id=10005866", "Перейти")</f>
        <v>Перейти</v>
      </c>
      <c r="F6782" s="2">
        <v>10005866</v>
      </c>
      <c r="G6782" s="4" t="s">
        <v>7036</v>
      </c>
      <c r="H6782" s="1">
        <v>1</v>
      </c>
      <c r="I6782" s="1">
        <v>0</v>
      </c>
      <c r="J6782" s="1">
        <v>0</v>
      </c>
      <c r="K6782" s="2">
        <v>62.0</v>
      </c>
    </row>
    <row r="6783" spans="1:12">
      <c r="A6783" s="3" t="s">
        <v>6900</v>
      </c>
      <c r="B6783" s="3" t="s">
        <v>6958</v>
      </c>
      <c r="C6783" s="3" t="s">
        <v>7024</v>
      </c>
      <c r="D6783" s="3"/>
      <c r="E6783" s="2" t="str">
        <f>HYPERLINK("https://old.ukr-mobil.com/index.php?route=product&amp;product_id=10005872", "Перейти")</f>
        <v>Перейти</v>
      </c>
      <c r="F6783" s="2">
        <v>10005872</v>
      </c>
      <c r="G6783" s="4" t="s">
        <v>7037</v>
      </c>
      <c r="H6783" s="1">
        <v>0</v>
      </c>
      <c r="I6783" s="1">
        <v>0</v>
      </c>
      <c r="J6783" s="1">
        <v>0</v>
      </c>
      <c r="K6783" s="2">
        <v>79.0</v>
      </c>
    </row>
    <row r="6784" spans="1:12">
      <c r="A6784" s="3" t="s">
        <v>6900</v>
      </c>
      <c r="B6784" s="3" t="s">
        <v>6958</v>
      </c>
      <c r="C6784" s="3" t="s">
        <v>7024</v>
      </c>
      <c r="D6784" s="3"/>
      <c r="E6784" s="2" t="str">
        <f>HYPERLINK("https://old.ukr-mobil.com/index.php?route=product&amp;product_id=10005865", "Перейти")</f>
        <v>Перейти</v>
      </c>
      <c r="F6784" s="2">
        <v>10005865</v>
      </c>
      <c r="G6784" s="4" t="s">
        <v>7038</v>
      </c>
      <c r="H6784" s="1">
        <v>2</v>
      </c>
      <c r="I6784" s="1">
        <v>0</v>
      </c>
      <c r="J6784" s="1">
        <v>0</v>
      </c>
      <c r="K6784" s="2">
        <v>52.0</v>
      </c>
    </row>
    <row r="6785" spans="1:12">
      <c r="A6785" s="3" t="s">
        <v>6900</v>
      </c>
      <c r="B6785" s="3" t="s">
        <v>6958</v>
      </c>
      <c r="C6785" s="3" t="s">
        <v>7024</v>
      </c>
      <c r="D6785" s="3"/>
      <c r="E6785" s="2" t="str">
        <f>HYPERLINK("https://old.ukr-mobil.com/index.php?route=product&amp;product_id=10005868", "Перейти")</f>
        <v>Перейти</v>
      </c>
      <c r="F6785" s="2">
        <v>10005868</v>
      </c>
      <c r="G6785" s="4" t="s">
        <v>7039</v>
      </c>
      <c r="H6785" s="1">
        <v>1</v>
      </c>
      <c r="I6785" s="1">
        <v>1</v>
      </c>
      <c r="J6785" s="1">
        <v>0</v>
      </c>
      <c r="K6785" s="2">
        <v>55.0</v>
      </c>
    </row>
    <row r="6786" spans="1:12">
      <c r="A6786" s="3" t="s">
        <v>6900</v>
      </c>
      <c r="B6786" s="3" t="s">
        <v>7040</v>
      </c>
      <c r="C6786" s="3"/>
      <c r="D6786" s="3"/>
      <c r="E6786" s="2" t="str">
        <f>HYPERLINK("https://old.ukr-mobil.com/index.php?route=product&amp;product_id=10005709", "Перейти")</f>
        <v>Перейти</v>
      </c>
      <c r="F6786" s="2">
        <v>10005709</v>
      </c>
      <c r="G6786" s="4" t="s">
        <v>7041</v>
      </c>
      <c r="H6786" s="1">
        <v>61</v>
      </c>
      <c r="I6786" s="1">
        <v>18</v>
      </c>
      <c r="J6786" s="1">
        <v>0</v>
      </c>
      <c r="K6786" s="2">
        <v>13.0</v>
      </c>
    </row>
    <row r="6787" spans="1:12">
      <c r="A6787" s="3" t="s">
        <v>6900</v>
      </c>
      <c r="B6787" s="3" t="s">
        <v>7040</v>
      </c>
      <c r="C6787" s="3"/>
      <c r="D6787" s="3"/>
      <c r="E6787" s="2" t="str">
        <f>HYPERLINK("https://old.ukr-mobil.com/index.php?route=product&amp;product_id=10005710", "Перейти")</f>
        <v>Перейти</v>
      </c>
      <c r="F6787" s="2">
        <v>10005710</v>
      </c>
      <c r="G6787" s="4" t="s">
        <v>7042</v>
      </c>
      <c r="H6787" s="1">
        <v>41</v>
      </c>
      <c r="I6787" s="1">
        <v>19</v>
      </c>
      <c r="J6787" s="1">
        <v>0</v>
      </c>
      <c r="K6787" s="2">
        <v>16.0</v>
      </c>
    </row>
    <row r="6788" spans="1:12">
      <c r="A6788" s="3" t="s">
        <v>6900</v>
      </c>
      <c r="B6788" s="3" t="s">
        <v>7040</v>
      </c>
      <c r="C6788" s="3" t="s">
        <v>7043</v>
      </c>
      <c r="D6788" s="3"/>
      <c r="E6788" s="2" t="str">
        <f>HYPERLINK("https://old.ukr-mobil.com/izolyacionnaya_prokladka_0_27_18650_list_100sht_10003588", "Перейти")</f>
        <v>Перейти</v>
      </c>
      <c r="F6788" s="2">
        <v>10003588</v>
      </c>
      <c r="G6788" s="4" t="s">
        <v>7044</v>
      </c>
      <c r="H6788" s="1">
        <v>0</v>
      </c>
      <c r="I6788" s="1">
        <v>0</v>
      </c>
      <c r="J6788" s="1">
        <v>0</v>
      </c>
      <c r="K6788" s="2">
        <v>0.15</v>
      </c>
    </row>
    <row r="6789" spans="1:12">
      <c r="A6789" s="3" t="s">
        <v>6900</v>
      </c>
      <c r="B6789" s="3" t="s">
        <v>7040</v>
      </c>
      <c r="C6789" s="3" t="s">
        <v>7043</v>
      </c>
      <c r="D6789" s="3"/>
      <c r="E6789" s="2" t="str">
        <f>HYPERLINK("https://old.ukr-mobil.com/izolyacionnaya_prokladka_0_27_21700_list_60sht_10003589", "Перейти")</f>
        <v>Перейти</v>
      </c>
      <c r="F6789" s="2">
        <v>10003589</v>
      </c>
      <c r="G6789" s="4" t="s">
        <v>7045</v>
      </c>
      <c r="H6789" s="1">
        <v>4966</v>
      </c>
      <c r="I6789" s="1">
        <v>0</v>
      </c>
      <c r="J6789" s="1">
        <v>29</v>
      </c>
      <c r="K6789" s="2">
        <v>1.2</v>
      </c>
    </row>
    <row r="6790" spans="1:12">
      <c r="A6790" s="3" t="s">
        <v>6900</v>
      </c>
      <c r="B6790" s="3" t="s">
        <v>7040</v>
      </c>
      <c r="C6790" s="3" t="s">
        <v>7046</v>
      </c>
      <c r="D6790" s="3"/>
      <c r="E6790" s="2" t="str">
        <f>HYPERLINK("https://old.ukr-mobil.com/karton_izolyacionnyj_kleyashchijsya_0_27_100mm_1m_10003683", "Перейти")</f>
        <v>Перейти</v>
      </c>
      <c r="F6790" s="2">
        <v>10003683</v>
      </c>
      <c r="G6790" s="4" t="s">
        <v>7047</v>
      </c>
      <c r="H6790" s="1">
        <v>0</v>
      </c>
      <c r="I6790" s="1">
        <v>0</v>
      </c>
      <c r="J6790" s="1">
        <v>0</v>
      </c>
      <c r="K6790" s="2">
        <v>1.5</v>
      </c>
    </row>
    <row r="6791" spans="1:12">
      <c r="A6791" s="3" t="s">
        <v>6900</v>
      </c>
      <c r="B6791" s="3" t="s">
        <v>7040</v>
      </c>
      <c r="C6791" s="3" t="s">
        <v>7046</v>
      </c>
      <c r="D6791" s="3"/>
      <c r="E6791" s="2" t="str">
        <f>HYPERLINK("https://old.ukr-mobil.com/karton_izolyacionnyj_kleyashchijsya_0_27_mm_h_130_mm_1_metr_10005588", "Перейти")</f>
        <v>Перейти</v>
      </c>
      <c r="F6791" s="2">
        <v>10005588</v>
      </c>
      <c r="G6791" s="4" t="s">
        <v>7048</v>
      </c>
      <c r="H6791" s="1">
        <v>0</v>
      </c>
      <c r="I6791" s="1">
        <v>0</v>
      </c>
      <c r="J6791" s="1">
        <v>0</v>
      </c>
      <c r="K6791" s="2">
        <v>2.1</v>
      </c>
    </row>
    <row r="6792" spans="1:12">
      <c r="A6792" s="3" t="s">
        <v>6900</v>
      </c>
      <c r="B6792" s="3" t="s">
        <v>7040</v>
      </c>
      <c r="C6792" s="3" t="s">
        <v>7046</v>
      </c>
      <c r="D6792" s="3"/>
      <c r="E6792" s="2" t="str">
        <f>HYPERLINK("https://old.ukr-mobil.com/karton_izolyacionnyj_kleyashchijsya_0_27_50mm_1m_10003679", "Перейти")</f>
        <v>Перейти</v>
      </c>
      <c r="F6792" s="2">
        <v>10003679</v>
      </c>
      <c r="G6792" s="4" t="s">
        <v>7049</v>
      </c>
      <c r="H6792" s="1">
        <v>0</v>
      </c>
      <c r="I6792" s="1">
        <v>0</v>
      </c>
      <c r="J6792" s="1">
        <v>0</v>
      </c>
      <c r="K6792" s="2">
        <v>1.4</v>
      </c>
    </row>
    <row r="6793" spans="1:12">
      <c r="A6793" s="3" t="s">
        <v>6900</v>
      </c>
      <c r="B6793" s="3" t="s">
        <v>7040</v>
      </c>
      <c r="C6793" s="3" t="s">
        <v>7046</v>
      </c>
      <c r="D6793" s="3"/>
      <c r="E6793" s="2" t="str">
        <f>HYPERLINK("https://old.ukr-mobil.com/karton_izolyacionnyj_kleyashchijsya_0_27_60mm_1m_10003680", "Перейти")</f>
        <v>Перейти</v>
      </c>
      <c r="F6793" s="2">
        <v>10003680</v>
      </c>
      <c r="G6793" s="4" t="s">
        <v>7050</v>
      </c>
      <c r="H6793" s="1">
        <v>0</v>
      </c>
      <c r="I6793" s="1">
        <v>0</v>
      </c>
      <c r="J6793" s="1">
        <v>0</v>
      </c>
      <c r="K6793" s="2">
        <v>1.3</v>
      </c>
    </row>
    <row r="6794" spans="1:12">
      <c r="A6794" s="3" t="s">
        <v>6900</v>
      </c>
      <c r="B6794" s="3" t="s">
        <v>7040</v>
      </c>
      <c r="C6794" s="3" t="s">
        <v>7046</v>
      </c>
      <c r="D6794" s="3"/>
      <c r="E6794" s="2" t="str">
        <f>HYPERLINK("https://old.ukr-mobil.com/karton_izolyacionnyj_kleyashchijsya_0_27_70mm_1m_10003682", "Перейти")</f>
        <v>Перейти</v>
      </c>
      <c r="F6794" s="2">
        <v>10003682</v>
      </c>
      <c r="G6794" s="4" t="s">
        <v>7051</v>
      </c>
      <c r="H6794" s="1">
        <v>1228</v>
      </c>
      <c r="I6794" s="1">
        <v>0</v>
      </c>
      <c r="J6794" s="1">
        <v>5</v>
      </c>
      <c r="K6794" s="2">
        <v>1.7</v>
      </c>
    </row>
    <row r="6795" spans="1:12">
      <c r="A6795" s="3" t="s">
        <v>6900</v>
      </c>
      <c r="B6795" s="3" t="s">
        <v>7040</v>
      </c>
      <c r="C6795" s="3" t="s">
        <v>7052</v>
      </c>
      <c r="D6795" s="3"/>
      <c r="E6795" s="2" t="str">
        <f>HYPERLINK("https://old.ukr-mobil.com/kaptonovyj_skotch_20mm_33m_10003603", "Перейти")</f>
        <v>Перейти</v>
      </c>
      <c r="F6795" s="2">
        <v>10003603</v>
      </c>
      <c r="G6795" s="4" t="s">
        <v>7053</v>
      </c>
      <c r="H6795" s="1">
        <v>0</v>
      </c>
      <c r="I6795" s="1">
        <v>0</v>
      </c>
      <c r="J6795" s="1">
        <v>0</v>
      </c>
      <c r="K6795" s="2">
        <v>5.0</v>
      </c>
    </row>
    <row r="6796" spans="1:12">
      <c r="A6796" s="3" t="s">
        <v>6900</v>
      </c>
      <c r="B6796" s="3" t="s">
        <v>7040</v>
      </c>
      <c r="C6796" s="3" t="s">
        <v>7052</v>
      </c>
      <c r="D6796" s="3"/>
      <c r="E6796" s="2" t="str">
        <f>HYPERLINK("https://old.ukr-mobil.com/kaptonovyj_skotch_50mm_33m_10003602", "Перейти")</f>
        <v>Перейти</v>
      </c>
      <c r="F6796" s="2">
        <v>10003602</v>
      </c>
      <c r="G6796" s="4" t="s">
        <v>7054</v>
      </c>
      <c r="H6796" s="1">
        <v>0</v>
      </c>
      <c r="I6796" s="1">
        <v>0</v>
      </c>
      <c r="J6796" s="1">
        <v>0</v>
      </c>
      <c r="K6796" s="2">
        <v>9.6</v>
      </c>
    </row>
    <row r="6797" spans="1:12">
      <c r="A6797" s="3" t="s">
        <v>6900</v>
      </c>
      <c r="B6797" s="3" t="s">
        <v>7040</v>
      </c>
      <c r="C6797" s="3" t="s">
        <v>7055</v>
      </c>
      <c r="D6797" s="3"/>
      <c r="E6797" s="2" t="str">
        <f>HYPERLINK("https://old.ukr-mobil.com/nikelevaya_lenta_dlya_tochechnoj_svarki_akkumulyatorov_18650_bez_holdera_25_5_x_18_5_mm_1m_10004405", "Перейти")</f>
        <v>Перейти</v>
      </c>
      <c r="F6797" s="2">
        <v>10004405</v>
      </c>
      <c r="G6797" s="4" t="s">
        <v>7056</v>
      </c>
      <c r="H6797" s="1">
        <v>0</v>
      </c>
      <c r="I6797" s="1">
        <v>0</v>
      </c>
      <c r="J6797" s="1">
        <v>0</v>
      </c>
      <c r="K6797" s="2">
        <v>3.25</v>
      </c>
    </row>
    <row r="6798" spans="1:12">
      <c r="A6798" s="3" t="s">
        <v>6900</v>
      </c>
      <c r="B6798" s="3" t="s">
        <v>7040</v>
      </c>
      <c r="C6798" s="3" t="s">
        <v>7055</v>
      </c>
      <c r="D6798" s="3"/>
      <c r="E6798" s="2" t="str">
        <f>HYPERLINK("https://old.ukr-mobil.com/nikelevaya_lenta_dvojnaya_dlya_tochechnoj_svarki_akkumulyatorov_18650_25_5_mm_x_18_5_mm_10_metrov_10005010", "Перейти")</f>
        <v>Перейти</v>
      </c>
      <c r="F6798" s="2">
        <v>10005010</v>
      </c>
      <c r="G6798" s="4" t="s">
        <v>7057</v>
      </c>
      <c r="H6798" s="1">
        <v>3</v>
      </c>
      <c r="I6798" s="1">
        <v>2</v>
      </c>
      <c r="J6798" s="1">
        <v>0</v>
      </c>
      <c r="K6798" s="2">
        <v>32.5</v>
      </c>
    </row>
    <row r="6799" spans="1:12">
      <c r="A6799" s="3" t="s">
        <v>6900</v>
      </c>
      <c r="B6799" s="3" t="s">
        <v>7040</v>
      </c>
      <c r="C6799" s="3" t="s">
        <v>7055</v>
      </c>
      <c r="D6799" s="3"/>
      <c r="E6799" s="2" t="str">
        <f>HYPERLINK("https://old.ukr-mobil.com/nikelevaya_lenta_dlya_tochechnoj_svarki_akkumulyatorov_25_5_x_20_2_mm_1m_10003687", "Перейти")</f>
        <v>Перейти</v>
      </c>
      <c r="F6799" s="2">
        <v>10003687</v>
      </c>
      <c r="G6799" s="4" t="s">
        <v>7058</v>
      </c>
      <c r="H6799" s="1">
        <v>152</v>
      </c>
      <c r="I6799" s="1">
        <v>20</v>
      </c>
      <c r="J6799" s="1">
        <v>0</v>
      </c>
      <c r="K6799" s="2">
        <v>3.2</v>
      </c>
    </row>
    <row r="6800" spans="1:12">
      <c r="A6800" s="3" t="s">
        <v>6900</v>
      </c>
      <c r="B6800" s="3" t="s">
        <v>7040</v>
      </c>
      <c r="C6800" s="3" t="s">
        <v>7055</v>
      </c>
      <c r="D6800" s="3"/>
      <c r="E6800" s="2" t="str">
        <f>HYPERLINK("https://old.ukr-mobil.com/nikelevaya_lenta_dvojnaya_dlya_tochechnoj_svarki_akkumulyatorov_18650_pod_holder_27_mm_h_20_2_mm_10_metrov_10004759", "Перейти")</f>
        <v>Перейти</v>
      </c>
      <c r="F6800" s="2">
        <v>10004759</v>
      </c>
      <c r="G6800" s="4" t="s">
        <v>7059</v>
      </c>
      <c r="H6800" s="1">
        <v>207</v>
      </c>
      <c r="I6800" s="1">
        <v>23</v>
      </c>
      <c r="J6800" s="1">
        <v>17</v>
      </c>
      <c r="K6800" s="2">
        <v>24.0</v>
      </c>
    </row>
    <row r="6801" spans="1:12">
      <c r="A6801" s="3" t="s">
        <v>6900</v>
      </c>
      <c r="B6801" s="3" t="s">
        <v>7040</v>
      </c>
      <c r="C6801" s="3" t="s">
        <v>7055</v>
      </c>
      <c r="D6801" s="3"/>
      <c r="E6801" s="2" t="str">
        <f>HYPERLINK("https://old.ukr-mobil.com/nikelevaya_lenta_dvojnaya_dlya_tochechnoj_svarki_akkumulyatorov_21700_30_5_mm_h_21_5_mm_10_metrov_10005009", "Перейти")</f>
        <v>Перейти</v>
      </c>
      <c r="F6801" s="2">
        <v>10005009</v>
      </c>
      <c r="G6801" s="4" t="s">
        <v>7060</v>
      </c>
      <c r="H6801" s="1">
        <v>919</v>
      </c>
      <c r="I6801" s="1">
        <v>0</v>
      </c>
      <c r="J6801" s="1">
        <v>0</v>
      </c>
      <c r="K6801" s="2">
        <v>29.0</v>
      </c>
    </row>
    <row r="6802" spans="1:12">
      <c r="A6802" s="3" t="s">
        <v>6900</v>
      </c>
      <c r="B6802" s="3" t="s">
        <v>7040</v>
      </c>
      <c r="C6802" s="3" t="s">
        <v>7055</v>
      </c>
      <c r="D6802" s="3"/>
      <c r="E6802" s="2" t="str">
        <f>HYPERLINK("https://old.ukr-mobil.com/nikelevaya_lenta_dlya_tochechnoj_svarki_akkumulyatorov_21700_pod_holder_25_5_x_22_5_mm_1m_10003688", "Перейти")</f>
        <v>Перейти</v>
      </c>
      <c r="F6802" s="2">
        <v>10003688</v>
      </c>
      <c r="G6802" s="4" t="s">
        <v>7061</v>
      </c>
      <c r="H6802" s="1">
        <v>0</v>
      </c>
      <c r="I6802" s="1">
        <v>0</v>
      </c>
      <c r="J6802" s="1">
        <v>0</v>
      </c>
      <c r="K6802" s="2">
        <v>3.0</v>
      </c>
    </row>
    <row r="6803" spans="1:12">
      <c r="A6803" s="3" t="s">
        <v>6900</v>
      </c>
      <c r="B6803" s="3" t="s">
        <v>7040</v>
      </c>
      <c r="C6803" s="3" t="s">
        <v>7055</v>
      </c>
      <c r="D6803" s="3"/>
      <c r="E6803" s="2" t="str">
        <f>HYPERLINK("https://old.ukr-mobil.com/nikelevaya_lenta_dvojnaya_dlya_tochechnoj_svarki_akkumulyatorov_21700_pod_holder_30_5_mm_h_22_5_mm_10_metrov_10005008", "Перейти")</f>
        <v>Перейти</v>
      </c>
      <c r="F6803" s="2">
        <v>10005008</v>
      </c>
      <c r="G6803" s="4" t="s">
        <v>7062</v>
      </c>
      <c r="H6803" s="1">
        <v>0</v>
      </c>
      <c r="I6803" s="1">
        <v>0</v>
      </c>
      <c r="J6803" s="1">
        <v>0</v>
      </c>
      <c r="K6803" s="2">
        <v>35.0</v>
      </c>
    </row>
    <row r="6804" spans="1:12">
      <c r="A6804" s="3" t="s">
        <v>6900</v>
      </c>
      <c r="B6804" s="3" t="s">
        <v>7040</v>
      </c>
      <c r="C6804" s="3" t="s">
        <v>7055</v>
      </c>
      <c r="D6804" s="3"/>
      <c r="E6804" s="2" t="str">
        <f>HYPERLINK("https://old.ukr-mobil.com/nikelevaya_lenta_dvojnaya_kosaya_dlya_tochechnoj_svarki_akkumulyatorov_18650_23_mm_x_18_5_mm_10_metrov_10005020", "Перейти")</f>
        <v>Перейти</v>
      </c>
      <c r="F6804" s="2">
        <v>10005020</v>
      </c>
      <c r="G6804" s="4" t="s">
        <v>7063</v>
      </c>
      <c r="H6804" s="1">
        <v>30</v>
      </c>
      <c r="I6804" s="1">
        <v>2</v>
      </c>
      <c r="J6804" s="1">
        <v>5</v>
      </c>
      <c r="K6804" s="2">
        <v>27.0</v>
      </c>
    </row>
    <row r="6805" spans="1:12">
      <c r="A6805" s="3" t="s">
        <v>6900</v>
      </c>
      <c r="B6805" s="3" t="s">
        <v>7040</v>
      </c>
      <c r="C6805" s="3" t="s">
        <v>7055</v>
      </c>
      <c r="D6805" s="3"/>
      <c r="E6805" s="2" t="str">
        <f>HYPERLINK("https://old.ukr-mobil.com/nikelevaya_lenta_dvojnaya_kosaya_dlya_tochechnoj_svarki_akkumulyatorov_21700_27_7_mm_x_21_5_mm_10_metrov_10005021", "Перейти")</f>
        <v>Перейти</v>
      </c>
      <c r="F6805" s="2">
        <v>10005021</v>
      </c>
      <c r="G6805" s="4" t="s">
        <v>7064</v>
      </c>
      <c r="H6805" s="1">
        <v>19</v>
      </c>
      <c r="I6805" s="1">
        <v>3</v>
      </c>
      <c r="J6805" s="1">
        <v>5</v>
      </c>
      <c r="K6805" s="2">
        <v>32.0</v>
      </c>
    </row>
    <row r="6806" spans="1:12">
      <c r="A6806" s="3" t="s">
        <v>6900</v>
      </c>
      <c r="B6806" s="3" t="s">
        <v>7040</v>
      </c>
      <c r="C6806" s="3" t="s">
        <v>7055</v>
      </c>
      <c r="D6806" s="3"/>
      <c r="E6806" s="2" t="str">
        <f>HYPERLINK("https://old.ukr-mobil.com/nikelevaya_lenta_dlya_tochechnoj_svarki_akkumulyatorov_18650_21700_8mm_x_0_15mm_1m_ni_99_5_10003436", "Перейти")</f>
        <v>Перейти</v>
      </c>
      <c r="F6806" s="2">
        <v>10003436</v>
      </c>
      <c r="G6806" s="4" t="s">
        <v>7065</v>
      </c>
      <c r="H6806" s="1">
        <v>2600</v>
      </c>
      <c r="I6806" s="1">
        <v>0</v>
      </c>
      <c r="J6806" s="1">
        <v>0</v>
      </c>
      <c r="K6806" s="2">
        <v>1.9</v>
      </c>
    </row>
    <row r="6807" spans="1:12">
      <c r="A6807" s="3" t="s">
        <v>6900</v>
      </c>
      <c r="B6807" s="3" t="s">
        <v>7040</v>
      </c>
      <c r="C6807" s="3" t="s">
        <v>7055</v>
      </c>
      <c r="D6807" s="3"/>
      <c r="E6807" s="2" t="str">
        <f>HYPERLINK("https://old.ukr-mobil.com/nikelevaya_lenta_dlya_tochechnoj_svarki_akkumulyatorov_18650_21700_8mm_x_0_15mm_10m_ni_99_5_10003437", "Перейти")</f>
        <v>Перейти</v>
      </c>
      <c r="F6807" s="2">
        <v>10003437</v>
      </c>
      <c r="G6807" s="4" t="s">
        <v>7066</v>
      </c>
      <c r="H6807" s="1">
        <v>0</v>
      </c>
      <c r="I6807" s="1">
        <v>0</v>
      </c>
      <c r="J6807" s="1">
        <v>0</v>
      </c>
      <c r="K6807" s="2">
        <v>7.5</v>
      </c>
    </row>
    <row r="6808" spans="1:12">
      <c r="A6808" s="3" t="s">
        <v>6900</v>
      </c>
      <c r="B6808" s="3" t="s">
        <v>7040</v>
      </c>
      <c r="C6808" s="3" t="s">
        <v>7055</v>
      </c>
      <c r="D6808" s="3"/>
      <c r="E6808" s="2" t="str">
        <f>HYPERLINK("https://old.ukr-mobil.com/nikelevaya_lenta_trojnaya_dlya_tochechnoj_svarki_akkumulyatorov_18650_43_8_mm_h_18_5_mm_10_metrov_10005014", "Перейти")</f>
        <v>Перейти</v>
      </c>
      <c r="F6808" s="2">
        <v>10005014</v>
      </c>
      <c r="G6808" s="4" t="s">
        <v>7067</v>
      </c>
      <c r="H6808" s="1">
        <v>19</v>
      </c>
      <c r="I6808" s="1">
        <v>1</v>
      </c>
      <c r="J6808" s="1">
        <v>3</v>
      </c>
      <c r="K6808" s="2">
        <v>42.0</v>
      </c>
    </row>
    <row r="6809" spans="1:12">
      <c r="A6809" s="3" t="s">
        <v>6900</v>
      </c>
      <c r="B6809" s="3" t="s">
        <v>7040</v>
      </c>
      <c r="C6809" s="3" t="s">
        <v>7055</v>
      </c>
      <c r="D6809" s="3"/>
      <c r="E6809" s="2" t="str">
        <f>HYPERLINK("https://old.ukr-mobil.com/nikelevaya_lenta_trojnaya_dlya_tochechnoj_svarki_akkumulyatorov_18650_pod_holder_47_1_mm_h_20_2_mm_10_metrov_10005013", "Перейти")</f>
        <v>Перейти</v>
      </c>
      <c r="F6809" s="2">
        <v>10005013</v>
      </c>
      <c r="G6809" s="4" t="s">
        <v>7068</v>
      </c>
      <c r="H6809" s="1">
        <v>17</v>
      </c>
      <c r="I6809" s="1">
        <v>2</v>
      </c>
      <c r="J6809" s="1">
        <v>3</v>
      </c>
      <c r="K6809" s="2">
        <v>42.0</v>
      </c>
    </row>
    <row r="6810" spans="1:12">
      <c r="A6810" s="3" t="s">
        <v>6900</v>
      </c>
      <c r="B6810" s="3" t="s">
        <v>7040</v>
      </c>
      <c r="C6810" s="3" t="s">
        <v>7055</v>
      </c>
      <c r="D6810" s="3"/>
      <c r="E6810" s="2" t="str">
        <f>HYPERLINK("https://old.ukr-mobil.com/nikelevaya_lenta_trojnaya_dlya_tochechnoj_svarki_akkumulyatorov_21700_51_mm_h_21_5_mm_10_metrov_10005012", "Перейти")</f>
        <v>Перейти</v>
      </c>
      <c r="F6810" s="2">
        <v>10005012</v>
      </c>
      <c r="G6810" s="4" t="s">
        <v>7069</v>
      </c>
      <c r="H6810" s="1">
        <v>220</v>
      </c>
      <c r="I6810" s="1">
        <v>0</v>
      </c>
      <c r="J6810" s="1">
        <v>0</v>
      </c>
      <c r="K6810" s="2">
        <v>50.0</v>
      </c>
    </row>
    <row r="6811" spans="1:12">
      <c r="A6811" s="3" t="s">
        <v>6900</v>
      </c>
      <c r="B6811" s="3" t="s">
        <v>7040</v>
      </c>
      <c r="C6811" s="3" t="s">
        <v>7055</v>
      </c>
      <c r="D6811" s="3"/>
      <c r="E6811" s="2" t="str">
        <f>HYPERLINK("https://old.ukr-mobil.com/nikelevaya_lenta_trojnaya_dlya_tochechnoj_svarki_akkumulyatorov_21700_pod_holder_53_mm_h_22_5_mm_10_metrov_10005011", "Перейти")</f>
        <v>Перейти</v>
      </c>
      <c r="F6811" s="2">
        <v>10005011</v>
      </c>
      <c r="G6811" s="4" t="s">
        <v>7070</v>
      </c>
      <c r="H6811" s="1">
        <v>12</v>
      </c>
      <c r="I6811" s="1">
        <v>2</v>
      </c>
      <c r="J6811" s="1">
        <v>3</v>
      </c>
      <c r="K6811" s="2">
        <v>45.0</v>
      </c>
    </row>
    <row r="6812" spans="1:12">
      <c r="A6812" s="3" t="s">
        <v>6900</v>
      </c>
      <c r="B6812" s="3" t="s">
        <v>7040</v>
      </c>
      <c r="C6812" s="3" t="s">
        <v>7055</v>
      </c>
      <c r="D6812" s="3"/>
      <c r="E6812" s="2" t="str">
        <f>HYPERLINK("https://old.ukr-mobil.com/nikelevaya_lenta_trojnaya_kosaya_dlya_tochechnoj_svarki_akkumulyatorov_18650_39_mm_x_18_5_mm_10_metrov_10005022", "Перейти")</f>
        <v>Перейти</v>
      </c>
      <c r="F6812" s="2">
        <v>10005022</v>
      </c>
      <c r="G6812" s="4" t="s">
        <v>7071</v>
      </c>
      <c r="H6812" s="1">
        <v>16</v>
      </c>
      <c r="I6812" s="1">
        <v>3</v>
      </c>
      <c r="J6812" s="1">
        <v>2</v>
      </c>
      <c r="K6812" s="2">
        <v>43.0</v>
      </c>
    </row>
    <row r="6813" spans="1:12">
      <c r="A6813" s="3" t="s">
        <v>6900</v>
      </c>
      <c r="B6813" s="3" t="s">
        <v>7040</v>
      </c>
      <c r="C6813" s="3" t="s">
        <v>7055</v>
      </c>
      <c r="D6813" s="3"/>
      <c r="E6813" s="2" t="str">
        <f>HYPERLINK("https://old.ukr-mobil.com/nikelevaya_lenta_trojnaya_kosaya_dlya_tochechnoj_svarki_akkumulyatorov_21700_46_4_mm_x_21_5_mm_10_metrov_10005019", "Перейти")</f>
        <v>Перейти</v>
      </c>
      <c r="F6813" s="2">
        <v>10005019</v>
      </c>
      <c r="G6813" s="4" t="s">
        <v>7072</v>
      </c>
      <c r="H6813" s="1">
        <v>0</v>
      </c>
      <c r="I6813" s="1">
        <v>0</v>
      </c>
      <c r="J6813" s="1">
        <v>0</v>
      </c>
      <c r="K6813" s="2">
        <v>52.0</v>
      </c>
    </row>
    <row r="6814" spans="1:12">
      <c r="A6814" s="3" t="s">
        <v>6900</v>
      </c>
      <c r="B6814" s="3" t="s">
        <v>7040</v>
      </c>
      <c r="C6814" s="3" t="s">
        <v>7055</v>
      </c>
      <c r="D6814" s="3"/>
      <c r="E6814" s="2" t="str">
        <f>HYPERLINK("https://old.ukr-mobil.com/nikelevaya_lenta_chetyrekhryadnaya_dlya_tochechnoj_svarki_akkumulyatorov_18650_62_5_mm_h_18_5_mm_10_metrov_10005018", "Перейти")</f>
        <v>Перейти</v>
      </c>
      <c r="F6814" s="2">
        <v>10005018</v>
      </c>
      <c r="G6814" s="4" t="s">
        <v>7073</v>
      </c>
      <c r="H6814" s="1">
        <v>8</v>
      </c>
      <c r="I6814" s="1">
        <v>2</v>
      </c>
      <c r="J6814" s="1">
        <v>0</v>
      </c>
      <c r="K6814" s="2">
        <v>53.0</v>
      </c>
    </row>
    <row r="6815" spans="1:12">
      <c r="A6815" s="3" t="s">
        <v>6900</v>
      </c>
      <c r="B6815" s="3" t="s">
        <v>7040</v>
      </c>
      <c r="C6815" s="3" t="s">
        <v>7055</v>
      </c>
      <c r="D6815" s="3"/>
      <c r="E6815" s="2" t="str">
        <f>HYPERLINK("https://old.ukr-mobil.com/nikelevaya_lenta_chetyrekhryadnaya_dlya_tochechnoj_svarki_akkumulyatorov_18650_pod_holder_67_4_mm_h_20_2_mm_10_metrov_10005017", "Перейти")</f>
        <v>Перейти</v>
      </c>
      <c r="F6815" s="2">
        <v>10005017</v>
      </c>
      <c r="G6815" s="4" t="s">
        <v>7074</v>
      </c>
      <c r="H6815" s="1">
        <v>7</v>
      </c>
      <c r="I6815" s="1">
        <v>1</v>
      </c>
      <c r="J6815" s="1">
        <v>0</v>
      </c>
      <c r="K6815" s="2">
        <v>59.0</v>
      </c>
    </row>
    <row r="6816" spans="1:12">
      <c r="A6816" s="3" t="s">
        <v>6900</v>
      </c>
      <c r="B6816" s="3" t="s">
        <v>7040</v>
      </c>
      <c r="C6816" s="3" t="s">
        <v>7055</v>
      </c>
      <c r="D6816" s="3"/>
      <c r="E6816" s="2" t="str">
        <f>HYPERLINK("https://old.ukr-mobil.com/nikelevaya_lenta_chetyrekhryadnaya_dlya_tochechnoj_svarki_akkumulyatorov_21700_72_5_mm_h_21_5_mm_10_metrov_10005016", "Перейти")</f>
        <v>Перейти</v>
      </c>
      <c r="F6816" s="2">
        <v>10005016</v>
      </c>
      <c r="G6816" s="4" t="s">
        <v>7075</v>
      </c>
      <c r="H6816" s="1">
        <v>6</v>
      </c>
      <c r="I6816" s="1">
        <v>2</v>
      </c>
      <c r="J6816" s="1">
        <v>0</v>
      </c>
      <c r="K6816" s="2">
        <v>65.0</v>
      </c>
    </row>
    <row r="6817" spans="1:12">
      <c r="A6817" s="3" t="s">
        <v>6900</v>
      </c>
      <c r="B6817" s="3" t="s">
        <v>7040</v>
      </c>
      <c r="C6817" s="3" t="s">
        <v>7055</v>
      </c>
      <c r="D6817" s="3"/>
      <c r="E6817" s="2" t="str">
        <f>HYPERLINK("https://old.ukr-mobil.com/nikelevaya_lenta_chetyrekhryadnaya_dlya_tochechnoj_svarki_akkumulyatorov_21700_pod_holder_75_5_mm_h_22_5_mm_10_metrov_10005015", "Перейти")</f>
        <v>Перейти</v>
      </c>
      <c r="F6817" s="2">
        <v>10005015</v>
      </c>
      <c r="G6817" s="4" t="s">
        <v>7076</v>
      </c>
      <c r="H6817" s="1">
        <v>2</v>
      </c>
      <c r="I6817" s="1">
        <v>1</v>
      </c>
      <c r="J6817" s="1">
        <v>0</v>
      </c>
      <c r="K6817" s="2">
        <v>65.0</v>
      </c>
    </row>
    <row r="6818" spans="1:12">
      <c r="A6818" s="3" t="s">
        <v>6900</v>
      </c>
      <c r="B6818" s="3" t="s">
        <v>7040</v>
      </c>
      <c r="C6818" s="3" t="s">
        <v>7077</v>
      </c>
      <c r="D6818" s="3"/>
      <c r="E6818" s="2" t="str">
        <f>HYPERLINK("https://old.ukr-mobil.com/nikelirovanaya_lenta_dlya_tochechnoj_svarki_akkumulyatorov_18650_21700_dvojnaya_s_prosechkoj_pod_kronshtejn_25_5mm_x_22_2mm_10m_10003686", "Перейти")</f>
        <v>Перейти</v>
      </c>
      <c r="F6818" s="2">
        <v>10003686</v>
      </c>
      <c r="G6818" s="4" t="s">
        <v>7078</v>
      </c>
      <c r="H6818" s="1">
        <v>0</v>
      </c>
      <c r="I6818" s="1">
        <v>0</v>
      </c>
      <c r="J6818" s="1">
        <v>0</v>
      </c>
      <c r="K6818" s="2">
        <v>10.5</v>
      </c>
    </row>
    <row r="6819" spans="1:12">
      <c r="A6819" s="3" t="s">
        <v>6900</v>
      </c>
      <c r="B6819" s="3" t="s">
        <v>7040</v>
      </c>
      <c r="C6819" s="3" t="s">
        <v>7077</v>
      </c>
      <c r="D6819" s="3"/>
      <c r="E6819" s="2" t="str">
        <f>HYPERLINK("https://old.ukr-mobil.com/nikelirovanaya_lenta_dlya_tochechnoj_svarki_akkumulyatorov_18650_21700_dvojnaya_s_prosechkoj_pod_kronshtejn_25_5mm_x_18_5mm_1m_10003496", "Перейти")</f>
        <v>Перейти</v>
      </c>
      <c r="F6819" s="2">
        <v>10003496</v>
      </c>
      <c r="G6819" s="4" t="s">
        <v>7079</v>
      </c>
      <c r="H6819" s="1">
        <v>0</v>
      </c>
      <c r="I6819" s="1">
        <v>0</v>
      </c>
      <c r="J6819" s="1">
        <v>0</v>
      </c>
      <c r="K6819" s="2">
        <v>1.4</v>
      </c>
    </row>
    <row r="6820" spans="1:12">
      <c r="A6820" s="3" t="s">
        <v>6900</v>
      </c>
      <c r="B6820" s="3" t="s">
        <v>7040</v>
      </c>
      <c r="C6820" s="3" t="s">
        <v>7077</v>
      </c>
      <c r="D6820" s="3"/>
      <c r="E6820" s="2" t="str">
        <f>HYPERLINK("https://old.ukr-mobil.com/nikelirovanaya_lenta_dlya_tochechnoj_svarki_akkumulyatorov_18650_21700_dvojnaya_s_prosechkoj_pod_kronshtejn_25_5mm_x_20_2mm_10m_10003685", "Перейти")</f>
        <v>Перейти</v>
      </c>
      <c r="F6820" s="2">
        <v>10003685</v>
      </c>
      <c r="G6820" s="4" t="s">
        <v>7080</v>
      </c>
      <c r="H6820" s="1">
        <v>0</v>
      </c>
      <c r="I6820" s="1">
        <v>0</v>
      </c>
      <c r="J6820" s="1">
        <v>0</v>
      </c>
      <c r="K6820" s="2">
        <v>10.5</v>
      </c>
    </row>
    <row r="6821" spans="1:12">
      <c r="A6821" s="3" t="s">
        <v>6900</v>
      </c>
      <c r="B6821" s="3" t="s">
        <v>7040</v>
      </c>
      <c r="C6821" s="3" t="s">
        <v>7077</v>
      </c>
      <c r="D6821" s="3"/>
      <c r="E6821" s="2" t="str">
        <f>HYPERLINK("https://old.ukr-mobil.com/index.php?route=product&amp;product_id=10005576", "Перейти")</f>
        <v>Перейти</v>
      </c>
      <c r="F6821" s="2">
        <v>10005576</v>
      </c>
      <c r="G6821" s="4" t="s">
        <v>7081</v>
      </c>
      <c r="H6821" s="1">
        <v>0</v>
      </c>
      <c r="I6821" s="1">
        <v>0</v>
      </c>
      <c r="J6821" s="1">
        <v>0</v>
      </c>
      <c r="K6821" s="2">
        <v>1.4</v>
      </c>
    </row>
    <row r="6822" spans="1:12">
      <c r="A6822" s="3" t="s">
        <v>6900</v>
      </c>
      <c r="B6822" s="3" t="s">
        <v>7040</v>
      </c>
      <c r="C6822" s="3" t="s">
        <v>7077</v>
      </c>
      <c r="D6822" s="3"/>
      <c r="E6822" s="2" t="str">
        <f>HYPERLINK("https://old.ukr-mobil.com/nikelirovannaya_stalnaya_lenta_dlya_tochechnoj_svarki_akkumulyatorov_6mm_x_0_15mm_10m_10003612", "Перейти")</f>
        <v>Перейти</v>
      </c>
      <c r="F6822" s="2">
        <v>10003612</v>
      </c>
      <c r="G6822" s="4" t="s">
        <v>7082</v>
      </c>
      <c r="H6822" s="1">
        <v>81</v>
      </c>
      <c r="I6822" s="1">
        <v>3</v>
      </c>
      <c r="J6822" s="1">
        <v>1</v>
      </c>
      <c r="K6822" s="2">
        <v>0.42</v>
      </c>
    </row>
    <row r="6823" spans="1:12">
      <c r="A6823" s="3" t="s">
        <v>6900</v>
      </c>
      <c r="B6823" s="3" t="s">
        <v>7040</v>
      </c>
      <c r="C6823" s="3" t="s">
        <v>7077</v>
      </c>
      <c r="D6823" s="3"/>
      <c r="E6823" s="2" t="str">
        <f>HYPERLINK("https://old.ukr-mobil.com/nikelirovannaya_stalnaya_lenta_dlya_tochechnoj_svarki_akkumulyatorov_8mm_x_0_15mm_10m_10003586", "Перейти")</f>
        <v>Перейти</v>
      </c>
      <c r="F6823" s="2">
        <v>10003586</v>
      </c>
      <c r="G6823" s="4" t="s">
        <v>7083</v>
      </c>
      <c r="H6823" s="1">
        <v>0</v>
      </c>
      <c r="I6823" s="1">
        <v>0</v>
      </c>
      <c r="J6823" s="1">
        <v>0</v>
      </c>
      <c r="K6823" s="2">
        <v>0.7</v>
      </c>
    </row>
    <row r="6824" spans="1:12">
      <c r="A6824" s="3" t="s">
        <v>6900</v>
      </c>
      <c r="B6824" s="3" t="s">
        <v>7040</v>
      </c>
      <c r="C6824" s="3" t="s">
        <v>7084</v>
      </c>
      <c r="D6824" s="3"/>
      <c r="E6824" s="2" t="str">
        <f>HYPERLINK("https://old.ukr-mobil.com/provod_silikonovyj_10awg_krasnyj_1m_1050h0_08_mm_10003519", "Перейти")</f>
        <v>Перейти</v>
      </c>
      <c r="F6824" s="2">
        <v>10003519</v>
      </c>
      <c r="G6824" s="4" t="s">
        <v>7085</v>
      </c>
      <c r="H6824" s="1">
        <v>0</v>
      </c>
      <c r="I6824" s="1">
        <v>0</v>
      </c>
      <c r="J6824" s="1">
        <v>0</v>
      </c>
      <c r="K6824" s="2">
        <v>4.11</v>
      </c>
    </row>
    <row r="6825" spans="1:12">
      <c r="A6825" s="3" t="s">
        <v>6900</v>
      </c>
      <c r="B6825" s="3" t="s">
        <v>7040</v>
      </c>
      <c r="C6825" s="3" t="s">
        <v>7084</v>
      </c>
      <c r="D6825" s="3"/>
      <c r="E6825" s="2" t="str">
        <f>HYPERLINK("https://old.ukr-mobil.com/provod_silikonovyj_10awg_chyornyj_1m_1050h0_08_mm_10003518", "Перейти")</f>
        <v>Перейти</v>
      </c>
      <c r="F6825" s="2">
        <v>10003518</v>
      </c>
      <c r="G6825" s="4" t="s">
        <v>7086</v>
      </c>
      <c r="H6825" s="1">
        <v>0</v>
      </c>
      <c r="I6825" s="1">
        <v>0</v>
      </c>
      <c r="J6825" s="1">
        <v>0</v>
      </c>
      <c r="K6825" s="2">
        <v>4.11</v>
      </c>
    </row>
    <row r="6826" spans="1:12">
      <c r="A6826" s="3" t="s">
        <v>6900</v>
      </c>
      <c r="B6826" s="3" t="s">
        <v>7040</v>
      </c>
      <c r="C6826" s="3" t="s">
        <v>7084</v>
      </c>
      <c r="D6826" s="3"/>
      <c r="E6826" s="2" t="str">
        <f>HYPERLINK("https://old.ukr-mobil.com/provod_silikonovyj_12awg_krasnyj_1m_680h0_08_mm_10003520", "Перейти")</f>
        <v>Перейти</v>
      </c>
      <c r="F6826" s="2">
        <v>10003520</v>
      </c>
      <c r="G6826" s="4" t="s">
        <v>7087</v>
      </c>
      <c r="H6826" s="1">
        <v>18</v>
      </c>
      <c r="I6826" s="1">
        <v>4535</v>
      </c>
      <c r="J6826" s="1">
        <v>0</v>
      </c>
      <c r="K6826" s="2">
        <v>1.25</v>
      </c>
    </row>
    <row r="6827" spans="1:12">
      <c r="A6827" s="3" t="s">
        <v>6900</v>
      </c>
      <c r="B6827" s="3" t="s">
        <v>7040</v>
      </c>
      <c r="C6827" s="3" t="s">
        <v>7084</v>
      </c>
      <c r="D6827" s="3"/>
      <c r="E6827" s="2" t="str">
        <f>HYPERLINK("https://old.ukr-mobil.com/provod_silikonovyj_12awg_chyornyj_1m_680h0_08_mm_10003521", "Перейти")</f>
        <v>Перейти</v>
      </c>
      <c r="F6827" s="2">
        <v>10003521</v>
      </c>
      <c r="G6827" s="4" t="s">
        <v>7088</v>
      </c>
      <c r="H6827" s="1">
        <v>14</v>
      </c>
      <c r="I6827" s="1">
        <v>3836</v>
      </c>
      <c r="J6827" s="1">
        <v>0</v>
      </c>
      <c r="K6827" s="2">
        <v>1.25</v>
      </c>
    </row>
    <row r="6828" spans="1:12">
      <c r="A6828" s="3" t="s">
        <v>6900</v>
      </c>
      <c r="B6828" s="3" t="s">
        <v>7040</v>
      </c>
      <c r="C6828" s="3" t="s">
        <v>7084</v>
      </c>
      <c r="D6828" s="3"/>
      <c r="E6828" s="2" t="str">
        <f>HYPERLINK("https://old.ukr-mobil.com/provod_silikonovyj_14awg_krasnyj_1m_400h0_08_mm_10003523", "Перейти")</f>
        <v>Перейти</v>
      </c>
      <c r="F6828" s="2">
        <v>10003523</v>
      </c>
      <c r="G6828" s="4" t="s">
        <v>7089</v>
      </c>
      <c r="H6828" s="1">
        <v>18</v>
      </c>
      <c r="I6828" s="1">
        <v>26</v>
      </c>
      <c r="J6828" s="1">
        <v>0</v>
      </c>
      <c r="K6828" s="2">
        <v>1.96</v>
      </c>
    </row>
    <row r="6829" spans="1:12">
      <c r="A6829" s="3" t="s">
        <v>6900</v>
      </c>
      <c r="B6829" s="3" t="s">
        <v>7040</v>
      </c>
      <c r="C6829" s="3" t="s">
        <v>7084</v>
      </c>
      <c r="D6829" s="3"/>
      <c r="E6829" s="2" t="str">
        <f>HYPERLINK("https://old.ukr-mobil.com/provod_silikonovyj_14awg_chyornyj_1m_400h0_08_mm_10003522", "Перейти")</f>
        <v>Перейти</v>
      </c>
      <c r="F6829" s="2">
        <v>10003522</v>
      </c>
      <c r="G6829" s="4" t="s">
        <v>7090</v>
      </c>
      <c r="H6829" s="1">
        <v>0</v>
      </c>
      <c r="I6829" s="1">
        <v>0</v>
      </c>
      <c r="J6829" s="1">
        <v>0</v>
      </c>
      <c r="K6829" s="2">
        <v>1.96</v>
      </c>
    </row>
    <row r="6830" spans="1:12">
      <c r="A6830" s="3" t="s">
        <v>6900</v>
      </c>
      <c r="B6830" s="3" t="s">
        <v>7040</v>
      </c>
      <c r="C6830" s="3" t="s">
        <v>7084</v>
      </c>
      <c r="D6830" s="3"/>
      <c r="E6830" s="2" t="str">
        <f>HYPERLINK("https://old.ukr-mobil.com/provod_silikonovyj_18awg_krasnyj_1m_150h0_08_mm_10003524", "Перейти")</f>
        <v>Перейти</v>
      </c>
      <c r="F6830" s="2">
        <v>10003524</v>
      </c>
      <c r="G6830" s="4" t="s">
        <v>7091</v>
      </c>
      <c r="H6830" s="1">
        <v>0</v>
      </c>
      <c r="I6830" s="1">
        <v>0</v>
      </c>
      <c r="J6830" s="1">
        <v>0</v>
      </c>
      <c r="K6830" s="2">
        <v>0.66</v>
      </c>
    </row>
    <row r="6831" spans="1:12">
      <c r="A6831" s="3" t="s">
        <v>6900</v>
      </c>
      <c r="B6831" s="3" t="s">
        <v>7040</v>
      </c>
      <c r="C6831" s="3" t="s">
        <v>7084</v>
      </c>
      <c r="D6831" s="3"/>
      <c r="E6831" s="2" t="str">
        <f>HYPERLINK("https://old.ukr-mobil.com/provod_silikonovyj_18awg_chyornyj_1m_150h0_08_mm_10003525", "Перейти")</f>
        <v>Перейти</v>
      </c>
      <c r="F6831" s="2">
        <v>10003525</v>
      </c>
      <c r="G6831" s="4" t="s">
        <v>7092</v>
      </c>
      <c r="H6831" s="1">
        <v>0</v>
      </c>
      <c r="I6831" s="1">
        <v>0</v>
      </c>
      <c r="J6831" s="1">
        <v>0</v>
      </c>
      <c r="K6831" s="2">
        <v>0.66</v>
      </c>
    </row>
    <row r="6832" spans="1:12">
      <c r="A6832" s="3" t="s">
        <v>6900</v>
      </c>
      <c r="B6832" s="3" t="s">
        <v>7040</v>
      </c>
      <c r="C6832" s="3" t="s">
        <v>7084</v>
      </c>
      <c r="D6832" s="3"/>
      <c r="E6832" s="2" t="str">
        <f>HYPERLINK("https://old.ukr-mobil.com/index.php?route=product&amp;product_id=10006071", "Перейти")</f>
        <v>Перейти</v>
      </c>
      <c r="F6832" s="2">
        <v>10006071</v>
      </c>
      <c r="G6832" s="4" t="s">
        <v>7093</v>
      </c>
      <c r="H6832" s="1">
        <v>50</v>
      </c>
      <c r="I6832" s="1">
        <v>0</v>
      </c>
      <c r="J6832" s="1">
        <v>0</v>
      </c>
      <c r="K6832" s="2">
        <v>25.0</v>
      </c>
    </row>
    <row r="6833" spans="1:12">
      <c r="A6833" s="3" t="s">
        <v>6900</v>
      </c>
      <c r="B6833" s="3" t="s">
        <v>7040</v>
      </c>
      <c r="C6833" s="3" t="s">
        <v>7084</v>
      </c>
      <c r="D6833" s="3"/>
      <c r="E6833" s="2" t="str">
        <f>HYPERLINK("https://old.ukr-mobil.com/index.php?route=product&amp;product_id=10006072", "Перейти")</f>
        <v>Перейти</v>
      </c>
      <c r="F6833" s="2">
        <v>10006072</v>
      </c>
      <c r="G6833" s="4" t="s">
        <v>7094</v>
      </c>
      <c r="H6833" s="1">
        <v>50</v>
      </c>
      <c r="I6833" s="1">
        <v>0</v>
      </c>
      <c r="J6833" s="1">
        <v>0</v>
      </c>
      <c r="K6833" s="2">
        <v>25.0</v>
      </c>
    </row>
    <row r="6834" spans="1:12">
      <c r="A6834" s="3" t="s">
        <v>6900</v>
      </c>
      <c r="B6834" s="3" t="s">
        <v>7040</v>
      </c>
      <c r="C6834" s="3" t="s">
        <v>7084</v>
      </c>
      <c r="D6834" s="3"/>
      <c r="E6834" s="2" t="str">
        <f>HYPERLINK("https://old.ukr-mobil.com/index.php?route=product&amp;product_id=10006070", "Перейти")</f>
        <v>Перейти</v>
      </c>
      <c r="F6834" s="2">
        <v>10006070</v>
      </c>
      <c r="G6834" s="4" t="s">
        <v>7095</v>
      </c>
      <c r="H6834" s="1">
        <v>422</v>
      </c>
      <c r="I6834" s="1">
        <v>0</v>
      </c>
      <c r="J6834" s="1">
        <v>0</v>
      </c>
      <c r="K6834" s="2">
        <v>0.25</v>
      </c>
    </row>
    <row r="6835" spans="1:12">
      <c r="A6835" s="3" t="s">
        <v>6900</v>
      </c>
      <c r="B6835" s="3" t="s">
        <v>7040</v>
      </c>
      <c r="C6835" s="3" t="s">
        <v>7084</v>
      </c>
      <c r="D6835" s="3"/>
      <c r="E6835" s="2" t="str">
        <f>HYPERLINK("https://old.ukr-mobil.com/index.php?route=product&amp;product_id=10006068", "Перейти")</f>
        <v>Перейти</v>
      </c>
      <c r="F6835" s="2">
        <v>10006068</v>
      </c>
      <c r="G6835" s="4" t="s">
        <v>7096</v>
      </c>
      <c r="H6835" s="1">
        <v>5500</v>
      </c>
      <c r="I6835" s="1">
        <v>0</v>
      </c>
      <c r="J6835" s="1">
        <v>0</v>
      </c>
      <c r="K6835" s="2">
        <v>0.25</v>
      </c>
    </row>
    <row r="6836" spans="1:12">
      <c r="A6836" s="3" t="s">
        <v>6900</v>
      </c>
      <c r="B6836" s="3" t="s">
        <v>7040</v>
      </c>
      <c r="C6836" s="3" t="s">
        <v>7084</v>
      </c>
      <c r="D6836" s="3"/>
      <c r="E6836" s="2" t="str">
        <f>HYPERLINK("https://old.ukr-mobil.com/index.php?route=product&amp;product_id=10006069", "Перейти")</f>
        <v>Перейти</v>
      </c>
      <c r="F6836" s="2">
        <v>10006069</v>
      </c>
      <c r="G6836" s="4" t="s">
        <v>7097</v>
      </c>
      <c r="H6836" s="1">
        <v>453</v>
      </c>
      <c r="I6836" s="1">
        <v>0</v>
      </c>
      <c r="J6836" s="1">
        <v>0</v>
      </c>
      <c r="K6836" s="2">
        <v>0.25</v>
      </c>
    </row>
    <row r="6837" spans="1:12">
      <c r="A6837" s="3" t="s">
        <v>6900</v>
      </c>
      <c r="B6837" s="3" t="s">
        <v>7040</v>
      </c>
      <c r="C6837" s="3" t="s">
        <v>7084</v>
      </c>
      <c r="D6837" s="3"/>
      <c r="E6837" s="2" t="str">
        <f>HYPERLINK("https://old.ukr-mobil.com/index.php?route=product&amp;product_id=10006067", "Перейти")</f>
        <v>Перейти</v>
      </c>
      <c r="F6837" s="2">
        <v>10006067</v>
      </c>
      <c r="G6837" s="4" t="s">
        <v>7098</v>
      </c>
      <c r="H6837" s="1">
        <v>4733</v>
      </c>
      <c r="I6837" s="1">
        <v>0</v>
      </c>
      <c r="J6837" s="1">
        <v>0</v>
      </c>
      <c r="K6837" s="2">
        <v>0.25</v>
      </c>
    </row>
    <row r="6838" spans="1:12">
      <c r="A6838" s="3" t="s">
        <v>6900</v>
      </c>
      <c r="B6838" s="3" t="s">
        <v>7040</v>
      </c>
      <c r="C6838" s="3" t="s">
        <v>7084</v>
      </c>
      <c r="D6838" s="3"/>
      <c r="E6838" s="2" t="str">
        <f>HYPERLINK("https://old.ukr-mobil.com/index.php?route=product&amp;product_id=10006073", "Перейти")</f>
        <v>Перейти</v>
      </c>
      <c r="F6838" s="2">
        <v>10006073</v>
      </c>
      <c r="G6838" s="4" t="s">
        <v>7099</v>
      </c>
      <c r="H6838" s="1">
        <v>50</v>
      </c>
      <c r="I6838" s="1">
        <v>0</v>
      </c>
      <c r="J6838" s="1">
        <v>0</v>
      </c>
      <c r="K6838" s="2">
        <v>19.0</v>
      </c>
    </row>
    <row r="6839" spans="1:12">
      <c r="A6839" s="3" t="s">
        <v>6900</v>
      </c>
      <c r="B6839" s="3" t="s">
        <v>7040</v>
      </c>
      <c r="C6839" s="3" t="s">
        <v>7084</v>
      </c>
      <c r="D6839" s="3"/>
      <c r="E6839" s="2" t="str">
        <f>HYPERLINK("https://old.ukr-mobil.com/index.php?route=product&amp;product_id=10006074", "Перейти")</f>
        <v>Перейти</v>
      </c>
      <c r="F6839" s="2">
        <v>10006074</v>
      </c>
      <c r="G6839" s="4" t="s">
        <v>7100</v>
      </c>
      <c r="H6839" s="1">
        <v>49</v>
      </c>
      <c r="I6839" s="1">
        <v>0</v>
      </c>
      <c r="J6839" s="1">
        <v>0</v>
      </c>
      <c r="K6839" s="2">
        <v>19.0</v>
      </c>
    </row>
    <row r="6840" spans="1:12">
      <c r="A6840" s="3" t="s">
        <v>6900</v>
      </c>
      <c r="B6840" s="3" t="s">
        <v>7040</v>
      </c>
      <c r="C6840" s="3" t="s">
        <v>7084</v>
      </c>
      <c r="D6840" s="3"/>
      <c r="E6840" s="2" t="str">
        <f>HYPERLINK("https://old.ukr-mobil.com/provod_silikonovyj_8awg_krasnyj_1m_1650h0_08_mm_10003517", "Перейти")</f>
        <v>Перейти</v>
      </c>
      <c r="F6840" s="2">
        <v>10003517</v>
      </c>
      <c r="G6840" s="4" t="s">
        <v>7101</v>
      </c>
      <c r="H6840" s="1">
        <v>3701</v>
      </c>
      <c r="I6840" s="1">
        <v>2</v>
      </c>
      <c r="J6840" s="1">
        <v>0</v>
      </c>
      <c r="K6840" s="2">
        <v>2.85</v>
      </c>
    </row>
    <row r="6841" spans="1:12">
      <c r="A6841" s="3" t="s">
        <v>6900</v>
      </c>
      <c r="B6841" s="3" t="s">
        <v>7040</v>
      </c>
      <c r="C6841" s="3" t="s">
        <v>7084</v>
      </c>
      <c r="D6841" s="3"/>
      <c r="E6841" s="2" t="str">
        <f>HYPERLINK("https://old.ukr-mobil.com/provod_silikonovyj_8awg_chyornyj_1m_1650h0_08_mm_10003516", "Перейти")</f>
        <v>Перейти</v>
      </c>
      <c r="F6841" s="2">
        <v>10003516</v>
      </c>
      <c r="G6841" s="4" t="s">
        <v>7102</v>
      </c>
      <c r="H6841" s="1">
        <v>3908</v>
      </c>
      <c r="I6841" s="1">
        <v>1</v>
      </c>
      <c r="J6841" s="1">
        <v>0</v>
      </c>
      <c r="K6841" s="2">
        <v>2.85</v>
      </c>
    </row>
    <row r="6842" spans="1:12">
      <c r="A6842" s="3" t="s">
        <v>6900</v>
      </c>
      <c r="B6842" s="3" t="s">
        <v>7040</v>
      </c>
      <c r="C6842" s="3" t="s">
        <v>7103</v>
      </c>
      <c r="D6842" s="3"/>
      <c r="E6842" s="2" t="str">
        <f>HYPERLINK("https://old.ukr-mobil.com/steklotekstolit_list_420x594x0_3mm_10003617", "Перейти")</f>
        <v>Перейти</v>
      </c>
      <c r="F6842" s="2">
        <v>10003617</v>
      </c>
      <c r="G6842" s="4" t="s">
        <v>7104</v>
      </c>
      <c r="H6842" s="1">
        <v>0</v>
      </c>
      <c r="I6842" s="1">
        <v>0</v>
      </c>
      <c r="J6842" s="1">
        <v>0</v>
      </c>
      <c r="K6842" s="2">
        <v>6.51</v>
      </c>
    </row>
    <row r="6843" spans="1:12">
      <c r="A6843" s="3" t="s">
        <v>6900</v>
      </c>
      <c r="B6843" s="3" t="s">
        <v>7040</v>
      </c>
      <c r="C6843" s="3" t="s">
        <v>7105</v>
      </c>
      <c r="D6843" s="3"/>
      <c r="E6843" s="2" t="str">
        <f>HYPERLINK("https://old.ukr-mobil.com/termousadochnaya_plyonka_dlya_akb_18650_10003513", "Перейти")</f>
        <v>Перейти</v>
      </c>
      <c r="F6843" s="2">
        <v>10003513</v>
      </c>
      <c r="G6843" s="4" t="s">
        <v>7106</v>
      </c>
      <c r="H6843" s="1">
        <v>0</v>
      </c>
      <c r="I6843" s="1">
        <v>0</v>
      </c>
      <c r="J6843" s="1">
        <v>0</v>
      </c>
      <c r="K6843" s="2">
        <v>0.07</v>
      </c>
    </row>
    <row r="6844" spans="1:12">
      <c r="A6844" s="3" t="s">
        <v>6900</v>
      </c>
      <c r="B6844" s="3" t="s">
        <v>7040</v>
      </c>
      <c r="C6844" s="3" t="s">
        <v>7105</v>
      </c>
      <c r="D6844" s="3"/>
      <c r="E6844" s="2" t="str">
        <f>HYPERLINK("https://old.ukr-mobil.com/termousadochnaya_plyonka_dlya_akb_21700_10003514", "Перейти")</f>
        <v>Перейти</v>
      </c>
      <c r="F6844" s="2">
        <v>10003514</v>
      </c>
      <c r="G6844" s="4" t="s">
        <v>7107</v>
      </c>
      <c r="H6844" s="1">
        <v>0</v>
      </c>
      <c r="I6844" s="1">
        <v>0</v>
      </c>
      <c r="J6844" s="1">
        <v>0</v>
      </c>
      <c r="K6844" s="2">
        <v>0.1</v>
      </c>
    </row>
    <row r="6845" spans="1:12">
      <c r="A6845" s="3" t="s">
        <v>6900</v>
      </c>
      <c r="B6845" s="3" t="s">
        <v>7040</v>
      </c>
      <c r="C6845" s="3" t="s">
        <v>7108</v>
      </c>
      <c r="D6845" s="3"/>
      <c r="E6845" s="2" t="str">
        <f>HYPERLINK("https://old.ukr-mobil.com/termousadochnaya_plyonka_110x0_15mm_1m_10003669", "Перейти")</f>
        <v>Перейти</v>
      </c>
      <c r="F6845" s="2">
        <v>10003669</v>
      </c>
      <c r="G6845" s="4" t="s">
        <v>7109</v>
      </c>
      <c r="H6845" s="1">
        <v>216</v>
      </c>
      <c r="I6845" s="1">
        <v>5</v>
      </c>
      <c r="J6845" s="1">
        <v>0</v>
      </c>
      <c r="K6845" s="2">
        <v>1.8</v>
      </c>
    </row>
    <row r="6846" spans="1:12">
      <c r="A6846" s="3" t="s">
        <v>6900</v>
      </c>
      <c r="B6846" s="3" t="s">
        <v>7040</v>
      </c>
      <c r="C6846" s="3" t="s">
        <v>7108</v>
      </c>
      <c r="D6846" s="3"/>
      <c r="E6846" s="2" t="str">
        <f>HYPERLINK("https://old.ukr-mobil.com/termousadochnaya_plyonka_130_mm_x_0_15_mm_1_metr_10005575", "Перейти")</f>
        <v>Перейти</v>
      </c>
      <c r="F6846" s="2">
        <v>10005575</v>
      </c>
      <c r="G6846" s="4" t="s">
        <v>7110</v>
      </c>
      <c r="H6846" s="1">
        <v>0</v>
      </c>
      <c r="I6846" s="1">
        <v>0</v>
      </c>
      <c r="J6846" s="1">
        <v>0</v>
      </c>
      <c r="K6846" s="2">
        <v>1.1</v>
      </c>
    </row>
    <row r="6847" spans="1:12">
      <c r="A6847" s="3" t="s">
        <v>6900</v>
      </c>
      <c r="B6847" s="3" t="s">
        <v>7040</v>
      </c>
      <c r="C6847" s="3" t="s">
        <v>7108</v>
      </c>
      <c r="D6847" s="3"/>
      <c r="E6847" s="2" t="str">
        <f>HYPERLINK("https://old.ukr-mobil.com/termousadochnaya_plyonka_140_mm_x_0_15_mm_1_metr_10005574", "Перейти")</f>
        <v>Перейти</v>
      </c>
      <c r="F6847" s="2">
        <v>10005574</v>
      </c>
      <c r="G6847" s="4" t="s">
        <v>7111</v>
      </c>
      <c r="H6847" s="1">
        <v>0</v>
      </c>
      <c r="I6847" s="1">
        <v>44</v>
      </c>
      <c r="J6847" s="1">
        <v>0</v>
      </c>
      <c r="K6847" s="2">
        <v>1.7</v>
      </c>
    </row>
    <row r="6848" spans="1:12">
      <c r="A6848" s="3" t="s">
        <v>6900</v>
      </c>
      <c r="B6848" s="3" t="s">
        <v>7040</v>
      </c>
      <c r="C6848" s="3" t="s">
        <v>7108</v>
      </c>
      <c r="D6848" s="3"/>
      <c r="E6848" s="2" t="str">
        <f>HYPERLINK("https://old.ukr-mobil.com/termousadochnaya_plyonka_150_mm_x_0_15_mm_1m_10003670", "Перейти")</f>
        <v>Перейти</v>
      </c>
      <c r="F6848" s="2">
        <v>10003670</v>
      </c>
      <c r="G6848" s="4" t="s">
        <v>7112</v>
      </c>
      <c r="H6848" s="1">
        <v>0</v>
      </c>
      <c r="I6848" s="1">
        <v>0</v>
      </c>
      <c r="J6848" s="1">
        <v>0</v>
      </c>
      <c r="K6848" s="2">
        <v>1.75</v>
      </c>
    </row>
    <row r="6849" spans="1:12">
      <c r="A6849" s="3" t="s">
        <v>6900</v>
      </c>
      <c r="B6849" s="3" t="s">
        <v>7040</v>
      </c>
      <c r="C6849" s="3" t="s">
        <v>7108</v>
      </c>
      <c r="D6849" s="3"/>
      <c r="E6849" s="2" t="str">
        <f>HYPERLINK("https://old.ukr-mobil.com/index.php?route=product&amp;product_id=10005707", "Перейти")</f>
        <v>Перейти</v>
      </c>
      <c r="F6849" s="2">
        <v>10005707</v>
      </c>
      <c r="G6849" s="4" t="s">
        <v>7113</v>
      </c>
      <c r="H6849" s="1">
        <v>132</v>
      </c>
      <c r="I6849" s="1">
        <v>0</v>
      </c>
      <c r="J6849" s="1">
        <v>0</v>
      </c>
      <c r="K6849" s="2">
        <v>1.75</v>
      </c>
    </row>
    <row r="6850" spans="1:12">
      <c r="A6850" s="3" t="s">
        <v>6900</v>
      </c>
      <c r="B6850" s="3" t="s">
        <v>7040</v>
      </c>
      <c r="C6850" s="3" t="s">
        <v>7108</v>
      </c>
      <c r="D6850" s="3"/>
      <c r="E6850" s="2" t="str">
        <f>HYPERLINK("https://old.ukr-mobil.com/termousadochnaya_plyonka_180x0_15mm_1m_10003671", "Перейти")</f>
        <v>Перейти</v>
      </c>
      <c r="F6850" s="2">
        <v>10003671</v>
      </c>
      <c r="G6850" s="4" t="s">
        <v>7114</v>
      </c>
      <c r="H6850" s="1">
        <v>2658</v>
      </c>
      <c r="I6850" s="1">
        <v>0</v>
      </c>
      <c r="J6850" s="1">
        <v>0</v>
      </c>
      <c r="K6850" s="2">
        <v>1.95</v>
      </c>
    </row>
    <row r="6851" spans="1:12">
      <c r="A6851" s="3" t="s">
        <v>6900</v>
      </c>
      <c r="B6851" s="3" t="s">
        <v>7040</v>
      </c>
      <c r="C6851" s="3" t="s">
        <v>7108</v>
      </c>
      <c r="D6851" s="3"/>
      <c r="E6851" s="2" t="str">
        <f>HYPERLINK("https://old.ukr-mobil.com/termousadochnaya_plyonka_200x0_15mm_1m_10003672", "Перейти")</f>
        <v>Перейти</v>
      </c>
      <c r="F6851" s="2">
        <v>10003672</v>
      </c>
      <c r="G6851" s="4" t="s">
        <v>7115</v>
      </c>
      <c r="H6851" s="1">
        <v>2369</v>
      </c>
      <c r="I6851" s="1">
        <v>0</v>
      </c>
      <c r="J6851" s="1">
        <v>0</v>
      </c>
      <c r="K6851" s="2">
        <v>2.0</v>
      </c>
    </row>
    <row r="6852" spans="1:12">
      <c r="A6852" s="3" t="s">
        <v>6900</v>
      </c>
      <c r="B6852" s="3" t="s">
        <v>7040</v>
      </c>
      <c r="C6852" s="3" t="s">
        <v>7108</v>
      </c>
      <c r="D6852" s="3"/>
      <c r="E6852" s="2" t="str">
        <f>HYPERLINK("https://old.ukr-mobil.com/termousadochnaya_plyonka_250x0_15mm_1m_10003673", "Перейти")</f>
        <v>Перейти</v>
      </c>
      <c r="F6852" s="2">
        <v>10003673</v>
      </c>
      <c r="G6852" s="4" t="s">
        <v>7116</v>
      </c>
      <c r="H6852" s="1">
        <v>0</v>
      </c>
      <c r="I6852" s="1">
        <v>0</v>
      </c>
      <c r="J6852" s="1">
        <v>0</v>
      </c>
      <c r="K6852" s="2">
        <v>2.26</v>
      </c>
    </row>
    <row r="6853" spans="1:12">
      <c r="A6853" s="3" t="s">
        <v>6900</v>
      </c>
      <c r="B6853" s="3" t="s">
        <v>7040</v>
      </c>
      <c r="C6853" s="3" t="s">
        <v>7108</v>
      </c>
      <c r="D6853" s="3"/>
      <c r="E6853" s="2" t="str">
        <f>HYPERLINK("https://old.ukr-mobil.com/index.php?route=product&amp;product_id=10005708", "Перейти")</f>
        <v>Перейти</v>
      </c>
      <c r="F6853" s="2">
        <v>10005708</v>
      </c>
      <c r="G6853" s="4" t="s">
        <v>7117</v>
      </c>
      <c r="H6853" s="1">
        <v>0</v>
      </c>
      <c r="I6853" s="1">
        <v>0</v>
      </c>
      <c r="J6853" s="1">
        <v>0</v>
      </c>
      <c r="K6853" s="2">
        <v>3.0</v>
      </c>
    </row>
    <row r="6854" spans="1:12">
      <c r="A6854" s="3" t="s">
        <v>6900</v>
      </c>
      <c r="B6854" s="3" t="s">
        <v>7040</v>
      </c>
      <c r="C6854" s="3" t="s">
        <v>7108</v>
      </c>
      <c r="D6854" s="3"/>
      <c r="E6854" s="2" t="str">
        <f>HYPERLINK("https://old.ukr-mobil.com/termousadochnaya_plyonka_30x0_15mm_1m_10003667", "Перейти")</f>
        <v>Перейти</v>
      </c>
      <c r="F6854" s="2">
        <v>10003667</v>
      </c>
      <c r="G6854" s="4" t="s">
        <v>7118</v>
      </c>
      <c r="H6854" s="1">
        <v>500</v>
      </c>
      <c r="I6854" s="1">
        <v>0</v>
      </c>
      <c r="J6854" s="1">
        <v>0</v>
      </c>
      <c r="K6854" s="2">
        <v>0.23</v>
      </c>
    </row>
    <row r="6855" spans="1:12">
      <c r="A6855" s="3" t="s">
        <v>6900</v>
      </c>
      <c r="B6855" s="3" t="s">
        <v>7040</v>
      </c>
      <c r="C6855" s="3" t="s">
        <v>7108</v>
      </c>
      <c r="D6855" s="3"/>
      <c r="E6855" s="2" t="str">
        <f>HYPERLINK("https://old.ukr-mobil.com/termousadochnaya_plyonka_300x0_15mm_1m_10003674", "Перейти")</f>
        <v>Перейти</v>
      </c>
      <c r="F6855" s="2">
        <v>10003674</v>
      </c>
      <c r="G6855" s="4" t="s">
        <v>7119</v>
      </c>
      <c r="H6855" s="1">
        <v>1605</v>
      </c>
      <c r="I6855" s="1">
        <v>0</v>
      </c>
      <c r="J6855" s="1">
        <v>0</v>
      </c>
      <c r="K6855" s="2">
        <v>2.65</v>
      </c>
    </row>
    <row r="6856" spans="1:12">
      <c r="A6856" s="3" t="s">
        <v>6900</v>
      </c>
      <c r="B6856" s="3" t="s">
        <v>7040</v>
      </c>
      <c r="C6856" s="3" t="s">
        <v>7108</v>
      </c>
      <c r="D6856" s="3"/>
      <c r="E6856" s="2" t="str">
        <f>HYPERLINK("https://old.ukr-mobil.com/termousadochnaya_plyonka_350x0_15mm_1m_10003675", "Перейти")</f>
        <v>Перейти</v>
      </c>
      <c r="F6856" s="2">
        <v>10003675</v>
      </c>
      <c r="G6856" s="4" t="s">
        <v>7120</v>
      </c>
      <c r="H6856" s="1">
        <v>0</v>
      </c>
      <c r="I6856" s="1">
        <v>0</v>
      </c>
      <c r="J6856" s="1">
        <v>0</v>
      </c>
      <c r="K6856" s="2">
        <v>4.5</v>
      </c>
    </row>
    <row r="6857" spans="1:12">
      <c r="A6857" s="3" t="s">
        <v>6900</v>
      </c>
      <c r="B6857" s="3" t="s">
        <v>7040</v>
      </c>
      <c r="C6857" s="3" t="s">
        <v>7108</v>
      </c>
      <c r="D6857" s="3"/>
      <c r="E6857" s="2" t="str">
        <f>HYPERLINK("https://old.ukr-mobil.com/termousadochnaya_plyonka_50x0_15mm_1m_10003668", "Перейти")</f>
        <v>Перейти</v>
      </c>
      <c r="F6857" s="2">
        <v>10003668</v>
      </c>
      <c r="G6857" s="4" t="s">
        <v>7121</v>
      </c>
      <c r="H6857" s="1">
        <v>0</v>
      </c>
      <c r="I6857" s="1">
        <v>8</v>
      </c>
      <c r="J6857" s="1">
        <v>5</v>
      </c>
      <c r="K6857" s="2">
        <v>0.39</v>
      </c>
    </row>
    <row r="6858" spans="1:12">
      <c r="A6858" s="3" t="s">
        <v>6900</v>
      </c>
      <c r="B6858" s="3" t="s">
        <v>7040</v>
      </c>
      <c r="C6858" s="3" t="s">
        <v>7108</v>
      </c>
      <c r="D6858" s="3"/>
      <c r="E6858" s="2" t="str">
        <f>HYPERLINK("https://old.ukr-mobil.com/index.php?route=product&amp;product_id=10005949", "Перейти")</f>
        <v>Перейти</v>
      </c>
      <c r="F6858" s="2">
        <v>10005949</v>
      </c>
      <c r="G6858" s="4" t="s">
        <v>7122</v>
      </c>
      <c r="H6858" s="1">
        <v>1972</v>
      </c>
      <c r="I6858" s="1">
        <v>0</v>
      </c>
      <c r="J6858" s="1">
        <v>0</v>
      </c>
      <c r="K6858" s="2">
        <v>2.0</v>
      </c>
    </row>
    <row r="6859" spans="1:12">
      <c r="A6859" s="3" t="s">
        <v>6900</v>
      </c>
      <c r="B6859" s="3" t="s">
        <v>7040</v>
      </c>
      <c r="C6859" s="3" t="s">
        <v>7108</v>
      </c>
      <c r="D6859" s="3"/>
      <c r="E6859" s="2" t="str">
        <f>HYPERLINK("https://old.ukr-mobil.com/index.php?route=product&amp;product_id=10005950", "Перейти")</f>
        <v>Перейти</v>
      </c>
      <c r="F6859" s="2">
        <v>10005950</v>
      </c>
      <c r="G6859" s="4" t="s">
        <v>7123</v>
      </c>
      <c r="H6859" s="1">
        <v>2209</v>
      </c>
      <c r="I6859" s="1">
        <v>0</v>
      </c>
      <c r="J6859" s="1">
        <v>0</v>
      </c>
      <c r="K6859" s="2">
        <v>1.95</v>
      </c>
    </row>
    <row r="6860" spans="1:12">
      <c r="A6860" s="3" t="s">
        <v>6900</v>
      </c>
      <c r="B6860" s="3" t="s">
        <v>7040</v>
      </c>
      <c r="C6860" s="3" t="s">
        <v>7108</v>
      </c>
      <c r="D6860" s="3"/>
      <c r="E6860" s="2" t="str">
        <f>HYPERLINK("https://old.ukr-mobil.com/index.php?route=product&amp;product_id=10005951", "Перейти")</f>
        <v>Перейти</v>
      </c>
      <c r="F6860" s="2">
        <v>10005951</v>
      </c>
      <c r="G6860" s="4" t="s">
        <v>7124</v>
      </c>
      <c r="H6860" s="1">
        <v>291</v>
      </c>
      <c r="I6860" s="1">
        <v>20</v>
      </c>
      <c r="J6860" s="1">
        <v>0</v>
      </c>
      <c r="K6860" s="2">
        <v>2.5</v>
      </c>
    </row>
    <row r="6861" spans="1:12">
      <c r="A6861" s="3" t="s">
        <v>6900</v>
      </c>
      <c r="B6861" s="3" t="s">
        <v>7040</v>
      </c>
      <c r="C6861" s="3" t="s">
        <v>7108</v>
      </c>
      <c r="D6861" s="3"/>
      <c r="E6861" s="2" t="str">
        <f>HYPERLINK("https://old.ukr-mobil.com/index.php?route=product&amp;product_id=10005952", "Перейти")</f>
        <v>Перейти</v>
      </c>
      <c r="F6861" s="2">
        <v>10005952</v>
      </c>
      <c r="G6861" s="4" t="s">
        <v>7125</v>
      </c>
      <c r="H6861" s="1">
        <v>440</v>
      </c>
      <c r="I6861" s="1">
        <v>0</v>
      </c>
      <c r="J6861" s="1">
        <v>0</v>
      </c>
      <c r="K6861" s="2">
        <v>3.85</v>
      </c>
    </row>
    <row r="6862" spans="1:12">
      <c r="A6862" s="3" t="s">
        <v>6900</v>
      </c>
      <c r="B6862" s="3" t="s">
        <v>7040</v>
      </c>
      <c r="C6862" s="3" t="s">
        <v>7108</v>
      </c>
      <c r="D6862" s="3"/>
      <c r="E6862" s="2" t="str">
        <f>HYPERLINK("https://old.ukr-mobil.com/index.php?route=product&amp;product_id=10005953", "Перейти")</f>
        <v>Перейти</v>
      </c>
      <c r="F6862" s="2">
        <v>10005953</v>
      </c>
      <c r="G6862" s="4" t="s">
        <v>7126</v>
      </c>
      <c r="H6862" s="1">
        <v>490</v>
      </c>
      <c r="I6862" s="1">
        <v>0</v>
      </c>
      <c r="J6862" s="1">
        <v>0</v>
      </c>
      <c r="K6862" s="2">
        <v>4.27</v>
      </c>
    </row>
    <row r="6863" spans="1:12">
      <c r="A6863" s="3" t="s">
        <v>6900</v>
      </c>
      <c r="B6863" s="3" t="s">
        <v>7040</v>
      </c>
      <c r="C6863" s="3" t="s">
        <v>7127</v>
      </c>
      <c r="D6863" s="3"/>
      <c r="E6863" s="2" t="str">
        <f>HYPERLINK("https://old.ukr-mobil.com/holder_derzhatel_1x1_dlya_akb_18650_10003505", "Перейти")</f>
        <v>Перейти</v>
      </c>
      <c r="F6863" s="2">
        <v>10003505</v>
      </c>
      <c r="G6863" s="4" t="s">
        <v>7128</v>
      </c>
      <c r="H6863" s="1">
        <v>0</v>
      </c>
      <c r="I6863" s="1">
        <v>0</v>
      </c>
      <c r="J6863" s="1">
        <v>0</v>
      </c>
      <c r="K6863" s="2">
        <v>0.07</v>
      </c>
    </row>
    <row r="6864" spans="1:12">
      <c r="A6864" s="3" t="s">
        <v>6900</v>
      </c>
      <c r="B6864" s="3" t="s">
        <v>7040</v>
      </c>
      <c r="C6864" s="3" t="s">
        <v>7127</v>
      </c>
      <c r="D6864" s="3"/>
      <c r="E6864" s="2" t="str">
        <f>HYPERLINK("https://old.ukr-mobil.com/holder_derzhatel_1x2_dlya_akb_18650_10003506", "Перейти")</f>
        <v>Перейти</v>
      </c>
      <c r="F6864" s="2">
        <v>10003506</v>
      </c>
      <c r="G6864" s="4" t="s">
        <v>7129</v>
      </c>
      <c r="H6864" s="1">
        <v>0</v>
      </c>
      <c r="I6864" s="1">
        <v>29</v>
      </c>
      <c r="J6864" s="1">
        <v>0</v>
      </c>
      <c r="K6864" s="2">
        <v>0.15</v>
      </c>
    </row>
    <row r="6865" spans="1:12">
      <c r="A6865" s="3" t="s">
        <v>6900</v>
      </c>
      <c r="B6865" s="3" t="s">
        <v>7040</v>
      </c>
      <c r="C6865" s="3" t="s">
        <v>7127</v>
      </c>
      <c r="D6865" s="3"/>
      <c r="E6865" s="2" t="str">
        <f>HYPERLINK("https://old.ukr-mobil.com/holder_derzhatel_1x2_dlya_akb_21700_10003510", "Перейти")</f>
        <v>Перейти</v>
      </c>
      <c r="F6865" s="2">
        <v>10003510</v>
      </c>
      <c r="G6865" s="4" t="s">
        <v>7130</v>
      </c>
      <c r="H6865" s="1">
        <v>0</v>
      </c>
      <c r="I6865" s="1">
        <v>0</v>
      </c>
      <c r="J6865" s="1">
        <v>2</v>
      </c>
      <c r="K6865" s="2">
        <v>0.18</v>
      </c>
    </row>
    <row r="6866" spans="1:12">
      <c r="A6866" s="3" t="s">
        <v>6900</v>
      </c>
      <c r="B6866" s="3" t="s">
        <v>7040</v>
      </c>
      <c r="C6866" s="3" t="s">
        <v>7127</v>
      </c>
      <c r="D6866" s="3"/>
      <c r="E6866" s="2" t="str">
        <f>HYPERLINK("https://old.ukr-mobil.com/holder_derzhatel_1x3_dlya_akb_18650_10003507", "Перейти")</f>
        <v>Перейти</v>
      </c>
      <c r="F6866" s="2">
        <v>10003507</v>
      </c>
      <c r="G6866" s="4" t="s">
        <v>7131</v>
      </c>
      <c r="H6866" s="1">
        <v>0</v>
      </c>
      <c r="I6866" s="1">
        <v>79</v>
      </c>
      <c r="J6866" s="1">
        <v>0</v>
      </c>
      <c r="K6866" s="2">
        <v>0.18</v>
      </c>
    </row>
    <row r="6867" spans="1:12">
      <c r="A6867" s="3" t="s">
        <v>6900</v>
      </c>
      <c r="B6867" s="3" t="s">
        <v>7040</v>
      </c>
      <c r="C6867" s="3" t="s">
        <v>7127</v>
      </c>
      <c r="D6867" s="3"/>
      <c r="E6867" s="2" t="str">
        <f>HYPERLINK("https://old.ukr-mobil.com/holder_derzhatel_1x3_dlya_akb_21700_10003511", "Перейти")</f>
        <v>Перейти</v>
      </c>
      <c r="F6867" s="2">
        <v>10003511</v>
      </c>
      <c r="G6867" s="4" t="s">
        <v>7132</v>
      </c>
      <c r="H6867" s="1">
        <v>0</v>
      </c>
      <c r="I6867" s="1">
        <v>0</v>
      </c>
      <c r="J6867" s="1">
        <v>0</v>
      </c>
      <c r="K6867" s="2">
        <v>0.21</v>
      </c>
    </row>
    <row r="6868" spans="1:12">
      <c r="A6868" s="3" t="s">
        <v>6900</v>
      </c>
      <c r="B6868" s="3" t="s">
        <v>7040</v>
      </c>
      <c r="C6868" s="3" t="s">
        <v>7127</v>
      </c>
      <c r="D6868" s="3"/>
      <c r="E6868" s="2" t="str">
        <f>HYPERLINK("https://old.ukr-mobil.com/holder_derzhatel_3x5_dlya_akb_18650_10003509", "Перейти")</f>
        <v>Перейти</v>
      </c>
      <c r="F6868" s="2">
        <v>10003509</v>
      </c>
      <c r="G6868" s="4" t="s">
        <v>7133</v>
      </c>
      <c r="H6868" s="1">
        <v>1</v>
      </c>
      <c r="I6868" s="1">
        <v>54</v>
      </c>
      <c r="J6868" s="1">
        <v>0</v>
      </c>
      <c r="K6868" s="2">
        <v>1.6</v>
      </c>
    </row>
    <row r="6869" spans="1:12">
      <c r="A6869" s="3" t="s">
        <v>6900</v>
      </c>
      <c r="B6869" s="3" t="s">
        <v>7040</v>
      </c>
      <c r="C6869" s="3" t="s">
        <v>7127</v>
      </c>
      <c r="D6869" s="3"/>
      <c r="E6869" s="2" t="str">
        <f>HYPERLINK("https://old.ukr-mobil.com/holder_derzhatel_4x5_dlya_akb_18650_10003508", "Перейти")</f>
        <v>Перейти</v>
      </c>
      <c r="F6869" s="2">
        <v>10003508</v>
      </c>
      <c r="G6869" s="4" t="s">
        <v>7134</v>
      </c>
      <c r="H6869" s="1">
        <v>5</v>
      </c>
      <c r="I6869" s="1">
        <v>42</v>
      </c>
      <c r="J6869" s="1">
        <v>8</v>
      </c>
      <c r="K6869" s="2">
        <v>1.98</v>
      </c>
    </row>
    <row r="6870" spans="1:12">
      <c r="A6870" s="3" t="s">
        <v>6900</v>
      </c>
      <c r="B6870" s="3" t="s">
        <v>7135</v>
      </c>
      <c r="C6870" s="3"/>
      <c r="D6870" s="3"/>
      <c r="E6870" s="2" t="str">
        <f>HYPERLINK("https://old.ukr-mobil.com/sobrannyj_korpus_dlya_akkumulyatora_18650_36v_sse-046_10003761", "Перейти")</f>
        <v>Перейти</v>
      </c>
      <c r="F6870" s="2">
        <v>10003761</v>
      </c>
      <c r="G6870" s="4" t="s">
        <v>7136</v>
      </c>
      <c r="H6870" s="1">
        <v>0</v>
      </c>
      <c r="I6870" s="1">
        <v>0</v>
      </c>
      <c r="J6870" s="1">
        <v>0</v>
      </c>
      <c r="K6870" s="2">
        <v>39.5</v>
      </c>
    </row>
    <row r="6871" spans="1:12">
      <c r="A6871" s="3" t="s">
        <v>6900</v>
      </c>
      <c r="B6871" s="3" t="s">
        <v>7135</v>
      </c>
      <c r="C6871" s="3"/>
      <c r="D6871" s="3"/>
      <c r="E6871" s="2" t="str">
        <f>HYPERLINK("https://old.ukr-mobil.com/sobrannyj_korpus_dlya_akkumulyatora_18650_36v_sse-077_10003763", "Перейти")</f>
        <v>Перейти</v>
      </c>
      <c r="F6871" s="2">
        <v>10003763</v>
      </c>
      <c r="G6871" s="4" t="s">
        <v>7137</v>
      </c>
      <c r="H6871" s="1">
        <v>0</v>
      </c>
      <c r="I6871" s="1">
        <v>0</v>
      </c>
      <c r="J6871" s="1">
        <v>0</v>
      </c>
      <c r="K6871" s="2">
        <v>42.0</v>
      </c>
    </row>
    <row r="6872" spans="1:12">
      <c r="A6872" s="3" t="s">
        <v>6900</v>
      </c>
      <c r="B6872" s="3" t="s">
        <v>7135</v>
      </c>
      <c r="C6872" s="3"/>
      <c r="D6872" s="3"/>
      <c r="E6872" s="2" t="str">
        <f>HYPERLINK("https://old.ukr-mobil.com/sobrannyj_korpus_dlya_akkumulyatora_18650_36v_sse-086_10003765", "Перейти")</f>
        <v>Перейти</v>
      </c>
      <c r="F6872" s="2">
        <v>10003765</v>
      </c>
      <c r="G6872" s="4" t="s">
        <v>7138</v>
      </c>
      <c r="H6872" s="1">
        <v>1</v>
      </c>
      <c r="I6872" s="1">
        <v>0</v>
      </c>
      <c r="J6872" s="1">
        <v>4</v>
      </c>
      <c r="K6872" s="2">
        <v>42.0</v>
      </c>
    </row>
    <row r="6873" spans="1:12">
      <c r="A6873" s="3" t="s">
        <v>6900</v>
      </c>
      <c r="B6873" s="3" t="s">
        <v>7135</v>
      </c>
      <c r="C6873" s="3"/>
      <c r="D6873" s="3"/>
      <c r="E6873" s="2" t="str">
        <f>HYPERLINK("https://old.ukr-mobil.com/sobrannyj_korpus_dlya_akkumulyatora_18650_36v_sse-112_g80_10003769", "Перейти")</f>
        <v>Перейти</v>
      </c>
      <c r="F6873" s="2">
        <v>10003769</v>
      </c>
      <c r="G6873" s="4" t="s">
        <v>7139</v>
      </c>
      <c r="H6873" s="1">
        <v>1</v>
      </c>
      <c r="I6873" s="1">
        <v>0</v>
      </c>
      <c r="J6873" s="1">
        <v>4</v>
      </c>
      <c r="K6873" s="2">
        <v>48.0</v>
      </c>
    </row>
    <row r="6874" spans="1:12">
      <c r="A6874" s="3" t="s">
        <v>6900</v>
      </c>
      <c r="B6874" s="3" t="s">
        <v>7135</v>
      </c>
      <c r="C6874" s="3"/>
      <c r="D6874" s="3"/>
      <c r="E6874" s="2" t="str">
        <f>HYPERLINK("https://old.ukr-mobil.com/sobrannyj_korpus_dlya_akkumulyatora_18650_36v_sse-114_g70_10003773", "Перейти")</f>
        <v>Перейти</v>
      </c>
      <c r="F6874" s="2">
        <v>10003773</v>
      </c>
      <c r="G6874" s="4" t="s">
        <v>7140</v>
      </c>
      <c r="H6874" s="1">
        <v>0</v>
      </c>
      <c r="I6874" s="1">
        <v>0</v>
      </c>
      <c r="J6874" s="1">
        <v>0</v>
      </c>
      <c r="K6874" s="2">
        <v>39.5</v>
      </c>
    </row>
    <row r="6875" spans="1:12">
      <c r="A6875" s="3" t="s">
        <v>6900</v>
      </c>
      <c r="B6875" s="3" t="s">
        <v>7135</v>
      </c>
      <c r="C6875" s="3"/>
      <c r="D6875" s="3"/>
      <c r="E6875" s="2" t="str">
        <f>HYPERLINK("https://old.ukr-mobil.com/sobrannyj_korpus_dlya_akkumulyatora_18650_48v_sse-046_10003762", "Перейти")</f>
        <v>Перейти</v>
      </c>
      <c r="F6875" s="2">
        <v>10003762</v>
      </c>
      <c r="G6875" s="4" t="s">
        <v>7141</v>
      </c>
      <c r="H6875" s="1">
        <v>0</v>
      </c>
      <c r="I6875" s="1">
        <v>0</v>
      </c>
      <c r="J6875" s="1">
        <v>1</v>
      </c>
      <c r="K6875" s="2">
        <v>39.5</v>
      </c>
    </row>
    <row r="6876" spans="1:12">
      <c r="A6876" s="3" t="s">
        <v>6900</v>
      </c>
      <c r="B6876" s="3" t="s">
        <v>7135</v>
      </c>
      <c r="C6876" s="3"/>
      <c r="D6876" s="3"/>
      <c r="E6876" s="2" t="str">
        <f>HYPERLINK("https://old.ukr-mobil.com/sobrannyj_korpus_dlya_akkumulyatora_18650_48v_sse-086_10003766", "Перейти")</f>
        <v>Перейти</v>
      </c>
      <c r="F6876" s="2">
        <v>10003766</v>
      </c>
      <c r="G6876" s="4" t="s">
        <v>7142</v>
      </c>
      <c r="H6876" s="1">
        <v>1</v>
      </c>
      <c r="I6876" s="1">
        <v>0</v>
      </c>
      <c r="J6876" s="1">
        <v>3</v>
      </c>
      <c r="K6876" s="2">
        <v>42.0</v>
      </c>
    </row>
    <row r="6877" spans="1:12">
      <c r="A6877" s="3" t="s">
        <v>6900</v>
      </c>
      <c r="B6877" s="3" t="s">
        <v>7135</v>
      </c>
      <c r="C6877" s="3"/>
      <c r="D6877" s="3"/>
      <c r="E6877" s="2" t="str">
        <f>HYPERLINK("https://old.ukr-mobil.com/sobrannyj_korpus_dlya_akkumulyatora_18650_48v_sse-112_g80_10003770", "Перейти")</f>
        <v>Перейти</v>
      </c>
      <c r="F6877" s="2">
        <v>10003770</v>
      </c>
      <c r="G6877" s="4" t="s">
        <v>7143</v>
      </c>
      <c r="H6877" s="1">
        <v>1</v>
      </c>
      <c r="I6877" s="1">
        <v>0</v>
      </c>
      <c r="J6877" s="1">
        <v>4</v>
      </c>
      <c r="K6877" s="2">
        <v>48.0</v>
      </c>
    </row>
    <row r="6878" spans="1:12">
      <c r="A6878" s="3" t="s">
        <v>6900</v>
      </c>
      <c r="B6878" s="3" t="s">
        <v>7135</v>
      </c>
      <c r="C6878" s="3"/>
      <c r="D6878" s="3"/>
      <c r="E6878" s="2" t="str">
        <f>HYPERLINK("https://old.ukr-mobil.com/sobrannyj_korpus_dlya_akkumulyatora_18650_48v_sse-114_g70_10003774", "Перейти")</f>
        <v>Перейти</v>
      </c>
      <c r="F6878" s="2">
        <v>10003774</v>
      </c>
      <c r="G6878" s="4" t="s">
        <v>7144</v>
      </c>
      <c r="H6878" s="1">
        <v>0</v>
      </c>
      <c r="I6878" s="1">
        <v>0</v>
      </c>
      <c r="J6878" s="1">
        <v>0</v>
      </c>
      <c r="K6878" s="2">
        <v>39.5</v>
      </c>
    </row>
    <row r="6879" spans="1:12">
      <c r="A6879" s="3" t="s">
        <v>6900</v>
      </c>
      <c r="B6879" s="3" t="s">
        <v>7135</v>
      </c>
      <c r="C6879" s="3"/>
      <c r="D6879" s="3"/>
      <c r="E6879" s="2" t="str">
        <f>HYPERLINK("https://old.ukr-mobil.com/sobrannyj_korpus_dlya_akkumulyatora_21700_36v_sse-077_10003764", "Перейти")</f>
        <v>Перейти</v>
      </c>
      <c r="F6879" s="2">
        <v>10003764</v>
      </c>
      <c r="G6879" s="4" t="s">
        <v>7145</v>
      </c>
      <c r="H6879" s="1">
        <v>0</v>
      </c>
      <c r="I6879" s="1">
        <v>0</v>
      </c>
      <c r="J6879" s="1">
        <v>0</v>
      </c>
      <c r="K6879" s="2">
        <v>42.0</v>
      </c>
    </row>
    <row r="6880" spans="1:12">
      <c r="A6880" s="3" t="s">
        <v>6900</v>
      </c>
      <c r="B6880" s="3" t="s">
        <v>7135</v>
      </c>
      <c r="C6880" s="3"/>
      <c r="D6880" s="3"/>
      <c r="E6880" s="2" t="str">
        <f>HYPERLINK("https://old.ukr-mobil.com/sobrannyj_korpus_dlya_akkumulyatora_21700_36v_sse-086_10003767", "Перейти")</f>
        <v>Перейти</v>
      </c>
      <c r="F6880" s="2">
        <v>10003767</v>
      </c>
      <c r="G6880" s="4" t="s">
        <v>7146</v>
      </c>
      <c r="H6880" s="1">
        <v>1</v>
      </c>
      <c r="I6880" s="1">
        <v>0</v>
      </c>
      <c r="J6880" s="1">
        <v>4</v>
      </c>
      <c r="K6880" s="2">
        <v>42.0</v>
      </c>
    </row>
    <row r="6881" spans="1:12">
      <c r="A6881" s="3" t="s">
        <v>6900</v>
      </c>
      <c r="B6881" s="3" t="s">
        <v>7135</v>
      </c>
      <c r="C6881" s="3"/>
      <c r="D6881" s="3"/>
      <c r="E6881" s="2" t="str">
        <f>HYPERLINK("https://old.ukr-mobil.com/sobrannyj_korpus_dlya_akkumulyatora_21700_36v_sse-112_g80_10003771", "Перейти")</f>
        <v>Перейти</v>
      </c>
      <c r="F6881" s="2">
        <v>10003771</v>
      </c>
      <c r="G6881" s="4" t="s">
        <v>7147</v>
      </c>
      <c r="H6881" s="1">
        <v>1</v>
      </c>
      <c r="I6881" s="1">
        <v>0</v>
      </c>
      <c r="J6881" s="1">
        <v>4</v>
      </c>
      <c r="K6881" s="2">
        <v>48.0</v>
      </c>
    </row>
    <row r="6882" spans="1:12">
      <c r="A6882" s="3" t="s">
        <v>6900</v>
      </c>
      <c r="B6882" s="3" t="s">
        <v>7135</v>
      </c>
      <c r="C6882" s="3"/>
      <c r="D6882" s="3"/>
      <c r="E6882" s="2" t="str">
        <f>HYPERLINK("https://old.ukr-mobil.com/sobrannyj_korpus_dlya_akkumulyatora_21700_48v_sse-086_10003768", "Перейти")</f>
        <v>Перейти</v>
      </c>
      <c r="F6882" s="2">
        <v>10003768</v>
      </c>
      <c r="G6882" s="4" t="s">
        <v>7148</v>
      </c>
      <c r="H6882" s="1">
        <v>1</v>
      </c>
      <c r="I6882" s="1">
        <v>0</v>
      </c>
      <c r="J6882" s="1">
        <v>1</v>
      </c>
      <c r="K6882" s="2">
        <v>42.0</v>
      </c>
    </row>
    <row r="6883" spans="1:12">
      <c r="A6883" s="3" t="s">
        <v>6900</v>
      </c>
      <c r="B6883" s="3" t="s">
        <v>7135</v>
      </c>
      <c r="C6883" s="3"/>
      <c r="D6883" s="3"/>
      <c r="E6883" s="2" t="str">
        <f>HYPERLINK("https://old.ukr-mobil.com/sobrannyj_korpus_dlya_akkumulyatora_21700_48v_sse-112_g80_10003772", "Перейти")</f>
        <v>Перейти</v>
      </c>
      <c r="F6883" s="2">
        <v>10003772</v>
      </c>
      <c r="G6883" s="4" t="s">
        <v>7149</v>
      </c>
      <c r="H6883" s="1">
        <v>1</v>
      </c>
      <c r="I6883" s="1">
        <v>0</v>
      </c>
      <c r="J6883" s="1">
        <v>3</v>
      </c>
      <c r="K6883" s="2">
        <v>48.0</v>
      </c>
    </row>
    <row r="6884" spans="1:12">
      <c r="A6884" s="3" t="s">
        <v>6900</v>
      </c>
      <c r="B6884" s="3" t="s">
        <v>7150</v>
      </c>
      <c r="C6884" s="3"/>
      <c r="D6884" s="3"/>
      <c r="E6884" s="2" t="str">
        <f>HYPERLINK("https://old.ukr-mobil.com/tester_emnosti_akkumulyatorov_sunkko_t-681_5a_0-55v_10003726", "Перейти")</f>
        <v>Перейти</v>
      </c>
      <c r="F6884" s="2">
        <v>10003726</v>
      </c>
      <c r="G6884" s="4" t="s">
        <v>7151</v>
      </c>
      <c r="H6884" s="1">
        <v>1</v>
      </c>
      <c r="I6884" s="1">
        <v>0</v>
      </c>
      <c r="J6884" s="1">
        <v>0</v>
      </c>
      <c r="K6884" s="2">
        <v>165.0</v>
      </c>
    </row>
    <row r="6885" spans="1:12">
      <c r="A6885" s="3" t="s">
        <v>6900</v>
      </c>
      <c r="B6885" s="3" t="s">
        <v>7150</v>
      </c>
      <c r="C6885" s="3"/>
      <c r="D6885" s="3"/>
      <c r="E6885" s="2" t="str">
        <f>HYPERLINK("https://old.ukr-mobil.com/tester_emnosti_akkumulyatorov_sunkko_t-681_5a_0-85v_10003727", "Перейти")</f>
        <v>Перейти</v>
      </c>
      <c r="F6885" s="2">
        <v>10003727</v>
      </c>
      <c r="G6885" s="4" t="s">
        <v>7152</v>
      </c>
      <c r="H6885" s="1">
        <v>0</v>
      </c>
      <c r="I6885" s="1">
        <v>0</v>
      </c>
      <c r="J6885" s="1">
        <v>0</v>
      </c>
      <c r="K6885" s="2">
        <v>190.0</v>
      </c>
    </row>
    <row r="6886" spans="1:12">
      <c r="A6886" s="3" t="s">
        <v>6900</v>
      </c>
      <c r="B6886" s="3" t="s">
        <v>7153</v>
      </c>
      <c r="C6886" s="3"/>
      <c r="D6886" s="3"/>
      <c r="E6886" s="2" t="str">
        <f>HYPERLINK("https://old.ukr-mobil.com/akkumulyator_14_ah_179_wh_12v_na_osnove_elementov_32700_lifepo4_razmer_75_x_140_x_80_mm_10004463", "Перейти")</f>
        <v>Перейти</v>
      </c>
      <c r="F6886" s="2">
        <v>10004463</v>
      </c>
      <c r="G6886" s="4" t="s">
        <v>7154</v>
      </c>
      <c r="H6886" s="1">
        <v>17</v>
      </c>
      <c r="I6886" s="1">
        <v>13</v>
      </c>
      <c r="J6886" s="1">
        <v>13</v>
      </c>
      <c r="K6886" s="2">
        <v>74.0</v>
      </c>
    </row>
    <row r="6887" spans="1:12">
      <c r="A6887" s="3" t="s">
        <v>6900</v>
      </c>
      <c r="B6887" s="3" t="s">
        <v>7155</v>
      </c>
      <c r="C6887" s="3"/>
      <c r="D6887" s="3"/>
      <c r="E6887" s="2" t="str">
        <f>HYPERLINK("https://old.ukr-mobil.com/akkumulyator_dlya_plansheta_1_9_34_95_mm_600_mah_10001381", "Перейти")</f>
        <v>Перейти</v>
      </c>
      <c r="F6887" s="2">
        <v>10001381</v>
      </c>
      <c r="G6887" s="4" t="s">
        <v>7156</v>
      </c>
      <c r="H6887" s="1">
        <v>0</v>
      </c>
      <c r="I6887" s="1">
        <v>0</v>
      </c>
      <c r="J6887" s="1">
        <v>0</v>
      </c>
      <c r="K6887" s="2">
        <v>2.35</v>
      </c>
    </row>
    <row r="6888" spans="1:12">
      <c r="A6888" s="3" t="s">
        <v>6900</v>
      </c>
      <c r="B6888" s="3" t="s">
        <v>7155</v>
      </c>
      <c r="C6888" s="3"/>
      <c r="D6888" s="3"/>
      <c r="E6888" s="2" t="str">
        <f>HYPERLINK("https://old.ukr-mobil.com/akkumulyator_dlya_plansheta_2_5_100_150mm_5000_mah_7786", "Перейти")</f>
        <v>Перейти</v>
      </c>
      <c r="F6888" s="2">
        <v>7786</v>
      </c>
      <c r="G6888" s="4" t="s">
        <v>7157</v>
      </c>
      <c r="H6888" s="1">
        <v>0</v>
      </c>
      <c r="I6888" s="1">
        <v>0</v>
      </c>
      <c r="J6888" s="1">
        <v>0</v>
      </c>
      <c r="K6888" s="2">
        <v>6.0</v>
      </c>
    </row>
    <row r="6889" spans="1:12">
      <c r="A6889" s="3" t="s">
        <v>6900</v>
      </c>
      <c r="B6889" s="3" t="s">
        <v>7155</v>
      </c>
      <c r="C6889" s="3"/>
      <c r="D6889" s="3"/>
      <c r="E6889" s="2" t="str">
        <f>HYPERLINK("https://old.ukr-mobil.com/akkumulyator_dlya_plansheta_2_9_100_100mm_6000_mah_6568", "Перейти")</f>
        <v>Перейти</v>
      </c>
      <c r="F6889" s="2">
        <v>6568</v>
      </c>
      <c r="G6889" s="4" t="s">
        <v>7158</v>
      </c>
      <c r="H6889" s="1">
        <v>0</v>
      </c>
      <c r="I6889" s="1">
        <v>0</v>
      </c>
      <c r="J6889" s="1">
        <v>0</v>
      </c>
      <c r="K6889" s="2">
        <v>7.5</v>
      </c>
    </row>
    <row r="6890" spans="1:12">
      <c r="A6890" s="3" t="s">
        <v>6900</v>
      </c>
      <c r="B6890" s="3" t="s">
        <v>7155</v>
      </c>
      <c r="C6890" s="3"/>
      <c r="D6890" s="3"/>
      <c r="E6890" s="2" t="str">
        <f>HYPERLINK("https://old.ukr-mobil.com/akkumulyator_dlya_plansheta_2_9_93_99mm_4000_mah_5126", "Перейти")</f>
        <v>Перейти</v>
      </c>
      <c r="F6890" s="2">
        <v>5126</v>
      </c>
      <c r="G6890" s="4" t="s">
        <v>7159</v>
      </c>
      <c r="H6890" s="1">
        <v>27</v>
      </c>
      <c r="I6890" s="1">
        <v>8</v>
      </c>
      <c r="J6890" s="1">
        <v>4</v>
      </c>
      <c r="K6890" s="2">
        <v>5.0</v>
      </c>
    </row>
    <row r="6891" spans="1:12">
      <c r="A6891" s="3" t="s">
        <v>6900</v>
      </c>
      <c r="B6891" s="3" t="s">
        <v>7155</v>
      </c>
      <c r="C6891" s="3"/>
      <c r="D6891" s="3"/>
      <c r="E6891" s="2" t="str">
        <f>HYPERLINK("https://old.ukr-mobil.com/akkumulyator_dlya_plansheta_2_9_96_100mm_4000_mah_7787", "Перейти")</f>
        <v>Перейти</v>
      </c>
      <c r="F6891" s="2">
        <v>7787</v>
      </c>
      <c r="G6891" s="4" t="s">
        <v>7160</v>
      </c>
      <c r="H6891" s="1">
        <v>0</v>
      </c>
      <c r="I6891" s="1">
        <v>0</v>
      </c>
      <c r="J6891" s="1">
        <v>0</v>
      </c>
      <c r="K6891" s="2">
        <v>5.0</v>
      </c>
    </row>
    <row r="6892" spans="1:12">
      <c r="A6892" s="3" t="s">
        <v>6900</v>
      </c>
      <c r="B6892" s="3" t="s">
        <v>7155</v>
      </c>
      <c r="C6892" s="3"/>
      <c r="D6892" s="3"/>
      <c r="E6892" s="2" t="str">
        <f>HYPERLINK("https://old.ukr-mobil.com/akkumulyator_dlya_plansheta_3_0_60_93mm_3000_mah_7799", "Перейти")</f>
        <v>Перейти</v>
      </c>
      <c r="F6892" s="2">
        <v>7799</v>
      </c>
      <c r="G6892" s="4" t="s">
        <v>7161</v>
      </c>
      <c r="H6892" s="1">
        <v>0</v>
      </c>
      <c r="I6892" s="1">
        <v>0</v>
      </c>
      <c r="J6892" s="1">
        <v>1</v>
      </c>
      <c r="K6892" s="2">
        <v>4.35</v>
      </c>
    </row>
    <row r="6893" spans="1:12">
      <c r="A6893" s="3" t="s">
        <v>6900</v>
      </c>
      <c r="B6893" s="3" t="s">
        <v>7155</v>
      </c>
      <c r="C6893" s="3"/>
      <c r="D6893" s="3"/>
      <c r="E6893" s="2" t="str">
        <f>HYPERLINK("https://old.ukr-mobil.com/akkumulyator_dlya_plansheta_3_0_70_95_mm_2500_mah_10003053", "Перейти")</f>
        <v>Перейти</v>
      </c>
      <c r="F6893" s="2">
        <v>10003053</v>
      </c>
      <c r="G6893" s="4" t="s">
        <v>7162</v>
      </c>
      <c r="H6893" s="1">
        <v>0</v>
      </c>
      <c r="I6893" s="1">
        <v>0</v>
      </c>
      <c r="J6893" s="1">
        <v>0</v>
      </c>
      <c r="K6893" s="2">
        <v>4.85</v>
      </c>
    </row>
    <row r="6894" spans="1:12">
      <c r="A6894" s="3" t="s">
        <v>6900</v>
      </c>
      <c r="B6894" s="3" t="s">
        <v>7155</v>
      </c>
      <c r="C6894" s="3"/>
      <c r="D6894" s="3"/>
      <c r="E6894" s="2" t="str">
        <f>HYPERLINK("https://old.ukr-mobil.com/akkumulyator_dlya_plansheta_3_0_73_95mm_3000_mah_7789", "Перейти")</f>
        <v>Перейти</v>
      </c>
      <c r="F6894" s="2">
        <v>7789</v>
      </c>
      <c r="G6894" s="4" t="s">
        <v>7163</v>
      </c>
      <c r="H6894" s="1">
        <v>0</v>
      </c>
      <c r="I6894" s="1">
        <v>0</v>
      </c>
      <c r="J6894" s="1">
        <v>0</v>
      </c>
      <c r="K6894" s="2">
        <v>4.85</v>
      </c>
    </row>
    <row r="6895" spans="1:12">
      <c r="A6895" s="3" t="s">
        <v>6900</v>
      </c>
      <c r="B6895" s="3" t="s">
        <v>7155</v>
      </c>
      <c r="C6895" s="3"/>
      <c r="D6895" s="3"/>
      <c r="E6895" s="2" t="str">
        <f>HYPERLINK("https://old.ukr-mobil.com/akkumulyator_dlya_plansheta_3_0_80_95mm_5000_mah_5129", "Перейти")</f>
        <v>Перейти</v>
      </c>
      <c r="F6895" s="2">
        <v>5129</v>
      </c>
      <c r="G6895" s="4" t="s">
        <v>7164</v>
      </c>
      <c r="H6895" s="1">
        <v>0</v>
      </c>
      <c r="I6895" s="1">
        <v>0</v>
      </c>
      <c r="J6895" s="1">
        <v>0</v>
      </c>
      <c r="K6895" s="2">
        <v>5.5</v>
      </c>
    </row>
    <row r="6896" spans="1:12">
      <c r="A6896" s="3" t="s">
        <v>6900</v>
      </c>
      <c r="B6896" s="3" t="s">
        <v>7155</v>
      </c>
      <c r="C6896" s="3"/>
      <c r="D6896" s="3"/>
      <c r="E6896" s="2" t="str">
        <f>HYPERLINK("https://old.ukr-mobil.com/akkumulyator_dlya_plansheta_3_2_48_145mm_3800_mah_7793", "Перейти")</f>
        <v>Перейти</v>
      </c>
      <c r="F6896" s="2">
        <v>7793</v>
      </c>
      <c r="G6896" s="4" t="s">
        <v>7165</v>
      </c>
      <c r="H6896" s="1">
        <v>0</v>
      </c>
      <c r="I6896" s="1">
        <v>0</v>
      </c>
      <c r="J6896" s="1">
        <v>0</v>
      </c>
      <c r="K6896" s="2">
        <v>5.04</v>
      </c>
    </row>
    <row r="6897" spans="1:12">
      <c r="A6897" s="3" t="s">
        <v>6900</v>
      </c>
      <c r="B6897" s="3" t="s">
        <v>7155</v>
      </c>
      <c r="C6897" s="3"/>
      <c r="D6897" s="3"/>
      <c r="E6897" s="2" t="str">
        <f>HYPERLINK("https://old.ukr-mobil.com/akkumulyator_dlya_plansheta_3_2_50_145mm_4000_mah_7792", "Перейти")</f>
        <v>Перейти</v>
      </c>
      <c r="F6897" s="2">
        <v>7792</v>
      </c>
      <c r="G6897" s="4" t="s">
        <v>7166</v>
      </c>
      <c r="H6897" s="1">
        <v>0</v>
      </c>
      <c r="I6897" s="1">
        <v>0</v>
      </c>
      <c r="J6897" s="1">
        <v>0</v>
      </c>
      <c r="K6897" s="2">
        <v>5.25</v>
      </c>
    </row>
    <row r="6898" spans="1:12">
      <c r="A6898" s="3" t="s">
        <v>6900</v>
      </c>
      <c r="B6898" s="3" t="s">
        <v>7155</v>
      </c>
      <c r="C6898" s="3"/>
      <c r="D6898" s="3"/>
      <c r="E6898" s="2" t="str">
        <f>HYPERLINK("https://old.ukr-mobil.com/akkumulyator_dlya_plansheta_3_2_65_80mm_3500_mah_7790", "Перейти")</f>
        <v>Перейти</v>
      </c>
      <c r="F6898" s="2">
        <v>7790</v>
      </c>
      <c r="G6898" s="4" t="s">
        <v>7167</v>
      </c>
      <c r="H6898" s="1">
        <v>0</v>
      </c>
      <c r="I6898" s="1">
        <v>0</v>
      </c>
      <c r="J6898" s="1">
        <v>0</v>
      </c>
      <c r="K6898" s="2">
        <v>4.75</v>
      </c>
    </row>
    <row r="6899" spans="1:12">
      <c r="A6899" s="3" t="s">
        <v>6900</v>
      </c>
      <c r="B6899" s="3" t="s">
        <v>7155</v>
      </c>
      <c r="C6899" s="3"/>
      <c r="D6899" s="3"/>
      <c r="E6899" s="2" t="str">
        <f>HYPERLINK("https://old.ukr-mobil.com/akkumulyator_dlya_plansheta_3_5_100_100mm_3500_mah_7795", "Перейти")</f>
        <v>Перейти</v>
      </c>
      <c r="F6899" s="2">
        <v>7795</v>
      </c>
      <c r="G6899" s="4" t="s">
        <v>7168</v>
      </c>
      <c r="H6899" s="1">
        <v>0</v>
      </c>
      <c r="I6899" s="1">
        <v>5</v>
      </c>
      <c r="J6899" s="1">
        <v>2</v>
      </c>
      <c r="K6899" s="2">
        <v>4.85</v>
      </c>
    </row>
    <row r="6900" spans="1:12">
      <c r="A6900" s="3" t="s">
        <v>6900</v>
      </c>
      <c r="B6900" s="3" t="s">
        <v>7155</v>
      </c>
      <c r="C6900" s="3"/>
      <c r="D6900" s="3"/>
      <c r="E6900" s="2" t="str">
        <f>HYPERLINK("https://old.ukr-mobil.com/akkumulyator_dlya_plansheta_3_5_50_145mm_3500_mah_5817", "Перейти")</f>
        <v>Перейти</v>
      </c>
      <c r="F6900" s="2">
        <v>5817</v>
      </c>
      <c r="G6900" s="4" t="s">
        <v>7169</v>
      </c>
      <c r="H6900" s="1">
        <v>0</v>
      </c>
      <c r="I6900" s="1">
        <v>0</v>
      </c>
      <c r="J6900" s="1">
        <v>0</v>
      </c>
      <c r="K6900" s="2">
        <v>4.5</v>
      </c>
    </row>
    <row r="6901" spans="1:12">
      <c r="A6901" s="3" t="s">
        <v>6900</v>
      </c>
      <c r="B6901" s="3" t="s">
        <v>7155</v>
      </c>
      <c r="C6901" s="3"/>
      <c r="D6901" s="3"/>
      <c r="E6901" s="2" t="str">
        <f>HYPERLINK("https://old.ukr-mobil.com/akkumulyator_dlya_plansheta_3_5_55_130mm_5000_mah_5131", "Перейти")</f>
        <v>Перейти</v>
      </c>
      <c r="F6901" s="2">
        <v>5131</v>
      </c>
      <c r="G6901" s="4" t="s">
        <v>7170</v>
      </c>
      <c r="H6901" s="1">
        <v>0</v>
      </c>
      <c r="I6901" s="1">
        <v>0</v>
      </c>
      <c r="J6901" s="1">
        <v>0</v>
      </c>
      <c r="K6901" s="2">
        <v>5.04</v>
      </c>
    </row>
    <row r="6902" spans="1:12">
      <c r="A6902" s="3" t="s">
        <v>6900</v>
      </c>
      <c r="B6902" s="3" t="s">
        <v>7155</v>
      </c>
      <c r="C6902" s="3"/>
      <c r="D6902" s="3"/>
      <c r="E6902" s="2" t="str">
        <f>HYPERLINK("https://old.ukr-mobil.com/akkumulyator_dlya_plansheta_3_5_55_143mm_3200_mah_5132", "Перейти")</f>
        <v>Перейти</v>
      </c>
      <c r="F6902" s="2">
        <v>5132</v>
      </c>
      <c r="G6902" s="4" t="s">
        <v>7171</v>
      </c>
      <c r="H6902" s="1">
        <v>0</v>
      </c>
      <c r="I6902" s="1">
        <v>0</v>
      </c>
      <c r="J6902" s="1">
        <v>0</v>
      </c>
      <c r="K6902" s="2">
        <v>3.25</v>
      </c>
    </row>
    <row r="6903" spans="1:12">
      <c r="A6903" s="3" t="s">
        <v>6900</v>
      </c>
      <c r="B6903" s="3" t="s">
        <v>7155</v>
      </c>
      <c r="C6903" s="3"/>
      <c r="D6903" s="3"/>
      <c r="E6903" s="2" t="str">
        <f>HYPERLINK("https://old.ukr-mobil.com/akkumulyator_dlya_plansheta_3_5_60_90_mm_3_7_v_3500_mah_10003417", "Перейти")</f>
        <v>Перейти</v>
      </c>
      <c r="F6903" s="2">
        <v>10003417</v>
      </c>
      <c r="G6903" s="4" t="s">
        <v>7172</v>
      </c>
      <c r="H6903" s="1">
        <v>0</v>
      </c>
      <c r="I6903" s="1">
        <v>0</v>
      </c>
      <c r="J6903" s="1">
        <v>0</v>
      </c>
      <c r="K6903" s="2">
        <v>4.5</v>
      </c>
    </row>
    <row r="6904" spans="1:12">
      <c r="A6904" s="3" t="s">
        <v>6900</v>
      </c>
      <c r="B6904" s="3" t="s">
        <v>7155</v>
      </c>
      <c r="C6904" s="3"/>
      <c r="D6904" s="3"/>
      <c r="E6904" s="2" t="str">
        <f>HYPERLINK("https://old.ukr-mobil.com/akkumulyator_dlya_plansheta_3_5_65_95mm_3000_mah_7788", "Перейти")</f>
        <v>Перейти</v>
      </c>
      <c r="F6904" s="2">
        <v>7788</v>
      </c>
      <c r="G6904" s="4" t="s">
        <v>7173</v>
      </c>
      <c r="H6904" s="1">
        <v>0</v>
      </c>
      <c r="I6904" s="1">
        <v>0</v>
      </c>
      <c r="J6904" s="1">
        <v>0</v>
      </c>
      <c r="K6904" s="2">
        <v>5.35</v>
      </c>
    </row>
    <row r="6905" spans="1:12">
      <c r="A6905" s="3" t="s">
        <v>6900</v>
      </c>
      <c r="B6905" s="3" t="s">
        <v>7155</v>
      </c>
      <c r="C6905" s="3"/>
      <c r="D6905" s="3"/>
      <c r="E6905" s="2" t="str">
        <f>HYPERLINK("https://old.ukr-mobil.com/akkumulyator_dlya_plansheta_3_5_70_100mm_3500_mah_7794", "Перейти")</f>
        <v>Перейти</v>
      </c>
      <c r="F6905" s="2">
        <v>7794</v>
      </c>
      <c r="G6905" s="4" t="s">
        <v>7174</v>
      </c>
      <c r="H6905" s="1">
        <v>1</v>
      </c>
      <c r="I6905" s="1">
        <v>5</v>
      </c>
      <c r="J6905" s="1">
        <v>7</v>
      </c>
      <c r="K6905" s="2">
        <v>5.0</v>
      </c>
    </row>
    <row r="6906" spans="1:12">
      <c r="A6906" s="3" t="s">
        <v>6900</v>
      </c>
      <c r="B6906" s="3" t="s">
        <v>7155</v>
      </c>
      <c r="C6906" s="3"/>
      <c r="D6906" s="3"/>
      <c r="E6906" s="2" t="str">
        <f>HYPERLINK("https://old.ukr-mobil.com/akkumulyator_dlya_plansheta_3_5_75_80mm_3500_mah_11639", "Перейти")</f>
        <v>Перейти</v>
      </c>
      <c r="F6906" s="2">
        <v>11639</v>
      </c>
      <c r="G6906" s="4" t="s">
        <v>7175</v>
      </c>
      <c r="H6906" s="1">
        <v>0</v>
      </c>
      <c r="I6906" s="1">
        <v>0</v>
      </c>
      <c r="J6906" s="1">
        <v>0</v>
      </c>
      <c r="K6906" s="2">
        <v>5.54</v>
      </c>
    </row>
    <row r="6907" spans="1:12">
      <c r="A6907" s="3" t="s">
        <v>6900</v>
      </c>
      <c r="B6907" s="3" t="s">
        <v>7155</v>
      </c>
      <c r="C6907" s="3"/>
      <c r="D6907" s="3"/>
      <c r="E6907" s="2" t="str">
        <f>HYPERLINK("https://old.ukr-mobil.com/akkumulyator_dlya_plansheta_3_5_70_90mm_3000_mah_5130", "Перейти")</f>
        <v>Перейти</v>
      </c>
      <c r="F6907" s="2">
        <v>5130</v>
      </c>
      <c r="G6907" s="4" t="s">
        <v>7176</v>
      </c>
      <c r="H6907" s="1">
        <v>0</v>
      </c>
      <c r="I6907" s="1">
        <v>0</v>
      </c>
      <c r="J6907" s="1">
        <v>0</v>
      </c>
      <c r="K6907" s="2">
        <v>5.0</v>
      </c>
    </row>
    <row r="6908" spans="1:12">
      <c r="A6908" s="3" t="s">
        <v>6900</v>
      </c>
      <c r="B6908" s="3" t="s">
        <v>7155</v>
      </c>
      <c r="C6908" s="3"/>
      <c r="D6908" s="3"/>
      <c r="E6908" s="2" t="str">
        <f>HYPERLINK("https://old.ukr-mobil.com/akkumulyator_dlya_plansheta_3_7_35_95mm_2800_mah_11646", "Перейти")</f>
        <v>Перейти</v>
      </c>
      <c r="F6908" s="2">
        <v>11646</v>
      </c>
      <c r="G6908" s="4" t="s">
        <v>7177</v>
      </c>
      <c r="H6908" s="1">
        <v>0</v>
      </c>
      <c r="I6908" s="1">
        <v>0</v>
      </c>
      <c r="J6908" s="1">
        <v>0</v>
      </c>
      <c r="K6908" s="2">
        <v>5.04</v>
      </c>
    </row>
    <row r="6909" spans="1:12">
      <c r="A6909" s="3" t="s">
        <v>6900</v>
      </c>
      <c r="B6909" s="3" t="s">
        <v>7155</v>
      </c>
      <c r="C6909" s="3"/>
      <c r="D6909" s="3"/>
      <c r="E6909" s="2" t="str">
        <f>HYPERLINK("https://old.ukr-mobil.com/akkumulyator_dlya_plansheta_3_7_65_95mm_3200_mah_5140", "Перейти")</f>
        <v>Перейти</v>
      </c>
      <c r="F6909" s="2">
        <v>5140</v>
      </c>
      <c r="G6909" s="4" t="s">
        <v>7178</v>
      </c>
      <c r="H6909" s="1">
        <v>0</v>
      </c>
      <c r="I6909" s="1">
        <v>0</v>
      </c>
      <c r="J6909" s="1">
        <v>0</v>
      </c>
      <c r="K6909" s="2">
        <v>5.54</v>
      </c>
    </row>
    <row r="6910" spans="1:12">
      <c r="A6910" s="3" t="s">
        <v>6900</v>
      </c>
      <c r="B6910" s="3" t="s">
        <v>7155</v>
      </c>
      <c r="C6910" s="3"/>
      <c r="D6910" s="3"/>
      <c r="E6910" s="2" t="str">
        <f>HYPERLINK("https://old.ukr-mobil.com/akkumulyator_dlya_plansheta_3_7_66_125mm_4000_mah_5143", "Перейти")</f>
        <v>Перейти</v>
      </c>
      <c r="F6910" s="2">
        <v>5143</v>
      </c>
      <c r="G6910" s="4" t="s">
        <v>7179</v>
      </c>
      <c r="H6910" s="1">
        <v>0</v>
      </c>
      <c r="I6910" s="1">
        <v>0</v>
      </c>
      <c r="J6910" s="1">
        <v>0</v>
      </c>
      <c r="K6910" s="2">
        <v>5.54</v>
      </c>
    </row>
    <row r="6911" spans="1:12">
      <c r="A6911" s="3" t="s">
        <v>6900</v>
      </c>
      <c r="B6911" s="3" t="s">
        <v>7155</v>
      </c>
      <c r="C6911" s="3"/>
      <c r="D6911" s="3"/>
      <c r="E6911" s="2" t="str">
        <f>HYPERLINK("https://old.ukr-mobil.com/akkumulyator_dlya_plansheta_3_7_93_108mm_4000_mah_5127", "Перейти")</f>
        <v>Перейти</v>
      </c>
      <c r="F6911" s="2">
        <v>5127</v>
      </c>
      <c r="G6911" s="4" t="s">
        <v>7180</v>
      </c>
      <c r="H6911" s="1">
        <v>0</v>
      </c>
      <c r="I6911" s="1">
        <v>0</v>
      </c>
      <c r="J6911" s="1">
        <v>0</v>
      </c>
      <c r="K6911" s="2">
        <v>6.05</v>
      </c>
    </row>
    <row r="6912" spans="1:12">
      <c r="A6912" s="3" t="s">
        <v>6900</v>
      </c>
      <c r="B6912" s="3" t="s">
        <v>7155</v>
      </c>
      <c r="C6912" s="3"/>
      <c r="D6912" s="3"/>
      <c r="E6912" s="2" t="str">
        <f>HYPERLINK("https://old.ukr-mobil.com/akkumulyator_dlya_plansheta_3_9_70_125mm_5000_mah_5125", "Перейти")</f>
        <v>Перейти</v>
      </c>
      <c r="F6912" s="2">
        <v>5125</v>
      </c>
      <c r="G6912" s="4" t="s">
        <v>7181</v>
      </c>
      <c r="H6912" s="1">
        <v>0</v>
      </c>
      <c r="I6912" s="1">
        <v>0</v>
      </c>
      <c r="J6912" s="1">
        <v>0</v>
      </c>
      <c r="K6912" s="2">
        <v>7.06</v>
      </c>
    </row>
    <row r="6913" spans="1:12">
      <c r="A6913" s="3" t="s">
        <v>6900</v>
      </c>
      <c r="B6913" s="3" t="s">
        <v>7155</v>
      </c>
      <c r="C6913" s="3"/>
      <c r="D6913" s="3"/>
      <c r="E6913" s="2" t="str">
        <f>HYPERLINK("https://old.ukr-mobil.com/akkumulyator_dlya_plansheta_3_9_80_90mm_3000_mah_5141", "Перейти")</f>
        <v>Перейти</v>
      </c>
      <c r="F6913" s="2">
        <v>5141</v>
      </c>
      <c r="G6913" s="4" t="s">
        <v>7182</v>
      </c>
      <c r="H6913" s="1">
        <v>0</v>
      </c>
      <c r="I6913" s="1">
        <v>0</v>
      </c>
      <c r="J6913" s="1">
        <v>0</v>
      </c>
      <c r="K6913" s="2">
        <v>5.04</v>
      </c>
    </row>
    <row r="6914" spans="1:12">
      <c r="A6914" s="3" t="s">
        <v>6900</v>
      </c>
      <c r="B6914" s="3" t="s">
        <v>7155</v>
      </c>
      <c r="C6914" s="3"/>
      <c r="D6914" s="3"/>
      <c r="E6914" s="2" t="str">
        <f>HYPERLINK("https://old.ukr-mobil.com/akkumulyator_dlya_plansheta_4_0_55_94mm_2700_mah_5137", "Перейти")</f>
        <v>Перейти</v>
      </c>
      <c r="F6914" s="2">
        <v>5137</v>
      </c>
      <c r="G6914" s="4" t="s">
        <v>7183</v>
      </c>
      <c r="H6914" s="1">
        <v>0</v>
      </c>
      <c r="I6914" s="1">
        <v>0</v>
      </c>
      <c r="J6914" s="1">
        <v>0</v>
      </c>
      <c r="K6914" s="2">
        <v>4.28</v>
      </c>
    </row>
    <row r="6915" spans="1:12">
      <c r="A6915" s="3" t="s">
        <v>6900</v>
      </c>
      <c r="B6915" s="3" t="s">
        <v>7155</v>
      </c>
      <c r="C6915" s="3"/>
      <c r="D6915" s="3"/>
      <c r="E6915" s="2" t="str">
        <f>HYPERLINK("https://old.ukr-mobil.com/akkumulyator_dlya_plansheta_4_0_60_130mm_3500_mah_7796", "Перейти")</f>
        <v>Перейти</v>
      </c>
      <c r="F6915" s="2">
        <v>7796</v>
      </c>
      <c r="G6915" s="4" t="s">
        <v>7184</v>
      </c>
      <c r="H6915" s="1">
        <v>0</v>
      </c>
      <c r="I6915" s="1">
        <v>0</v>
      </c>
      <c r="J6915" s="1">
        <v>0</v>
      </c>
      <c r="K6915" s="2">
        <v>4.54</v>
      </c>
    </row>
    <row r="6916" spans="1:12">
      <c r="A6916" s="3" t="s">
        <v>6900</v>
      </c>
      <c r="B6916" s="3" t="s">
        <v>7155</v>
      </c>
      <c r="C6916" s="3"/>
      <c r="D6916" s="3"/>
      <c r="E6916" s="2" t="str">
        <f>HYPERLINK("https://old.ukr-mobil.com/akkumulyator_dlya_plansheta_4_0_64_93mm_2800_mah_5135", "Перейти")</f>
        <v>Перейти</v>
      </c>
      <c r="F6916" s="2">
        <v>5135</v>
      </c>
      <c r="G6916" s="4" t="s">
        <v>7185</v>
      </c>
      <c r="H6916" s="1">
        <v>0</v>
      </c>
      <c r="I6916" s="1">
        <v>0</v>
      </c>
      <c r="J6916" s="1">
        <v>0</v>
      </c>
      <c r="K6916" s="2">
        <v>4.03</v>
      </c>
    </row>
    <row r="6917" spans="1:12">
      <c r="A6917" s="3" t="s">
        <v>6900</v>
      </c>
      <c r="B6917" s="3" t="s">
        <v>7155</v>
      </c>
      <c r="C6917" s="3"/>
      <c r="D6917" s="3"/>
      <c r="E6917" s="2" t="str">
        <f>HYPERLINK("https://old.ukr-mobil.com/akkumulyator_dlya_plansheta_4_0_65_89mm_4000_mah_7797", "Перейти")</f>
        <v>Перейти</v>
      </c>
      <c r="F6917" s="2">
        <v>7797</v>
      </c>
      <c r="G6917" s="4" t="s">
        <v>7186</v>
      </c>
      <c r="H6917" s="1">
        <v>0</v>
      </c>
      <c r="I6917" s="1">
        <v>0</v>
      </c>
      <c r="J6917" s="1">
        <v>0</v>
      </c>
      <c r="K6917" s="2">
        <v>6.05</v>
      </c>
    </row>
    <row r="6918" spans="1:12">
      <c r="A6918" s="3" t="s">
        <v>6900</v>
      </c>
      <c r="B6918" s="3" t="s">
        <v>7155</v>
      </c>
      <c r="C6918" s="3"/>
      <c r="D6918" s="3"/>
      <c r="E6918" s="2" t="str">
        <f>HYPERLINK("https://old.ukr-mobil.com/akkumulyator_dlya_plansheta_4_0_70_100_mm_3500_mah_7619", "Перейти")</f>
        <v>Перейти</v>
      </c>
      <c r="F6918" s="2">
        <v>7619</v>
      </c>
      <c r="G6918" s="4" t="s">
        <v>7187</v>
      </c>
      <c r="H6918" s="1">
        <v>1</v>
      </c>
      <c r="I6918" s="1">
        <v>6</v>
      </c>
      <c r="J6918" s="1">
        <v>0</v>
      </c>
      <c r="K6918" s="2">
        <v>6.55</v>
      </c>
    </row>
    <row r="6919" spans="1:12">
      <c r="A6919" s="3" t="s">
        <v>6900</v>
      </c>
      <c r="B6919" s="3" t="s">
        <v>7155</v>
      </c>
      <c r="C6919" s="3"/>
      <c r="D6919" s="3"/>
      <c r="E6919" s="2" t="str">
        <f>HYPERLINK("https://old.ukr-mobil.com/akkumulyator_dlya_plansheta_4_0_70_102mm_3200_mah_5139", "Перейти")</f>
        <v>Перейти</v>
      </c>
      <c r="F6919" s="2">
        <v>5139</v>
      </c>
      <c r="G6919" s="4" t="s">
        <v>7188</v>
      </c>
      <c r="H6919" s="1">
        <v>0</v>
      </c>
      <c r="I6919" s="1">
        <v>0</v>
      </c>
      <c r="J6919" s="1">
        <v>0</v>
      </c>
      <c r="K6919" s="2">
        <v>5.04</v>
      </c>
    </row>
    <row r="6920" spans="1:12">
      <c r="A6920" s="3" t="s">
        <v>6900</v>
      </c>
      <c r="B6920" s="3" t="s">
        <v>7155</v>
      </c>
      <c r="C6920" s="3"/>
      <c r="D6920" s="3"/>
      <c r="E6920" s="2" t="str">
        <f>HYPERLINK("https://old.ukr-mobil.com/akkumulyator_dlya_plansheta_4_0_70_108mm_3500_mah_5142", "Перейти")</f>
        <v>Перейти</v>
      </c>
      <c r="F6920" s="2">
        <v>5142</v>
      </c>
      <c r="G6920" s="4" t="s">
        <v>7189</v>
      </c>
      <c r="H6920" s="1">
        <v>0</v>
      </c>
      <c r="I6920" s="1">
        <v>0</v>
      </c>
      <c r="J6920" s="1">
        <v>0</v>
      </c>
      <c r="K6920" s="2">
        <v>5.29</v>
      </c>
    </row>
    <row r="6921" spans="1:12">
      <c r="A6921" s="3" t="s">
        <v>6900</v>
      </c>
      <c r="B6921" s="3" t="s">
        <v>7155</v>
      </c>
      <c r="C6921" s="3"/>
      <c r="D6921" s="3"/>
      <c r="E6921" s="2" t="str">
        <f>HYPERLINK("https://old.ukr-mobil.com/akkumulyator_dlya_plansheta_4_0_70_97mm_3200_mah_5144", "Перейти")</f>
        <v>Перейти</v>
      </c>
      <c r="F6921" s="2">
        <v>5144</v>
      </c>
      <c r="G6921" s="4" t="s">
        <v>7190</v>
      </c>
      <c r="H6921" s="1">
        <v>0</v>
      </c>
      <c r="I6921" s="1">
        <v>0</v>
      </c>
      <c r="J6921" s="1">
        <v>0</v>
      </c>
      <c r="K6921" s="2">
        <v>5.04</v>
      </c>
    </row>
    <row r="6922" spans="1:12">
      <c r="A6922" s="3" t="s">
        <v>6900</v>
      </c>
      <c r="B6922" s="3" t="s">
        <v>7155</v>
      </c>
      <c r="C6922" s="3"/>
      <c r="D6922" s="3"/>
      <c r="E6922" s="2" t="str">
        <f>HYPERLINK("https://old.ukr-mobil.com/akkumulyator_dlya_plansheta_4_0_74_108mm_4000_mah_5124", "Перейти")</f>
        <v>Перейти</v>
      </c>
      <c r="F6922" s="2">
        <v>5124</v>
      </c>
      <c r="G6922" s="4" t="s">
        <v>7191</v>
      </c>
      <c r="H6922" s="1">
        <v>0</v>
      </c>
      <c r="I6922" s="1">
        <v>0</v>
      </c>
      <c r="J6922" s="1">
        <v>0</v>
      </c>
      <c r="K6922" s="2">
        <v>7.06</v>
      </c>
    </row>
    <row r="6923" spans="1:12">
      <c r="A6923" s="3" t="s">
        <v>6900</v>
      </c>
      <c r="B6923" s="3" t="s">
        <v>7155</v>
      </c>
      <c r="C6923" s="3"/>
      <c r="D6923" s="3"/>
      <c r="E6923" s="2" t="str">
        <f>HYPERLINK("https://old.ukr-mobil.com/akkumulyator_dlya_plansheta_4_0_75_88mm_3000_mah_9320", "Перейти")</f>
        <v>Перейти</v>
      </c>
      <c r="F6923" s="2">
        <v>9320</v>
      </c>
      <c r="G6923" s="4" t="s">
        <v>7192</v>
      </c>
      <c r="H6923" s="1">
        <v>0</v>
      </c>
      <c r="I6923" s="1">
        <v>0</v>
      </c>
      <c r="J6923" s="1">
        <v>0</v>
      </c>
      <c r="K6923" s="2">
        <v>5.54</v>
      </c>
    </row>
    <row r="6924" spans="1:12">
      <c r="A6924" s="3" t="s">
        <v>6900</v>
      </c>
      <c r="B6924" s="3" t="s">
        <v>7155</v>
      </c>
      <c r="C6924" s="3"/>
      <c r="D6924" s="3"/>
      <c r="E6924" s="2" t="str">
        <f>HYPERLINK("https://old.ukr-mobil.com/akkumulyator_dlya_plansheta_4_0_75_88mm_4000_mah_5133", "Перейти")</f>
        <v>Перейти</v>
      </c>
      <c r="F6924" s="2">
        <v>5133</v>
      </c>
      <c r="G6924" s="4" t="s">
        <v>7193</v>
      </c>
      <c r="H6924" s="1">
        <v>0</v>
      </c>
      <c r="I6924" s="1">
        <v>0</v>
      </c>
      <c r="J6924" s="1">
        <v>0</v>
      </c>
      <c r="K6924" s="2">
        <v>5.04</v>
      </c>
    </row>
    <row r="6925" spans="1:12">
      <c r="A6925" s="3" t="s">
        <v>6900</v>
      </c>
      <c r="B6925" s="3" t="s">
        <v>7155</v>
      </c>
      <c r="C6925" s="3"/>
      <c r="D6925" s="3"/>
      <c r="E6925" s="2" t="str">
        <f>HYPERLINK("https://old.ukr-mobil.com/akkumulyator_dlya_plansheta_4_0_70_100mm_3500_mah_5136", "Перейти")</f>
        <v>Перейти</v>
      </c>
      <c r="F6925" s="2">
        <v>5136</v>
      </c>
      <c r="G6925" s="4" t="s">
        <v>7194</v>
      </c>
      <c r="H6925" s="1">
        <v>0</v>
      </c>
      <c r="I6925" s="1">
        <v>0</v>
      </c>
      <c r="J6925" s="1">
        <v>0</v>
      </c>
      <c r="K6925" s="2">
        <v>6.05</v>
      </c>
    </row>
    <row r="6926" spans="1:12">
      <c r="A6926" s="3" t="s">
        <v>6900</v>
      </c>
      <c r="B6926" s="3" t="s">
        <v>7155</v>
      </c>
      <c r="C6926" s="3"/>
      <c r="D6926" s="3"/>
      <c r="E6926" s="2" t="str">
        <f>HYPERLINK("https://old.ukr-mobil.com/akkumulyator_dlya_plansheta_4_0_80_90mm_3500_mah_7798", "Перейти")</f>
        <v>Перейти</v>
      </c>
      <c r="F6926" s="2">
        <v>7798</v>
      </c>
      <c r="G6926" s="4" t="s">
        <v>7195</v>
      </c>
      <c r="H6926" s="1">
        <v>0</v>
      </c>
      <c r="I6926" s="1">
        <v>0</v>
      </c>
      <c r="J6926" s="1">
        <v>0</v>
      </c>
      <c r="K6926" s="2">
        <v>4.85</v>
      </c>
    </row>
    <row r="6927" spans="1:12">
      <c r="A6927" s="3" t="s">
        <v>6900</v>
      </c>
      <c r="B6927" s="3" t="s">
        <v>7155</v>
      </c>
      <c r="C6927" s="3"/>
      <c r="D6927" s="3"/>
      <c r="E6927" s="2" t="str">
        <f>HYPERLINK("https://old.ukr-mobil.com/akkumulyator_dlya_plansheta_4_5_75_105mm_5500_mah_7583", "Перейти")</f>
        <v>Перейти</v>
      </c>
      <c r="F6927" s="2">
        <v>7583</v>
      </c>
      <c r="G6927" s="4" t="s">
        <v>7196</v>
      </c>
      <c r="H6927" s="1">
        <v>18</v>
      </c>
      <c r="I6927" s="1">
        <v>4</v>
      </c>
      <c r="J6927" s="1">
        <v>6</v>
      </c>
      <c r="K6927" s="2">
        <v>6.05</v>
      </c>
    </row>
    <row r="6928" spans="1:12">
      <c r="A6928" s="3" t="s">
        <v>6900</v>
      </c>
      <c r="B6928" s="3" t="s">
        <v>7155</v>
      </c>
      <c r="C6928" s="3"/>
      <c r="D6928" s="3"/>
      <c r="E6928" s="2" t="str">
        <f>HYPERLINK("https://old.ukr-mobil.com/akkumulyator_dlya_plansheta_4_8_65_89mm_3800_mah_5138", "Перейти")</f>
        <v>Перейти</v>
      </c>
      <c r="F6928" s="2">
        <v>5138</v>
      </c>
      <c r="G6928" s="4" t="s">
        <v>7197</v>
      </c>
      <c r="H6928" s="1">
        <v>0</v>
      </c>
      <c r="I6928" s="1">
        <v>0</v>
      </c>
      <c r="J6928" s="1">
        <v>0</v>
      </c>
      <c r="K6928" s="2">
        <v>6.05</v>
      </c>
    </row>
    <row r="6929" spans="1:12">
      <c r="A6929" s="3" t="s">
        <v>6900</v>
      </c>
      <c r="B6929" s="3" t="s">
        <v>7155</v>
      </c>
      <c r="C6929" s="3"/>
      <c r="D6929" s="3"/>
      <c r="E6929" s="2" t="str">
        <f>HYPERLINK("https://old.ukr-mobil.com/akkumulyator_dlya_plansheta_5_0_70_108mm_5000_mah_5128", "Перейти")</f>
        <v>Перейти</v>
      </c>
      <c r="F6929" s="2">
        <v>5128</v>
      </c>
      <c r="G6929" s="4" t="s">
        <v>7198</v>
      </c>
      <c r="H6929" s="1">
        <v>0</v>
      </c>
      <c r="I6929" s="1">
        <v>0</v>
      </c>
      <c r="J6929" s="1">
        <v>0</v>
      </c>
      <c r="K6929" s="2">
        <v>5.04</v>
      </c>
    </row>
    <row r="6930" spans="1:12">
      <c r="A6930" s="3" t="s">
        <v>6900</v>
      </c>
      <c r="B6930" s="3" t="s">
        <v>7155</v>
      </c>
      <c r="C6930" s="3"/>
      <c r="D6930" s="3"/>
      <c r="E6930" s="2" t="str">
        <f>HYPERLINK("https://old.ukr-mobil.com/akkumulyator_dlya_plansheta_5_0_80_95mm_5000_mah_10157", "Перейти")</f>
        <v>Перейти</v>
      </c>
      <c r="F6930" s="2">
        <v>10157</v>
      </c>
      <c r="G6930" s="4" t="s">
        <v>7199</v>
      </c>
      <c r="H6930" s="1">
        <v>19</v>
      </c>
      <c r="I6930" s="1">
        <v>4</v>
      </c>
      <c r="J6930" s="1">
        <v>0</v>
      </c>
      <c r="K6930" s="2">
        <v>5.0</v>
      </c>
    </row>
    <row r="6931" spans="1:12">
      <c r="A6931" s="3" t="s">
        <v>6900</v>
      </c>
      <c r="B6931" s="3" t="s">
        <v>7155</v>
      </c>
      <c r="C6931" s="3"/>
      <c r="D6931" s="3"/>
      <c r="E6931" s="2" t="str">
        <f>HYPERLINK("https://old.ukr-mobil.com/akkumulyator_dlya_plansheta_poverbanka_12_60_100_mm_3_7_v_10000_mah_10003418", "Перейти")</f>
        <v>Перейти</v>
      </c>
      <c r="F6931" s="2">
        <v>10003418</v>
      </c>
      <c r="G6931" s="4" t="s">
        <v>7200</v>
      </c>
      <c r="H6931" s="1">
        <v>0</v>
      </c>
      <c r="I6931" s="1">
        <v>0</v>
      </c>
      <c r="J6931" s="1">
        <v>0</v>
      </c>
      <c r="K6931" s="2">
        <v>8.5</v>
      </c>
    </row>
    <row r="6932" spans="1:12">
      <c r="A6932" s="3" t="s">
        <v>6900</v>
      </c>
      <c r="B6932" s="3" t="s">
        <v>7155</v>
      </c>
      <c r="C6932" s="3"/>
      <c r="D6932" s="3"/>
      <c r="E6932" s="2" t="str">
        <f>HYPERLINK("https://old.ukr-mobil.com/ostatok_scheta_10000332", "Перейти")</f>
        <v>Перейти</v>
      </c>
      <c r="F6932" s="2">
        <v>10000332</v>
      </c>
      <c r="G6932" s="4" t="s">
        <v>7201</v>
      </c>
      <c r="H6932" s="1">
        <v>934</v>
      </c>
      <c r="I6932" s="1">
        <v>7</v>
      </c>
      <c r="J6932" s="1">
        <v>0</v>
      </c>
      <c r="K6932" s="2">
        <v>1.01</v>
      </c>
    </row>
    <row r="6933" spans="1:12">
      <c r="A6933" s="3" t="s">
        <v>6900</v>
      </c>
      <c r="B6933" s="3" t="s">
        <v>7202</v>
      </c>
      <c r="C6933" s="3"/>
      <c r="D6933" s="3"/>
      <c r="E6933" s="2" t="str">
        <f>HYPERLINK("https://old.ukr-mobil.com/akkumulyator_3_0_23_25mm_300_mah_11112", "Перейти")</f>
        <v>Перейти</v>
      </c>
      <c r="F6933" s="2">
        <v>11112</v>
      </c>
      <c r="G6933" s="4" t="s">
        <v>7203</v>
      </c>
      <c r="H6933" s="1">
        <v>0</v>
      </c>
      <c r="I6933" s="1">
        <v>0</v>
      </c>
      <c r="J6933" s="1">
        <v>0</v>
      </c>
      <c r="K6933" s="2">
        <v>2.5</v>
      </c>
    </row>
    <row r="6934" spans="1:12">
      <c r="A6934" s="3" t="s">
        <v>6900</v>
      </c>
      <c r="B6934" s="3" t="s">
        <v>7202</v>
      </c>
      <c r="C6934" s="3"/>
      <c r="D6934" s="3"/>
      <c r="E6934" s="2" t="str">
        <f>HYPERLINK("https://old.ukr-mobil.com/akkumulyator_4_0_20_25mm_250_mah_11111", "Перейти")</f>
        <v>Перейти</v>
      </c>
      <c r="F6934" s="2">
        <v>11111</v>
      </c>
      <c r="G6934" s="4" t="s">
        <v>7204</v>
      </c>
      <c r="H6934" s="1">
        <v>0</v>
      </c>
      <c r="I6934" s="1">
        <v>0</v>
      </c>
      <c r="J6934" s="1">
        <v>0</v>
      </c>
      <c r="K6934" s="2">
        <v>2.25</v>
      </c>
    </row>
    <row r="6935" spans="1:12">
      <c r="A6935" s="3" t="s">
        <v>6900</v>
      </c>
      <c r="B6935" s="3" t="s">
        <v>7202</v>
      </c>
      <c r="C6935" s="3"/>
      <c r="D6935" s="3"/>
      <c r="E6935" s="2" t="str">
        <f>HYPERLINK("https://old.ukr-mobil.com/akkumulyator_4_0_20_30mm_300_mah_11113", "Перейти")</f>
        <v>Перейти</v>
      </c>
      <c r="F6935" s="2">
        <v>11113</v>
      </c>
      <c r="G6935" s="4" t="s">
        <v>7205</v>
      </c>
      <c r="H6935" s="1">
        <v>0</v>
      </c>
      <c r="I6935" s="1">
        <v>0</v>
      </c>
      <c r="J6935" s="1">
        <v>0</v>
      </c>
      <c r="K6935" s="2">
        <v>2.5</v>
      </c>
    </row>
    <row r="6936" spans="1:12">
      <c r="A6936" s="3" t="s">
        <v>6900</v>
      </c>
      <c r="B6936" s="3" t="s">
        <v>7202</v>
      </c>
      <c r="C6936" s="3"/>
      <c r="D6936" s="3"/>
      <c r="E6936" s="2" t="str">
        <f>HYPERLINK("https://old.ukr-mobil.com/akkumulyator_6_2_29_30mm_600_mah_11114", "Перейти")</f>
        <v>Перейти</v>
      </c>
      <c r="F6936" s="2">
        <v>11114</v>
      </c>
      <c r="G6936" s="4" t="s">
        <v>7206</v>
      </c>
      <c r="H6936" s="1">
        <v>1</v>
      </c>
      <c r="I6936" s="1">
        <v>0</v>
      </c>
      <c r="J6936" s="1">
        <v>0</v>
      </c>
      <c r="K6936" s="2">
        <v>2.5</v>
      </c>
    </row>
    <row r="6937" spans="1:12">
      <c r="A6937" s="3" t="s">
        <v>6900</v>
      </c>
      <c r="B6937" s="3" t="s">
        <v>7207</v>
      </c>
      <c r="C6937" s="3"/>
      <c r="D6937" s="3"/>
      <c r="E6937" s="2" t="str">
        <f>HYPERLINK("https://old.ukr-mobil.com/index.php?route=product&amp;product_id=10006029", "Перейти")</f>
        <v>Перейти</v>
      </c>
      <c r="F6937" s="2">
        <v>10006029</v>
      </c>
      <c r="G6937" s="4" t="s">
        <v>7208</v>
      </c>
      <c r="H6937" s="1">
        <v>810</v>
      </c>
      <c r="I6937" s="1">
        <v>0</v>
      </c>
      <c r="J6937" s="1">
        <v>0</v>
      </c>
      <c r="K6937" s="2">
        <v>13.0</v>
      </c>
    </row>
    <row r="6938" spans="1:12">
      <c r="A6938" s="3" t="s">
        <v>7209</v>
      </c>
      <c r="B6938" s="3"/>
      <c r="C6938" s="3"/>
      <c r="D6938" s="3"/>
      <c r="E6938" s="2" t="str">
        <f>HYPERLINK("https://old.ukr-mobil.com/ehlektroskuter_eagle_king_2000w_10004550", "Перейти")</f>
        <v>Перейти</v>
      </c>
      <c r="F6938" s="2">
        <v>10004550</v>
      </c>
      <c r="G6938" s="4" t="s">
        <v>7210</v>
      </c>
      <c r="H6938" s="1">
        <v>0</v>
      </c>
      <c r="I6938" s="1">
        <v>0</v>
      </c>
      <c r="J6938" s="1">
        <v>0</v>
      </c>
      <c r="K6938" s="2">
        <v>1600.0</v>
      </c>
    </row>
    <row r="6939" spans="1:12">
      <c r="A6939" s="3" t="s">
        <v>7209</v>
      </c>
      <c r="B6939" s="3"/>
      <c r="C6939" s="3"/>
      <c r="D6939" s="3"/>
      <c r="E6939" s="2" t="str">
        <f>HYPERLINK("https://old.ukr-mobil.com/ehlektroskuter_h1_1000w_10004582", "Перейти")</f>
        <v>Перейти</v>
      </c>
      <c r="F6939" s="2">
        <v>10004582</v>
      </c>
      <c r="G6939" s="4" t="s">
        <v>7211</v>
      </c>
      <c r="H6939" s="1">
        <v>1</v>
      </c>
      <c r="I6939" s="1">
        <v>0</v>
      </c>
      <c r="J6939" s="1">
        <v>0</v>
      </c>
      <c r="K6939" s="2">
        <v>880.0</v>
      </c>
    </row>
    <row r="6940" spans="1:12">
      <c r="A6940" s="3" t="s">
        <v>7209</v>
      </c>
      <c r="B6940" s="3"/>
      <c r="C6940" s="3"/>
      <c r="D6940" s="3"/>
      <c r="E6940" s="2" t="str">
        <f>HYPERLINK("https://old.ukr-mobil.com/ehlektroskuter_mi-9_1000w_10004581", "Перейти")</f>
        <v>Перейти</v>
      </c>
      <c r="F6940" s="2">
        <v>10004581</v>
      </c>
      <c r="G6940" s="4" t="s">
        <v>7212</v>
      </c>
      <c r="H6940" s="1">
        <v>1</v>
      </c>
      <c r="I6940" s="1">
        <v>0</v>
      </c>
      <c r="J6940" s="1">
        <v>0</v>
      </c>
      <c r="K6940" s="2">
        <v>880.0</v>
      </c>
    </row>
    <row r="6941" spans="1:12">
      <c r="A6941" s="3" t="s">
        <v>7209</v>
      </c>
      <c r="B6941" s="3"/>
      <c r="C6941" s="3"/>
      <c r="D6941" s="3"/>
      <c r="E6941" s="2" t="str">
        <f>HYPERLINK("https://old.ukr-mobil.com/ehlektroskuter_mima_350w_10004491", "Перейти")</f>
        <v>Перейти</v>
      </c>
      <c r="F6941" s="2">
        <v>10004491</v>
      </c>
      <c r="G6941" s="4" t="s">
        <v>7213</v>
      </c>
      <c r="H6941" s="1">
        <v>0</v>
      </c>
      <c r="I6941" s="1">
        <v>0</v>
      </c>
      <c r="J6941" s="1">
        <v>0</v>
      </c>
      <c r="K6941" s="2">
        <v>400.0</v>
      </c>
    </row>
    <row r="6942" spans="1:12">
      <c r="A6942" s="3" t="s">
        <v>7209</v>
      </c>
      <c r="B6942" s="3"/>
      <c r="C6942" s="3"/>
      <c r="D6942" s="3"/>
      <c r="E6942" s="2" t="str">
        <f>HYPERLINK("https://old.ukr-mobil.com/ehlektroskuter_mima_350_w_10004496", "Перейти")</f>
        <v>Перейти</v>
      </c>
      <c r="F6942" s="2">
        <v>10004496</v>
      </c>
      <c r="G6942" s="4" t="s">
        <v>7214</v>
      </c>
      <c r="H6942" s="1">
        <v>0</v>
      </c>
      <c r="I6942" s="1">
        <v>0</v>
      </c>
      <c r="J6942" s="1">
        <v>0</v>
      </c>
      <c r="K6942" s="2">
        <v>525.0</v>
      </c>
    </row>
    <row r="6943" spans="1:12">
      <c r="A6943" s="3" t="s">
        <v>7209</v>
      </c>
      <c r="B6943" s="3"/>
      <c r="C6943" s="3"/>
      <c r="D6943" s="3"/>
      <c r="E6943" s="2" t="str">
        <f>HYPERLINK("https://old.ukr-mobil.com/ehlektroskuter_mima_500_w_10004541", "Перейти")</f>
        <v>Перейти</v>
      </c>
      <c r="F6943" s="2">
        <v>10004541</v>
      </c>
      <c r="G6943" s="4" t="s">
        <v>7215</v>
      </c>
      <c r="H6943" s="1">
        <v>0</v>
      </c>
      <c r="I6943" s="1">
        <v>0</v>
      </c>
      <c r="J6943" s="1">
        <v>0</v>
      </c>
      <c r="K6943" s="2">
        <v>562.5</v>
      </c>
    </row>
    <row r="6944" spans="1:12">
      <c r="A6944" s="3" t="s">
        <v>7209</v>
      </c>
      <c r="B6944" s="3"/>
      <c r="C6944" s="3"/>
      <c r="D6944" s="3"/>
      <c r="E6944" s="2" t="str">
        <f>HYPERLINK("https://old.ukr-mobil.com/ehlektroskuter_mima_500w_10004488", "Перейти")</f>
        <v>Перейти</v>
      </c>
      <c r="F6944" s="2">
        <v>10004488</v>
      </c>
      <c r="G6944" s="4" t="s">
        <v>7216</v>
      </c>
      <c r="H6944" s="1">
        <v>0</v>
      </c>
      <c r="I6944" s="1">
        <v>0</v>
      </c>
      <c r="J6944" s="1">
        <v>0</v>
      </c>
      <c r="K6944" s="2">
        <v>620.0</v>
      </c>
    </row>
    <row r="6945" spans="1:12">
      <c r="A6945" s="3" t="s">
        <v>7209</v>
      </c>
      <c r="B6945" s="3"/>
      <c r="C6945" s="3"/>
      <c r="D6945" s="3"/>
      <c r="E6945" s="2" t="str">
        <f>HYPERLINK("https://old.ukr-mobil.com/ehlektroskuter_mima_500w_black_10004500", "Перейти")</f>
        <v>Перейти</v>
      </c>
      <c r="F6945" s="2">
        <v>10004500</v>
      </c>
      <c r="G6945" s="4" t="s">
        <v>7217</v>
      </c>
      <c r="H6945" s="1">
        <v>0</v>
      </c>
      <c r="I6945" s="1">
        <v>0</v>
      </c>
      <c r="J6945" s="1">
        <v>0</v>
      </c>
      <c r="K6945" s="2">
        <v>500.0</v>
      </c>
    </row>
    <row r="6946" spans="1:12">
      <c r="A6946" s="3" t="s">
        <v>7209</v>
      </c>
      <c r="B6946" s="3"/>
      <c r="C6946" s="3"/>
      <c r="D6946" s="3"/>
      <c r="E6946" s="2" t="str">
        <f>HYPERLINK("https://old.ukr-mobil.com/ehlektroskuter_aiyao_800w_10004487", "Перейти")</f>
        <v>Перейти</v>
      </c>
      <c r="F6946" s="2">
        <v>10004487</v>
      </c>
      <c r="G6946" s="4" t="s">
        <v>7218</v>
      </c>
      <c r="H6946" s="1">
        <v>0</v>
      </c>
      <c r="I6946" s="1">
        <v>0</v>
      </c>
      <c r="J6946" s="1">
        <v>0</v>
      </c>
      <c r="K6946" s="2">
        <v>720.0</v>
      </c>
    </row>
    <row r="6947" spans="1:12">
      <c r="A6947" s="3" t="s">
        <v>7209</v>
      </c>
      <c r="B6947" s="3"/>
      <c r="C6947" s="3"/>
      <c r="D6947" s="3"/>
      <c r="E6947" s="2" t="str">
        <f>HYPERLINK("https://old.ukr-mobil.com/ehlektroskuter_mima_350w_red_10004492", "Перейти")</f>
        <v>Перейти</v>
      </c>
      <c r="F6947" s="2">
        <v>10004492</v>
      </c>
      <c r="G6947" s="4" t="s">
        <v>7219</v>
      </c>
      <c r="H6947" s="1">
        <v>0</v>
      </c>
      <c r="I6947" s="1">
        <v>0</v>
      </c>
      <c r="J6947" s="1">
        <v>0</v>
      </c>
      <c r="K6947" s="2">
        <v>450.0</v>
      </c>
    </row>
    <row r="6948" spans="1:12">
      <c r="A6948" s="3" t="s">
        <v>7209</v>
      </c>
      <c r="B6948" s="3"/>
      <c r="C6948" s="3"/>
      <c r="D6948" s="3"/>
      <c r="E6948" s="2" t="str">
        <f>HYPERLINK("https://old.ukr-mobil.com/index.php?route=product&amp;product_id=10004575", "Перейти")</f>
        <v>Перейти</v>
      </c>
      <c r="F6948" s="2">
        <v>10004575</v>
      </c>
      <c r="G6948" s="4" t="s">
        <v>7220</v>
      </c>
      <c r="H6948" s="1">
        <v>0</v>
      </c>
      <c r="I6948" s="1">
        <v>0</v>
      </c>
      <c r="J6948" s="1">
        <v>0</v>
      </c>
      <c r="K6948" s="2">
        <v>1000.0</v>
      </c>
    </row>
    <row r="6949" spans="1:12">
      <c r="A6949" s="3" t="s">
        <v>7209</v>
      </c>
      <c r="B6949" s="3"/>
      <c r="C6949" s="3"/>
      <c r="D6949" s="3"/>
      <c r="E6949" s="2" t="str">
        <f>HYPERLINK("https://old.ukr-mobil.com/ehlektroskuter_new_vespa_1500w_10004556", "Перейти")</f>
        <v>Перейти</v>
      </c>
      <c r="F6949" s="2">
        <v>10004556</v>
      </c>
      <c r="G6949" s="4" t="s">
        <v>7221</v>
      </c>
      <c r="H6949" s="1">
        <v>1</v>
      </c>
      <c r="I6949" s="1">
        <v>0</v>
      </c>
      <c r="J6949" s="1">
        <v>0</v>
      </c>
      <c r="K6949" s="2">
        <v>950.0</v>
      </c>
    </row>
    <row r="6950" spans="1:12">
      <c r="A6950" s="3" t="s">
        <v>7209</v>
      </c>
      <c r="B6950" s="3"/>
      <c r="C6950" s="3"/>
      <c r="D6950" s="3"/>
      <c r="E6950" s="2" t="str">
        <f>HYPERLINK("https://old.ukr-mobil.com/ehlektroskuter_niuplus_1000w_10004583", "Перейти")</f>
        <v>Перейти</v>
      </c>
      <c r="F6950" s="2">
        <v>10004583</v>
      </c>
      <c r="G6950" s="4" t="s">
        <v>7222</v>
      </c>
      <c r="H6950" s="1">
        <v>0</v>
      </c>
      <c r="I6950" s="1">
        <v>0</v>
      </c>
      <c r="J6950" s="1">
        <v>0</v>
      </c>
      <c r="K6950" s="2">
        <v>950.0</v>
      </c>
    </row>
    <row r="6951" spans="1:12">
      <c r="A6951" s="3" t="s">
        <v>7209</v>
      </c>
      <c r="B6951" s="3"/>
      <c r="C6951" s="3"/>
      <c r="D6951" s="3"/>
      <c r="E6951" s="2" t="str">
        <f>HYPERLINK("https://old.ukr-mobil.com/ehlektroskuter_ttx_2000w_10004538", "Перейти")</f>
        <v>Перейти</v>
      </c>
      <c r="F6951" s="2">
        <v>10004538</v>
      </c>
      <c r="G6951" s="4" t="s">
        <v>7223</v>
      </c>
      <c r="H6951" s="1">
        <v>0</v>
      </c>
      <c r="I6951" s="1">
        <v>0</v>
      </c>
      <c r="J6951" s="1">
        <v>0</v>
      </c>
      <c r="K6951" s="2">
        <v>1100.0</v>
      </c>
    </row>
    <row r="6952" spans="1:12">
      <c r="A6952" s="3" t="s">
        <v>7209</v>
      </c>
      <c r="B6952" s="3" t="s">
        <v>7224</v>
      </c>
      <c r="C6952" s="3"/>
      <c r="D6952" s="3"/>
      <c r="E6952" s="2" t="str">
        <f>HYPERLINK("https://old.ukr-mobil.com/index.php?route=product&amp;product_id=10006157", "Перейти")</f>
        <v>Перейти</v>
      </c>
      <c r="F6952" s="2">
        <v>10006157</v>
      </c>
      <c r="G6952" s="4" t="s">
        <v>7225</v>
      </c>
      <c r="H6952" s="1">
        <v>0</v>
      </c>
      <c r="I6952" s="1">
        <v>0</v>
      </c>
      <c r="J6952" s="1">
        <v>0</v>
      </c>
      <c r="K6952" s="2">
        <v>2207.0</v>
      </c>
    </row>
    <row r="6953" spans="1:12">
      <c r="A6953" s="3" t="s">
        <v>7209</v>
      </c>
      <c r="B6953" s="3" t="s">
        <v>7224</v>
      </c>
      <c r="C6953" s="3"/>
      <c r="D6953" s="3"/>
      <c r="E6953" s="2" t="str">
        <f>HYPERLINK("https://old.ukr-mobil.com/index.php?route=product&amp;product_id=10006158", "Перейти")</f>
        <v>Перейти</v>
      </c>
      <c r="F6953" s="2">
        <v>10006158</v>
      </c>
      <c r="G6953" s="4" t="s">
        <v>7226</v>
      </c>
      <c r="H6953" s="1">
        <v>0</v>
      </c>
      <c r="I6953" s="1">
        <v>0</v>
      </c>
      <c r="J6953" s="1">
        <v>0</v>
      </c>
      <c r="K6953" s="2">
        <v>2950.6</v>
      </c>
    </row>
    <row r="6954" spans="1:12">
      <c r="A6954" s="3" t="s">
        <v>7209</v>
      </c>
      <c r="B6954" s="3" t="s">
        <v>7224</v>
      </c>
      <c r="C6954" s="3"/>
      <c r="D6954" s="3"/>
      <c r="E6954" s="2" t="str">
        <f>HYPERLINK("https://old.ukr-mobil.com/index.php?route=product&amp;product_id=10006166", "Перейти")</f>
        <v>Перейти</v>
      </c>
      <c r="F6954" s="2">
        <v>10006166</v>
      </c>
      <c r="G6954" s="4" t="s">
        <v>7227</v>
      </c>
      <c r="H6954" s="1">
        <v>0</v>
      </c>
      <c r="I6954" s="1">
        <v>0</v>
      </c>
      <c r="J6954" s="1">
        <v>0</v>
      </c>
      <c r="K6954" s="2">
        <v>1003.13</v>
      </c>
    </row>
    <row r="6955" spans="1:12">
      <c r="A6955" s="3" t="s">
        <v>7209</v>
      </c>
      <c r="B6955" s="3" t="s">
        <v>7224</v>
      </c>
      <c r="C6955" s="3"/>
      <c r="D6955" s="3"/>
      <c r="E6955" s="2" t="str">
        <f>HYPERLINK("https://old.ukr-mobil.com/index.php?route=product&amp;product_id=10006165", "Перейти")</f>
        <v>Перейти</v>
      </c>
      <c r="F6955" s="2">
        <v>10006165</v>
      </c>
      <c r="G6955" s="4" t="s">
        <v>7228</v>
      </c>
      <c r="H6955" s="1">
        <v>0</v>
      </c>
      <c r="I6955" s="1">
        <v>0</v>
      </c>
      <c r="J6955" s="1">
        <v>0</v>
      </c>
      <c r="K6955" s="2">
        <v>1210.14</v>
      </c>
    </row>
    <row r="6956" spans="1:12">
      <c r="A6956" s="3" t="s">
        <v>7209</v>
      </c>
      <c r="B6956" s="3" t="s">
        <v>7224</v>
      </c>
      <c r="C6956" s="3"/>
      <c r="D6956" s="3"/>
      <c r="E6956" s="2" t="str">
        <f>HYPERLINK("https://old.ukr-mobil.com/index.php?route=product&amp;product_id=10006160", "Перейти")</f>
        <v>Перейти</v>
      </c>
      <c r="F6956" s="2">
        <v>10006160</v>
      </c>
      <c r="G6956" s="4" t="s">
        <v>7229</v>
      </c>
      <c r="H6956" s="1">
        <v>0</v>
      </c>
      <c r="I6956" s="1">
        <v>0</v>
      </c>
      <c r="J6956" s="1">
        <v>0</v>
      </c>
      <c r="K6956" s="2">
        <v>2509.0</v>
      </c>
    </row>
    <row r="6957" spans="1:12">
      <c r="A6957" s="3" t="s">
        <v>7209</v>
      </c>
      <c r="B6957" s="3" t="s">
        <v>7224</v>
      </c>
      <c r="C6957" s="3"/>
      <c r="D6957" s="3"/>
      <c r="E6957" s="2" t="str">
        <f>HYPERLINK("https://old.ukr-mobil.com/index.php?route=product&amp;product_id=10006159", "Перейти")</f>
        <v>Перейти</v>
      </c>
      <c r="F6957" s="2">
        <v>10006159</v>
      </c>
      <c r="G6957" s="4" t="s">
        <v>7230</v>
      </c>
      <c r="H6957" s="1">
        <v>0</v>
      </c>
      <c r="I6957" s="1">
        <v>0</v>
      </c>
      <c r="J6957" s="1">
        <v>0</v>
      </c>
      <c r="K6957" s="2">
        <v>2107.0</v>
      </c>
    </row>
    <row r="6958" spans="1:12">
      <c r="A6958" s="3" t="s">
        <v>7209</v>
      </c>
      <c r="B6958" s="3" t="s">
        <v>7224</v>
      </c>
      <c r="C6958" s="3"/>
      <c r="D6958" s="3"/>
      <c r="E6958" s="2" t="str">
        <f>HYPERLINK("https://old.ukr-mobil.com/index.php?route=product&amp;product_id=10006163", "Перейти")</f>
        <v>Перейти</v>
      </c>
      <c r="F6958" s="2">
        <v>10006163</v>
      </c>
      <c r="G6958" s="4" t="s">
        <v>7231</v>
      </c>
      <c r="H6958" s="1">
        <v>0</v>
      </c>
      <c r="I6958" s="1">
        <v>0</v>
      </c>
      <c r="J6958" s="1">
        <v>0</v>
      </c>
      <c r="K6958" s="2">
        <v>1505.4</v>
      </c>
    </row>
    <row r="6959" spans="1:12">
      <c r="A6959" s="3" t="s">
        <v>7209</v>
      </c>
      <c r="B6959" s="3" t="s">
        <v>7224</v>
      </c>
      <c r="C6959" s="3"/>
      <c r="D6959" s="3"/>
      <c r="E6959" s="2" t="str">
        <f>HYPERLINK("https://old.ukr-mobil.com/index.php?route=product&amp;product_id=10006164", "Перейти")</f>
        <v>Перейти</v>
      </c>
      <c r="F6959" s="2">
        <v>10006164</v>
      </c>
      <c r="G6959" s="4" t="s">
        <v>7232</v>
      </c>
      <c r="H6959" s="1">
        <v>0</v>
      </c>
      <c r="I6959" s="1">
        <v>0</v>
      </c>
      <c r="J6959" s="1">
        <v>0</v>
      </c>
      <c r="K6959" s="2">
        <v>1104.38</v>
      </c>
    </row>
    <row r="6960" spans="1:12">
      <c r="A6960" s="3" t="s">
        <v>7209</v>
      </c>
      <c r="B6960" s="3" t="s">
        <v>7224</v>
      </c>
      <c r="C6960" s="3"/>
      <c r="D6960" s="3"/>
      <c r="E6960" s="2" t="str">
        <f>HYPERLINK("https://old.ukr-mobil.com/index.php?route=product&amp;product_id=10006162", "Перейти")</f>
        <v>Перейти</v>
      </c>
      <c r="F6960" s="2">
        <v>10006162</v>
      </c>
      <c r="G6960" s="4" t="s">
        <v>7233</v>
      </c>
      <c r="H6960" s="1">
        <v>0</v>
      </c>
      <c r="I6960" s="1">
        <v>0</v>
      </c>
      <c r="J6960" s="1">
        <v>0</v>
      </c>
      <c r="K6960" s="2">
        <v>1505.41</v>
      </c>
    </row>
    <row r="6961" spans="1:12">
      <c r="A6961" s="3" t="s">
        <v>7209</v>
      </c>
      <c r="B6961" s="3" t="s">
        <v>7224</v>
      </c>
      <c r="C6961" s="3"/>
      <c r="D6961" s="3"/>
      <c r="E6961" s="2" t="str">
        <f>HYPERLINK("https://old.ukr-mobil.com/index.php?route=product&amp;product_id=10006169", "Перейти")</f>
        <v>Перейти</v>
      </c>
      <c r="F6961" s="2">
        <v>10006169</v>
      </c>
      <c r="G6961" s="4" t="s">
        <v>7234</v>
      </c>
      <c r="H6961" s="1">
        <v>0</v>
      </c>
      <c r="I6961" s="1">
        <v>0</v>
      </c>
      <c r="J6961" s="1">
        <v>0</v>
      </c>
      <c r="K6961" s="2">
        <v>1512.0</v>
      </c>
    </row>
    <row r="6962" spans="1:12">
      <c r="A6962" s="3" t="s">
        <v>7209</v>
      </c>
      <c r="B6962" s="3" t="s">
        <v>7224</v>
      </c>
      <c r="C6962" s="3"/>
      <c r="D6962" s="3"/>
      <c r="E6962" s="2" t="str">
        <f>HYPERLINK("https://old.ukr-mobil.com/index.php?route=product&amp;product_id=10006154", "Перейти")</f>
        <v>Перейти</v>
      </c>
      <c r="F6962" s="2">
        <v>10006154</v>
      </c>
      <c r="G6962" s="4" t="s">
        <v>7235</v>
      </c>
      <c r="H6962" s="1">
        <v>0</v>
      </c>
      <c r="I6962" s="1">
        <v>0</v>
      </c>
      <c r="J6962" s="1">
        <v>0</v>
      </c>
      <c r="K6962" s="2">
        <v>1254.0</v>
      </c>
    </row>
    <row r="6963" spans="1:12">
      <c r="A6963" s="3" t="s">
        <v>7209</v>
      </c>
      <c r="B6963" s="3" t="s">
        <v>7224</v>
      </c>
      <c r="C6963" s="3"/>
      <c r="D6963" s="3"/>
      <c r="E6963" s="2" t="str">
        <f>HYPERLINK("https://old.ukr-mobil.com/index.php?route=product&amp;product_id=10006155", "Перейти")</f>
        <v>Перейти</v>
      </c>
      <c r="F6963" s="2">
        <v>10006155</v>
      </c>
      <c r="G6963" s="4" t="s">
        <v>7236</v>
      </c>
      <c r="H6963" s="1">
        <v>0</v>
      </c>
      <c r="I6963" s="1">
        <v>0</v>
      </c>
      <c r="J6963" s="1">
        <v>0</v>
      </c>
      <c r="K6963" s="2">
        <v>1354.85</v>
      </c>
    </row>
    <row r="6964" spans="1:12">
      <c r="A6964" s="3" t="s">
        <v>7209</v>
      </c>
      <c r="B6964" s="3" t="s">
        <v>7224</v>
      </c>
      <c r="C6964" s="3"/>
      <c r="D6964" s="3"/>
      <c r="E6964" s="2" t="str">
        <f>HYPERLINK("https://old.ukr-mobil.com/index.php?route=product&amp;product_id=10006156", "Перейти")</f>
        <v>Перейти</v>
      </c>
      <c r="F6964" s="2">
        <v>10006156</v>
      </c>
      <c r="G6964" s="4" t="s">
        <v>7237</v>
      </c>
      <c r="H6964" s="1">
        <v>0</v>
      </c>
      <c r="I6964" s="1">
        <v>0</v>
      </c>
      <c r="J6964" s="1">
        <v>0</v>
      </c>
      <c r="K6964" s="2">
        <v>1442.0</v>
      </c>
    </row>
    <row r="6965" spans="1:12">
      <c r="A6965" s="3" t="s">
        <v>7209</v>
      </c>
      <c r="B6965" s="3" t="s">
        <v>7224</v>
      </c>
      <c r="C6965" s="3"/>
      <c r="D6965" s="3"/>
      <c r="E6965" s="2" t="str">
        <f>HYPERLINK("https://old.ukr-mobil.com/index.php?route=product&amp;product_id=10006161", "Перейти")</f>
        <v>Перейти</v>
      </c>
      <c r="F6965" s="2">
        <v>10006161</v>
      </c>
      <c r="G6965" s="4" t="s">
        <v>7238</v>
      </c>
      <c r="H6965" s="1">
        <v>0</v>
      </c>
      <c r="I6965" s="1">
        <v>0</v>
      </c>
      <c r="J6965" s="1">
        <v>0</v>
      </c>
      <c r="K6965" s="2">
        <v>2207.93</v>
      </c>
    </row>
    <row r="6966" spans="1:12">
      <c r="A6966" s="3" t="s">
        <v>7209</v>
      </c>
      <c r="B6966" s="3" t="s">
        <v>7224</v>
      </c>
      <c r="C6966" s="3"/>
      <c r="D6966" s="3"/>
      <c r="E6966" s="2" t="str">
        <f>HYPERLINK("https://old.ukr-mobil.com/index.php?route=product&amp;product_id=10006168", "Перейти")</f>
        <v>Перейти</v>
      </c>
      <c r="F6966" s="2">
        <v>10006168</v>
      </c>
      <c r="G6966" s="4" t="s">
        <v>7239</v>
      </c>
      <c r="H6966" s="1">
        <v>0</v>
      </c>
      <c r="I6966" s="1">
        <v>0</v>
      </c>
      <c r="J6966" s="1">
        <v>0</v>
      </c>
      <c r="K6966" s="2">
        <v>857.19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E2" r:id="rId_hyperlink_1" tooltip="Перейти" display="Перейти"/>
    <hyperlink ref="E3" r:id="rId_hyperlink_2" tooltip="Перейти" display="Перейти"/>
    <hyperlink ref="E4" r:id="rId_hyperlink_3" tooltip="Перейти" display="Перейти"/>
    <hyperlink ref="E5" r:id="rId_hyperlink_4" tooltip="Перейти" display="Перейти"/>
    <hyperlink ref="E6" r:id="rId_hyperlink_5" tooltip="Перейти" display="Перейти"/>
    <hyperlink ref="E7" r:id="rId_hyperlink_6" tooltip="Перейти" display="Перейти"/>
    <hyperlink ref="E8" r:id="rId_hyperlink_7" tooltip="Перейти" display="Перейти"/>
    <hyperlink ref="E9" r:id="rId_hyperlink_8" tooltip="Перейти" display="Перейти"/>
    <hyperlink ref="E10" r:id="rId_hyperlink_9" tooltip="Перейти" display="Перейти"/>
    <hyperlink ref="E11" r:id="rId_hyperlink_10" tooltip="Перейти" display="Перейти"/>
    <hyperlink ref="E12" r:id="rId_hyperlink_11" tooltip="Перейти" display="Перейти"/>
    <hyperlink ref="E13" r:id="rId_hyperlink_12" tooltip="Перейти" display="Перейти"/>
    <hyperlink ref="E14" r:id="rId_hyperlink_13" tooltip="Перейти" display="Перейти"/>
    <hyperlink ref="E15" r:id="rId_hyperlink_14" tooltip="Перейти" display="Перейти"/>
    <hyperlink ref="E16" r:id="rId_hyperlink_15" tooltip="Перейти" display="Перейти"/>
    <hyperlink ref="E17" r:id="rId_hyperlink_16" tooltip="Перейти" display="Перейти"/>
    <hyperlink ref="E18" r:id="rId_hyperlink_17" tooltip="Перейти" display="Перейти"/>
    <hyperlink ref="E19" r:id="rId_hyperlink_18" tooltip="Перейти" display="Перейти"/>
    <hyperlink ref="E20" r:id="rId_hyperlink_19" tooltip="Перейти" display="Перейти"/>
    <hyperlink ref="E21" r:id="rId_hyperlink_20" tooltip="Перейти" display="Перейти"/>
    <hyperlink ref="E22" r:id="rId_hyperlink_21" tooltip="Перейти" display="Перейти"/>
    <hyperlink ref="E23" r:id="rId_hyperlink_22" tooltip="Перейти" display="Перейти"/>
    <hyperlink ref="E24" r:id="rId_hyperlink_23" tooltip="Перейти" display="Перейти"/>
    <hyperlink ref="E25" r:id="rId_hyperlink_24" tooltip="Перейти" display="Перейти"/>
    <hyperlink ref="E26" r:id="rId_hyperlink_25" tooltip="Перейти" display="Перейти"/>
    <hyperlink ref="E27" r:id="rId_hyperlink_26" tooltip="Перейти" display="Перейти"/>
    <hyperlink ref="E28" r:id="rId_hyperlink_27" tooltip="Перейти" display="Перейти"/>
    <hyperlink ref="E29" r:id="rId_hyperlink_28" tooltip="Перейти" display="Перейти"/>
    <hyperlink ref="E30" r:id="rId_hyperlink_29" tooltip="Перейти" display="Перейти"/>
    <hyperlink ref="E31" r:id="rId_hyperlink_30" tooltip="Перейти" display="Перейти"/>
    <hyperlink ref="E32" r:id="rId_hyperlink_31" tooltip="Перейти" display="Перейти"/>
    <hyperlink ref="E33" r:id="rId_hyperlink_32" tooltip="Перейти" display="Перейти"/>
    <hyperlink ref="E34" r:id="rId_hyperlink_33" tooltip="Перейти" display="Перейти"/>
    <hyperlink ref="E35" r:id="rId_hyperlink_34" tooltip="Перейти" display="Перейти"/>
    <hyperlink ref="E36" r:id="rId_hyperlink_35" tooltip="Перейти" display="Перейти"/>
    <hyperlink ref="E37" r:id="rId_hyperlink_36" tooltip="Перейти" display="Перейти"/>
    <hyperlink ref="E38" r:id="rId_hyperlink_37" tooltip="Перейти" display="Перейти"/>
    <hyperlink ref="E39" r:id="rId_hyperlink_38" tooltip="Перейти" display="Перейти"/>
    <hyperlink ref="E40" r:id="rId_hyperlink_39" tooltip="Перейти" display="Перейти"/>
    <hyperlink ref="E41" r:id="rId_hyperlink_40" tooltip="Перейти" display="Перейти"/>
    <hyperlink ref="E42" r:id="rId_hyperlink_41" tooltip="Перейти" display="Перейти"/>
    <hyperlink ref="E43" r:id="rId_hyperlink_42" tooltip="Перейти" display="Перейти"/>
    <hyperlink ref="E44" r:id="rId_hyperlink_43" tooltip="Перейти" display="Перейти"/>
    <hyperlink ref="E45" r:id="rId_hyperlink_44" tooltip="Перейти" display="Перейти"/>
    <hyperlink ref="E46" r:id="rId_hyperlink_45" tooltip="Перейти" display="Перейти"/>
    <hyperlink ref="E47" r:id="rId_hyperlink_46" tooltip="Перейти" display="Перейти"/>
    <hyperlink ref="E48" r:id="rId_hyperlink_47" tooltip="Перейти" display="Перейти"/>
    <hyperlink ref="E49" r:id="rId_hyperlink_48" tooltip="Перейти" display="Перейти"/>
    <hyperlink ref="E50" r:id="rId_hyperlink_49" tooltip="Перейти" display="Перейти"/>
    <hyperlink ref="E51" r:id="rId_hyperlink_50" tooltip="Перейти" display="Перейти"/>
    <hyperlink ref="E52" r:id="rId_hyperlink_51" tooltip="Перейти" display="Перейти"/>
    <hyperlink ref="E53" r:id="rId_hyperlink_52" tooltip="Перейти" display="Перейти"/>
    <hyperlink ref="E54" r:id="rId_hyperlink_53" tooltip="Перейти" display="Перейти"/>
    <hyperlink ref="E55" r:id="rId_hyperlink_54" tooltip="Перейти" display="Перейти"/>
    <hyperlink ref="E56" r:id="rId_hyperlink_55" tooltip="Перейти" display="Перейти"/>
    <hyperlink ref="E57" r:id="rId_hyperlink_56" tooltip="Перейти" display="Перейти"/>
    <hyperlink ref="E58" r:id="rId_hyperlink_57" tooltip="Перейти" display="Перейти"/>
    <hyperlink ref="E59" r:id="rId_hyperlink_58" tooltip="Перейти" display="Перейти"/>
    <hyperlink ref="E60" r:id="rId_hyperlink_59" tooltip="Перейти" display="Перейти"/>
    <hyperlink ref="E61" r:id="rId_hyperlink_60" tooltip="Перейти" display="Перейти"/>
    <hyperlink ref="E62" r:id="rId_hyperlink_61" tooltip="Перейти" display="Перейти"/>
    <hyperlink ref="E63" r:id="rId_hyperlink_62" tooltip="Перейти" display="Перейти"/>
    <hyperlink ref="E64" r:id="rId_hyperlink_63" tooltip="Перейти" display="Перейти"/>
    <hyperlink ref="E65" r:id="rId_hyperlink_64" tooltip="Перейти" display="Перейти"/>
    <hyperlink ref="E66" r:id="rId_hyperlink_65" tooltip="Перейти" display="Перейти"/>
    <hyperlink ref="E67" r:id="rId_hyperlink_66" tooltip="Перейти" display="Перейти"/>
    <hyperlink ref="E68" r:id="rId_hyperlink_67" tooltip="Перейти" display="Перейти"/>
    <hyperlink ref="E69" r:id="rId_hyperlink_68" tooltip="Перейти" display="Перейти"/>
    <hyperlink ref="E70" r:id="rId_hyperlink_69" tooltip="Перейти" display="Перейти"/>
    <hyperlink ref="E71" r:id="rId_hyperlink_70" tooltip="Перейти" display="Перейти"/>
    <hyperlink ref="E72" r:id="rId_hyperlink_71" tooltip="Перейти" display="Перейти"/>
    <hyperlink ref="E73" r:id="rId_hyperlink_72" tooltip="Перейти" display="Перейти"/>
    <hyperlink ref="E74" r:id="rId_hyperlink_73" tooltip="Перейти" display="Перейти"/>
    <hyperlink ref="E75" r:id="rId_hyperlink_74" tooltip="Перейти" display="Перейти"/>
    <hyperlink ref="E76" r:id="rId_hyperlink_75" tooltip="Перейти" display="Перейти"/>
    <hyperlink ref="E77" r:id="rId_hyperlink_76" tooltip="Перейти" display="Перейти"/>
    <hyperlink ref="E78" r:id="rId_hyperlink_77" tooltip="Перейти" display="Перейти"/>
    <hyperlink ref="E79" r:id="rId_hyperlink_78" tooltip="Перейти" display="Перейти"/>
    <hyperlink ref="E80" r:id="rId_hyperlink_79" tooltip="Перейти" display="Перейти"/>
    <hyperlink ref="E81" r:id="rId_hyperlink_80" tooltip="Перейти" display="Перейти"/>
    <hyperlink ref="E82" r:id="rId_hyperlink_81" tooltip="Перейти" display="Перейти"/>
    <hyperlink ref="E83" r:id="rId_hyperlink_82" tooltip="Перейти" display="Перейти"/>
    <hyperlink ref="E84" r:id="rId_hyperlink_83" tooltip="Перейти" display="Перейти"/>
    <hyperlink ref="E85" r:id="rId_hyperlink_84" tooltip="Перейти" display="Перейти"/>
    <hyperlink ref="E86" r:id="rId_hyperlink_85" tooltip="Перейти" display="Перейти"/>
    <hyperlink ref="E87" r:id="rId_hyperlink_86" tooltip="Перейти" display="Перейти"/>
    <hyperlink ref="E88" r:id="rId_hyperlink_87" tooltip="Перейти" display="Перейти"/>
    <hyperlink ref="E89" r:id="rId_hyperlink_88" tooltip="Перейти" display="Перейти"/>
    <hyperlink ref="E90" r:id="rId_hyperlink_89" tooltip="Перейти" display="Перейти"/>
    <hyperlink ref="E91" r:id="rId_hyperlink_90" tooltip="Перейти" display="Перейти"/>
    <hyperlink ref="E92" r:id="rId_hyperlink_91" tooltip="Перейти" display="Перейти"/>
    <hyperlink ref="E93" r:id="rId_hyperlink_92" tooltip="Перейти" display="Перейти"/>
    <hyperlink ref="E94" r:id="rId_hyperlink_93" tooltip="Перейти" display="Перейти"/>
    <hyperlink ref="E95" r:id="rId_hyperlink_94" tooltip="Перейти" display="Перейти"/>
    <hyperlink ref="E96" r:id="rId_hyperlink_95" tooltip="Перейти" display="Перейти"/>
    <hyperlink ref="E97" r:id="rId_hyperlink_96" tooltip="Перейти" display="Перейти"/>
    <hyperlink ref="E98" r:id="rId_hyperlink_97" tooltip="Перейти" display="Перейти"/>
    <hyperlink ref="E99" r:id="rId_hyperlink_98" tooltip="Перейти" display="Перейти"/>
    <hyperlink ref="E100" r:id="rId_hyperlink_99" tooltip="Перейти" display="Перейти"/>
    <hyperlink ref="E101" r:id="rId_hyperlink_100" tooltip="Перейти" display="Перейти"/>
    <hyperlink ref="E102" r:id="rId_hyperlink_101" tooltip="Перейти" display="Перейти"/>
    <hyperlink ref="E103" r:id="rId_hyperlink_102" tooltip="Перейти" display="Перейти"/>
    <hyperlink ref="E104" r:id="rId_hyperlink_103" tooltip="Перейти" display="Перейти"/>
    <hyperlink ref="E105" r:id="rId_hyperlink_104" tooltip="Перейти" display="Перейти"/>
    <hyperlink ref="E106" r:id="rId_hyperlink_105" tooltip="Перейти" display="Перейти"/>
    <hyperlink ref="E107" r:id="rId_hyperlink_106" tooltip="Перейти" display="Перейти"/>
    <hyperlink ref="E108" r:id="rId_hyperlink_107" tooltip="Перейти" display="Перейти"/>
    <hyperlink ref="E109" r:id="rId_hyperlink_108" tooltip="Перейти" display="Перейти"/>
    <hyperlink ref="E110" r:id="rId_hyperlink_109" tooltip="Перейти" display="Перейти"/>
    <hyperlink ref="E111" r:id="rId_hyperlink_110" tooltip="Перейти" display="Перейти"/>
    <hyperlink ref="E112" r:id="rId_hyperlink_111" tooltip="Перейти" display="Перейти"/>
    <hyperlink ref="E113" r:id="rId_hyperlink_112" tooltip="Перейти" display="Перейти"/>
    <hyperlink ref="E114" r:id="rId_hyperlink_113" tooltip="Перейти" display="Перейти"/>
    <hyperlink ref="E115" r:id="rId_hyperlink_114" tooltip="Перейти" display="Перейти"/>
    <hyperlink ref="E116" r:id="rId_hyperlink_115" tooltip="Перейти" display="Перейти"/>
    <hyperlink ref="E117" r:id="rId_hyperlink_116" tooltip="Перейти" display="Перейти"/>
    <hyperlink ref="E118" r:id="rId_hyperlink_117" tooltip="Перейти" display="Перейти"/>
    <hyperlink ref="E119" r:id="rId_hyperlink_118" tooltip="Перейти" display="Перейти"/>
    <hyperlink ref="E120" r:id="rId_hyperlink_119" tooltip="Перейти" display="Перейти"/>
    <hyperlink ref="E121" r:id="rId_hyperlink_120" tooltip="Перейти" display="Перейти"/>
    <hyperlink ref="E122" r:id="rId_hyperlink_121" tooltip="Перейти" display="Перейти"/>
    <hyperlink ref="E123" r:id="rId_hyperlink_122" tooltip="Перейти" display="Перейти"/>
    <hyperlink ref="E124" r:id="rId_hyperlink_123" tooltip="Перейти" display="Перейти"/>
    <hyperlink ref="E125" r:id="rId_hyperlink_124" tooltip="Перейти" display="Перейти"/>
    <hyperlink ref="E126" r:id="rId_hyperlink_125" tooltip="Перейти" display="Перейти"/>
    <hyperlink ref="E127" r:id="rId_hyperlink_126" tooltip="Перейти" display="Перейти"/>
    <hyperlink ref="E128" r:id="rId_hyperlink_127" tooltip="Перейти" display="Перейти"/>
    <hyperlink ref="E129" r:id="rId_hyperlink_128" tooltip="Перейти" display="Перейти"/>
    <hyperlink ref="E130" r:id="rId_hyperlink_129" tooltip="Перейти" display="Перейти"/>
    <hyperlink ref="E131" r:id="rId_hyperlink_130" tooltip="Перейти" display="Перейти"/>
    <hyperlink ref="E132" r:id="rId_hyperlink_131" tooltip="Перейти" display="Перейти"/>
    <hyperlink ref="E133" r:id="rId_hyperlink_132" tooltip="Перейти" display="Перейти"/>
    <hyperlink ref="E134" r:id="rId_hyperlink_133" tooltip="Перейти" display="Перейти"/>
    <hyperlink ref="E135" r:id="rId_hyperlink_134" tooltip="Перейти" display="Перейти"/>
    <hyperlink ref="E136" r:id="rId_hyperlink_135" tooltip="Перейти" display="Перейти"/>
    <hyperlink ref="E137" r:id="rId_hyperlink_136" tooltip="Перейти" display="Перейти"/>
    <hyperlink ref="E138" r:id="rId_hyperlink_137" tooltip="Перейти" display="Перейти"/>
    <hyperlink ref="E139" r:id="rId_hyperlink_138" tooltip="Перейти" display="Перейти"/>
    <hyperlink ref="E140" r:id="rId_hyperlink_139" tooltip="Перейти" display="Перейти"/>
    <hyperlink ref="E141" r:id="rId_hyperlink_140" tooltip="Перейти" display="Перейти"/>
    <hyperlink ref="E142" r:id="rId_hyperlink_141" tooltip="Перейти" display="Перейти"/>
    <hyperlink ref="E143" r:id="rId_hyperlink_142" tooltip="Перейти" display="Перейти"/>
    <hyperlink ref="E144" r:id="rId_hyperlink_143" tooltip="Перейти" display="Перейти"/>
    <hyperlink ref="E145" r:id="rId_hyperlink_144" tooltip="Перейти" display="Перейти"/>
    <hyperlink ref="E146" r:id="rId_hyperlink_145" tooltip="Перейти" display="Перейти"/>
    <hyperlink ref="E147" r:id="rId_hyperlink_146" tooltip="Перейти" display="Перейти"/>
    <hyperlink ref="E148" r:id="rId_hyperlink_147" tooltip="Перейти" display="Перейти"/>
    <hyperlink ref="E149" r:id="rId_hyperlink_148" tooltip="Перейти" display="Перейти"/>
    <hyperlink ref="E150" r:id="rId_hyperlink_149" tooltip="Перейти" display="Перейти"/>
    <hyperlink ref="E151" r:id="rId_hyperlink_150" tooltip="Перейти" display="Перейти"/>
    <hyperlink ref="E152" r:id="rId_hyperlink_151" tooltip="Перейти" display="Перейти"/>
    <hyperlink ref="E153" r:id="rId_hyperlink_152" tooltip="Перейти" display="Перейти"/>
    <hyperlink ref="E154" r:id="rId_hyperlink_153" tooltip="Перейти" display="Перейти"/>
    <hyperlink ref="E155" r:id="rId_hyperlink_154" tooltip="Перейти" display="Перейти"/>
    <hyperlink ref="E156" r:id="rId_hyperlink_155" tooltip="Перейти" display="Перейти"/>
    <hyperlink ref="E157" r:id="rId_hyperlink_156" tooltip="Перейти" display="Перейти"/>
    <hyperlink ref="E158" r:id="rId_hyperlink_157" tooltip="Перейти" display="Перейти"/>
    <hyperlink ref="E159" r:id="rId_hyperlink_158" tooltip="Перейти" display="Перейти"/>
    <hyperlink ref="E160" r:id="rId_hyperlink_159" tooltip="Перейти" display="Перейти"/>
    <hyperlink ref="E161" r:id="rId_hyperlink_160" tooltip="Перейти" display="Перейти"/>
    <hyperlink ref="E162" r:id="rId_hyperlink_161" tooltip="Перейти" display="Перейти"/>
    <hyperlink ref="E163" r:id="rId_hyperlink_162" tooltip="Перейти" display="Перейти"/>
    <hyperlink ref="E164" r:id="rId_hyperlink_163" tooltip="Перейти" display="Перейти"/>
    <hyperlink ref="E165" r:id="rId_hyperlink_164" tooltip="Перейти" display="Перейти"/>
    <hyperlink ref="E166" r:id="rId_hyperlink_165" tooltip="Перейти" display="Перейти"/>
    <hyperlink ref="E167" r:id="rId_hyperlink_166" tooltip="Перейти" display="Перейти"/>
    <hyperlink ref="E168" r:id="rId_hyperlink_167" tooltip="Перейти" display="Перейти"/>
    <hyperlink ref="E169" r:id="rId_hyperlink_168" tooltip="Перейти" display="Перейти"/>
    <hyperlink ref="E170" r:id="rId_hyperlink_169" tooltip="Перейти" display="Перейти"/>
    <hyperlink ref="E171" r:id="rId_hyperlink_170" tooltip="Перейти" display="Перейти"/>
    <hyperlink ref="E172" r:id="rId_hyperlink_171" tooltip="Перейти" display="Перейти"/>
    <hyperlink ref="E173" r:id="rId_hyperlink_172" tooltip="Перейти" display="Перейти"/>
    <hyperlink ref="E174" r:id="rId_hyperlink_173" tooltip="Перейти" display="Перейти"/>
    <hyperlink ref="E175" r:id="rId_hyperlink_174" tooltip="Перейти" display="Перейти"/>
    <hyperlink ref="E176" r:id="rId_hyperlink_175" tooltip="Перейти" display="Перейти"/>
    <hyperlink ref="E177" r:id="rId_hyperlink_176" tooltip="Перейти" display="Перейти"/>
    <hyperlink ref="E178" r:id="rId_hyperlink_177" tooltip="Перейти" display="Перейти"/>
    <hyperlink ref="E179" r:id="rId_hyperlink_178" tooltip="Перейти" display="Перейти"/>
    <hyperlink ref="E180" r:id="rId_hyperlink_179" tooltip="Перейти" display="Перейти"/>
    <hyperlink ref="E181" r:id="rId_hyperlink_180" tooltip="Перейти" display="Перейти"/>
    <hyperlink ref="E182" r:id="rId_hyperlink_181" tooltip="Перейти" display="Перейти"/>
    <hyperlink ref="E183" r:id="rId_hyperlink_182" tooltip="Перейти" display="Перейти"/>
    <hyperlink ref="E184" r:id="rId_hyperlink_183" tooltip="Перейти" display="Перейти"/>
    <hyperlink ref="E185" r:id="rId_hyperlink_184" tooltip="Перейти" display="Перейти"/>
    <hyperlink ref="E186" r:id="rId_hyperlink_185" tooltip="Перейти" display="Перейти"/>
    <hyperlink ref="E187" r:id="rId_hyperlink_186" tooltip="Перейти" display="Перейти"/>
    <hyperlink ref="E188" r:id="rId_hyperlink_187" tooltip="Перейти" display="Перейти"/>
    <hyperlink ref="E189" r:id="rId_hyperlink_188" tooltip="Перейти" display="Перейти"/>
    <hyperlink ref="E190" r:id="rId_hyperlink_189" tooltip="Перейти" display="Перейти"/>
    <hyperlink ref="E191" r:id="rId_hyperlink_190" tooltip="Перейти" display="Перейти"/>
    <hyperlink ref="E192" r:id="rId_hyperlink_191" tooltip="Перейти" display="Перейти"/>
    <hyperlink ref="E193" r:id="rId_hyperlink_192" tooltip="Перейти" display="Перейти"/>
    <hyperlink ref="E194" r:id="rId_hyperlink_193" tooltip="Перейти" display="Перейти"/>
    <hyperlink ref="E195" r:id="rId_hyperlink_194" tooltip="Перейти" display="Перейти"/>
    <hyperlink ref="E196" r:id="rId_hyperlink_195" tooltip="Перейти" display="Перейти"/>
    <hyperlink ref="E197" r:id="rId_hyperlink_196" tooltip="Перейти" display="Перейти"/>
    <hyperlink ref="E198" r:id="rId_hyperlink_197" tooltip="Перейти" display="Перейти"/>
    <hyperlink ref="E199" r:id="rId_hyperlink_198" tooltip="Перейти" display="Перейти"/>
    <hyperlink ref="E200" r:id="rId_hyperlink_199" tooltip="Перейти" display="Перейти"/>
    <hyperlink ref="E201" r:id="rId_hyperlink_200" tooltip="Перейти" display="Перейти"/>
    <hyperlink ref="E202" r:id="rId_hyperlink_201" tooltip="Перейти" display="Перейти"/>
    <hyperlink ref="E203" r:id="rId_hyperlink_202" tooltip="Перейти" display="Перейти"/>
    <hyperlink ref="E204" r:id="rId_hyperlink_203" tooltip="Перейти" display="Перейти"/>
    <hyperlink ref="E205" r:id="rId_hyperlink_204" tooltip="Перейти" display="Перейти"/>
    <hyperlink ref="E206" r:id="rId_hyperlink_205" tooltip="Перейти" display="Перейти"/>
    <hyperlink ref="E207" r:id="rId_hyperlink_206" tooltip="Перейти" display="Перейти"/>
    <hyperlink ref="E208" r:id="rId_hyperlink_207" tooltip="Перейти" display="Перейти"/>
    <hyperlink ref="E209" r:id="rId_hyperlink_208" tooltip="Перейти" display="Перейти"/>
    <hyperlink ref="E210" r:id="rId_hyperlink_209" tooltip="Перейти" display="Перейти"/>
    <hyperlink ref="E211" r:id="rId_hyperlink_210" tooltip="Перейти" display="Перейти"/>
    <hyperlink ref="E212" r:id="rId_hyperlink_211" tooltip="Перейти" display="Перейти"/>
    <hyperlink ref="E213" r:id="rId_hyperlink_212" tooltip="Перейти" display="Перейти"/>
    <hyperlink ref="E214" r:id="rId_hyperlink_213" tooltip="Перейти" display="Перейти"/>
    <hyperlink ref="E215" r:id="rId_hyperlink_214" tooltip="Перейти" display="Перейти"/>
    <hyperlink ref="E216" r:id="rId_hyperlink_215" tooltip="Перейти" display="Перейти"/>
    <hyperlink ref="E217" r:id="rId_hyperlink_216" tooltip="Перейти" display="Перейти"/>
    <hyperlink ref="E218" r:id="rId_hyperlink_217" tooltip="Перейти" display="Перейти"/>
    <hyperlink ref="E219" r:id="rId_hyperlink_218" tooltip="Перейти" display="Перейти"/>
    <hyperlink ref="E220" r:id="rId_hyperlink_219" tooltip="Перейти" display="Перейти"/>
    <hyperlink ref="E221" r:id="rId_hyperlink_220" tooltip="Перейти" display="Перейти"/>
    <hyperlink ref="E222" r:id="rId_hyperlink_221" tooltip="Перейти" display="Перейти"/>
    <hyperlink ref="E223" r:id="rId_hyperlink_222" tooltip="Перейти" display="Перейти"/>
    <hyperlink ref="E224" r:id="rId_hyperlink_223" tooltip="Перейти" display="Перейти"/>
    <hyperlink ref="E225" r:id="rId_hyperlink_224" tooltip="Перейти" display="Перейти"/>
    <hyperlink ref="E226" r:id="rId_hyperlink_225" tooltip="Перейти" display="Перейти"/>
    <hyperlink ref="E227" r:id="rId_hyperlink_226" tooltip="Перейти" display="Перейти"/>
    <hyperlink ref="E228" r:id="rId_hyperlink_227" tooltip="Перейти" display="Перейти"/>
    <hyperlink ref="E229" r:id="rId_hyperlink_228" tooltip="Перейти" display="Перейти"/>
    <hyperlink ref="E230" r:id="rId_hyperlink_229" tooltip="Перейти" display="Перейти"/>
    <hyperlink ref="E231" r:id="rId_hyperlink_230" tooltip="Перейти" display="Перейти"/>
    <hyperlink ref="E232" r:id="rId_hyperlink_231" tooltip="Перейти" display="Перейти"/>
    <hyperlink ref="E233" r:id="rId_hyperlink_232" tooltip="Перейти" display="Перейти"/>
    <hyperlink ref="E234" r:id="rId_hyperlink_233" tooltip="Перейти" display="Перейти"/>
    <hyperlink ref="E235" r:id="rId_hyperlink_234" tooltip="Перейти" display="Перейти"/>
    <hyperlink ref="E236" r:id="rId_hyperlink_235" tooltip="Перейти" display="Перейти"/>
    <hyperlink ref="E237" r:id="rId_hyperlink_236" tooltip="Перейти" display="Перейти"/>
    <hyperlink ref="E238" r:id="rId_hyperlink_237" tooltip="Перейти" display="Перейти"/>
    <hyperlink ref="E239" r:id="rId_hyperlink_238" tooltip="Перейти" display="Перейти"/>
    <hyperlink ref="E240" r:id="rId_hyperlink_239" tooltip="Перейти" display="Перейти"/>
    <hyperlink ref="E241" r:id="rId_hyperlink_240" tooltip="Перейти" display="Перейти"/>
    <hyperlink ref="E242" r:id="rId_hyperlink_241" tooltip="Перейти" display="Перейти"/>
    <hyperlink ref="E243" r:id="rId_hyperlink_242" tooltip="Перейти" display="Перейти"/>
    <hyperlink ref="E244" r:id="rId_hyperlink_243" tooltip="Перейти" display="Перейти"/>
    <hyperlink ref="E245" r:id="rId_hyperlink_244" tooltip="Перейти" display="Перейти"/>
    <hyperlink ref="E246" r:id="rId_hyperlink_245" tooltip="Перейти" display="Перейти"/>
    <hyperlink ref="E247" r:id="rId_hyperlink_246" tooltip="Перейти" display="Перейти"/>
    <hyperlink ref="E248" r:id="rId_hyperlink_247" tooltip="Перейти" display="Перейти"/>
    <hyperlink ref="E249" r:id="rId_hyperlink_248" tooltip="Перейти" display="Перейти"/>
    <hyperlink ref="E250" r:id="rId_hyperlink_249" tooltip="Перейти" display="Перейти"/>
    <hyperlink ref="E251" r:id="rId_hyperlink_250" tooltip="Перейти" display="Перейти"/>
    <hyperlink ref="E252" r:id="rId_hyperlink_251" tooltip="Перейти" display="Перейти"/>
    <hyperlink ref="E253" r:id="rId_hyperlink_252" tooltip="Перейти" display="Перейти"/>
    <hyperlink ref="E254" r:id="rId_hyperlink_253" tooltip="Перейти" display="Перейти"/>
    <hyperlink ref="E255" r:id="rId_hyperlink_254" tooltip="Перейти" display="Перейти"/>
    <hyperlink ref="E256" r:id="rId_hyperlink_255" tooltip="Перейти" display="Перейти"/>
    <hyperlink ref="E257" r:id="rId_hyperlink_256" tooltip="Перейти" display="Перейти"/>
    <hyperlink ref="E258" r:id="rId_hyperlink_257" tooltip="Перейти" display="Перейти"/>
    <hyperlink ref="E259" r:id="rId_hyperlink_258" tooltip="Перейти" display="Перейти"/>
    <hyperlink ref="E260" r:id="rId_hyperlink_259" tooltip="Перейти" display="Перейти"/>
    <hyperlink ref="E261" r:id="rId_hyperlink_260" tooltip="Перейти" display="Перейти"/>
    <hyperlink ref="E262" r:id="rId_hyperlink_261" tooltip="Перейти" display="Перейти"/>
    <hyperlink ref="E263" r:id="rId_hyperlink_262" tooltip="Перейти" display="Перейти"/>
    <hyperlink ref="E264" r:id="rId_hyperlink_263" tooltip="Перейти" display="Перейти"/>
    <hyperlink ref="E265" r:id="rId_hyperlink_264" tooltip="Перейти" display="Перейти"/>
    <hyperlink ref="E266" r:id="rId_hyperlink_265" tooltip="Перейти" display="Перейти"/>
    <hyperlink ref="E267" r:id="rId_hyperlink_266" tooltip="Перейти" display="Перейти"/>
    <hyperlink ref="E268" r:id="rId_hyperlink_267" tooltip="Перейти" display="Перейти"/>
    <hyperlink ref="E269" r:id="rId_hyperlink_268" tooltip="Перейти" display="Перейти"/>
    <hyperlink ref="E270" r:id="rId_hyperlink_269" tooltip="Перейти" display="Перейти"/>
    <hyperlink ref="E271" r:id="rId_hyperlink_270" tooltip="Перейти" display="Перейти"/>
    <hyperlink ref="E272" r:id="rId_hyperlink_271" tooltip="Перейти" display="Перейти"/>
    <hyperlink ref="E273" r:id="rId_hyperlink_272" tooltip="Перейти" display="Перейти"/>
    <hyperlink ref="E274" r:id="rId_hyperlink_273" tooltip="Перейти" display="Перейти"/>
    <hyperlink ref="E275" r:id="rId_hyperlink_274" tooltip="Перейти" display="Перейти"/>
    <hyperlink ref="E276" r:id="rId_hyperlink_275" tooltip="Перейти" display="Перейти"/>
    <hyperlink ref="E277" r:id="rId_hyperlink_276" tooltip="Перейти" display="Перейти"/>
    <hyperlink ref="E278" r:id="rId_hyperlink_277" tooltip="Перейти" display="Перейти"/>
    <hyperlink ref="E279" r:id="rId_hyperlink_278" tooltip="Перейти" display="Перейти"/>
    <hyperlink ref="E280" r:id="rId_hyperlink_279" tooltip="Перейти" display="Перейти"/>
    <hyperlink ref="E281" r:id="rId_hyperlink_280" tooltip="Перейти" display="Перейти"/>
    <hyperlink ref="E282" r:id="rId_hyperlink_281" tooltip="Перейти" display="Перейти"/>
    <hyperlink ref="E283" r:id="rId_hyperlink_282" tooltip="Перейти" display="Перейти"/>
    <hyperlink ref="E284" r:id="rId_hyperlink_283" tooltip="Перейти" display="Перейти"/>
    <hyperlink ref="E285" r:id="rId_hyperlink_284" tooltip="Перейти" display="Перейти"/>
    <hyperlink ref="E286" r:id="rId_hyperlink_285" tooltip="Перейти" display="Перейти"/>
    <hyperlink ref="E287" r:id="rId_hyperlink_286" tooltip="Перейти" display="Перейти"/>
    <hyperlink ref="E288" r:id="rId_hyperlink_287" tooltip="Перейти" display="Перейти"/>
    <hyperlink ref="E289" r:id="rId_hyperlink_288" tooltip="Перейти" display="Перейти"/>
    <hyperlink ref="E290" r:id="rId_hyperlink_289" tooltip="Перейти" display="Перейти"/>
    <hyperlink ref="E291" r:id="rId_hyperlink_290" tooltip="Перейти" display="Перейти"/>
    <hyperlink ref="E292" r:id="rId_hyperlink_291" tooltip="Перейти" display="Перейти"/>
    <hyperlink ref="E293" r:id="rId_hyperlink_292" tooltip="Перейти" display="Перейти"/>
    <hyperlink ref="E294" r:id="rId_hyperlink_293" tooltip="Перейти" display="Перейти"/>
    <hyperlink ref="E295" r:id="rId_hyperlink_294" tooltip="Перейти" display="Перейти"/>
    <hyperlink ref="E296" r:id="rId_hyperlink_295" tooltip="Перейти" display="Перейти"/>
    <hyperlink ref="E297" r:id="rId_hyperlink_296" tooltip="Перейти" display="Перейти"/>
    <hyperlink ref="E298" r:id="rId_hyperlink_297" tooltip="Перейти" display="Перейти"/>
    <hyperlink ref="E299" r:id="rId_hyperlink_298" tooltip="Перейти" display="Перейти"/>
    <hyperlink ref="E300" r:id="rId_hyperlink_299" tooltip="Перейти" display="Перейти"/>
    <hyperlink ref="E301" r:id="rId_hyperlink_300" tooltip="Перейти" display="Перейти"/>
    <hyperlink ref="E302" r:id="rId_hyperlink_301" tooltip="Перейти" display="Перейти"/>
    <hyperlink ref="E303" r:id="rId_hyperlink_302" tooltip="Перейти" display="Перейти"/>
    <hyperlink ref="E304" r:id="rId_hyperlink_303" tooltip="Перейти" display="Перейти"/>
    <hyperlink ref="E305" r:id="rId_hyperlink_304" tooltip="Перейти" display="Перейти"/>
    <hyperlink ref="E306" r:id="rId_hyperlink_305" tooltip="Перейти" display="Перейти"/>
    <hyperlink ref="E307" r:id="rId_hyperlink_306" tooltip="Перейти" display="Перейти"/>
    <hyperlink ref="E308" r:id="rId_hyperlink_307" tooltip="Перейти" display="Перейти"/>
    <hyperlink ref="E309" r:id="rId_hyperlink_308" tooltip="Перейти" display="Перейти"/>
    <hyperlink ref="E310" r:id="rId_hyperlink_309" tooltip="Перейти" display="Перейти"/>
    <hyperlink ref="E311" r:id="rId_hyperlink_310" tooltip="Перейти" display="Перейти"/>
    <hyperlink ref="E312" r:id="rId_hyperlink_311" tooltip="Перейти" display="Перейти"/>
    <hyperlink ref="E313" r:id="rId_hyperlink_312" tooltip="Перейти" display="Перейти"/>
    <hyperlink ref="E314" r:id="rId_hyperlink_313" tooltip="Перейти" display="Перейти"/>
    <hyperlink ref="E315" r:id="rId_hyperlink_314" tooltip="Перейти" display="Перейти"/>
    <hyperlink ref="E316" r:id="rId_hyperlink_315" tooltip="Перейти" display="Перейти"/>
    <hyperlink ref="E317" r:id="rId_hyperlink_316" tooltip="Перейти" display="Перейти"/>
    <hyperlink ref="E318" r:id="rId_hyperlink_317" tooltip="Перейти" display="Перейти"/>
    <hyperlink ref="E319" r:id="rId_hyperlink_318" tooltip="Перейти" display="Перейти"/>
    <hyperlink ref="E320" r:id="rId_hyperlink_319" tooltip="Перейти" display="Перейти"/>
    <hyperlink ref="E321" r:id="rId_hyperlink_320" tooltip="Перейти" display="Перейти"/>
    <hyperlink ref="E322" r:id="rId_hyperlink_321" tooltip="Перейти" display="Перейти"/>
    <hyperlink ref="E323" r:id="rId_hyperlink_322" tooltip="Перейти" display="Перейти"/>
    <hyperlink ref="E324" r:id="rId_hyperlink_323" tooltip="Перейти" display="Перейти"/>
    <hyperlink ref="E325" r:id="rId_hyperlink_324" tooltip="Перейти" display="Перейти"/>
    <hyperlink ref="E326" r:id="rId_hyperlink_325" tooltip="Перейти" display="Перейти"/>
    <hyperlink ref="E327" r:id="rId_hyperlink_326" tooltip="Перейти" display="Перейти"/>
    <hyperlink ref="E328" r:id="rId_hyperlink_327" tooltip="Перейти" display="Перейти"/>
    <hyperlink ref="E329" r:id="rId_hyperlink_328" tooltip="Перейти" display="Перейти"/>
    <hyperlink ref="E330" r:id="rId_hyperlink_329" tooltip="Перейти" display="Перейти"/>
    <hyperlink ref="E331" r:id="rId_hyperlink_330" tooltip="Перейти" display="Перейти"/>
    <hyperlink ref="E332" r:id="rId_hyperlink_331" tooltip="Перейти" display="Перейти"/>
    <hyperlink ref="E333" r:id="rId_hyperlink_332" tooltip="Перейти" display="Перейти"/>
    <hyperlink ref="E334" r:id="rId_hyperlink_333" tooltip="Перейти" display="Перейти"/>
    <hyperlink ref="E335" r:id="rId_hyperlink_334" tooltip="Перейти" display="Перейти"/>
    <hyperlink ref="E336" r:id="rId_hyperlink_335" tooltip="Перейти" display="Перейти"/>
    <hyperlink ref="E337" r:id="rId_hyperlink_336" tooltip="Перейти" display="Перейти"/>
    <hyperlink ref="E338" r:id="rId_hyperlink_337" tooltip="Перейти" display="Перейти"/>
    <hyperlink ref="E339" r:id="rId_hyperlink_338" tooltip="Перейти" display="Перейти"/>
    <hyperlink ref="E340" r:id="rId_hyperlink_339" tooltip="Перейти" display="Перейти"/>
    <hyperlink ref="E341" r:id="rId_hyperlink_340" tooltip="Перейти" display="Перейти"/>
    <hyperlink ref="E342" r:id="rId_hyperlink_341" tooltip="Перейти" display="Перейти"/>
    <hyperlink ref="E343" r:id="rId_hyperlink_342" tooltip="Перейти" display="Перейти"/>
    <hyperlink ref="E344" r:id="rId_hyperlink_343" tooltip="Перейти" display="Перейти"/>
    <hyperlink ref="E345" r:id="rId_hyperlink_344" tooltip="Перейти" display="Перейти"/>
    <hyperlink ref="E346" r:id="rId_hyperlink_345" tooltip="Перейти" display="Перейти"/>
    <hyperlink ref="E347" r:id="rId_hyperlink_346" tooltip="Перейти" display="Перейти"/>
    <hyperlink ref="E348" r:id="rId_hyperlink_347" tooltip="Перейти" display="Перейти"/>
    <hyperlink ref="E349" r:id="rId_hyperlink_348" tooltip="Перейти" display="Перейти"/>
    <hyperlink ref="E350" r:id="rId_hyperlink_349" tooltip="Перейти" display="Перейти"/>
    <hyperlink ref="E351" r:id="rId_hyperlink_350" tooltip="Перейти" display="Перейти"/>
    <hyperlink ref="E352" r:id="rId_hyperlink_351" tooltip="Перейти" display="Перейти"/>
    <hyperlink ref="E353" r:id="rId_hyperlink_352" tooltip="Перейти" display="Перейти"/>
    <hyperlink ref="E354" r:id="rId_hyperlink_353" tooltip="Перейти" display="Перейти"/>
    <hyperlink ref="E355" r:id="rId_hyperlink_354" tooltip="Перейти" display="Перейти"/>
    <hyperlink ref="E356" r:id="rId_hyperlink_355" tooltip="Перейти" display="Перейти"/>
    <hyperlink ref="E357" r:id="rId_hyperlink_356" tooltip="Перейти" display="Перейти"/>
    <hyperlink ref="E358" r:id="rId_hyperlink_357" tooltip="Перейти" display="Перейти"/>
    <hyperlink ref="E359" r:id="rId_hyperlink_358" tooltip="Перейти" display="Перейти"/>
    <hyperlink ref="E360" r:id="rId_hyperlink_359" tooltip="Перейти" display="Перейти"/>
    <hyperlink ref="E361" r:id="rId_hyperlink_360" tooltip="Перейти" display="Перейти"/>
    <hyperlink ref="E362" r:id="rId_hyperlink_361" tooltip="Перейти" display="Перейти"/>
    <hyperlink ref="E363" r:id="rId_hyperlink_362" tooltip="Перейти" display="Перейти"/>
    <hyperlink ref="E364" r:id="rId_hyperlink_363" tooltip="Перейти" display="Перейти"/>
    <hyperlink ref="E365" r:id="rId_hyperlink_364" tooltip="Перейти" display="Перейти"/>
    <hyperlink ref="E366" r:id="rId_hyperlink_365" tooltip="Перейти" display="Перейти"/>
    <hyperlink ref="E367" r:id="rId_hyperlink_366" tooltip="Перейти" display="Перейти"/>
    <hyperlink ref="E368" r:id="rId_hyperlink_367" tooltip="Перейти" display="Перейти"/>
    <hyperlink ref="E369" r:id="rId_hyperlink_368" tooltip="Перейти" display="Перейти"/>
    <hyperlink ref="E370" r:id="rId_hyperlink_369" tooltip="Перейти" display="Перейти"/>
    <hyperlink ref="E371" r:id="rId_hyperlink_370" tooltip="Перейти" display="Перейти"/>
    <hyperlink ref="E372" r:id="rId_hyperlink_371" tooltip="Перейти" display="Перейти"/>
    <hyperlink ref="E373" r:id="rId_hyperlink_372" tooltip="Перейти" display="Перейти"/>
    <hyperlink ref="E374" r:id="rId_hyperlink_373" tooltip="Перейти" display="Перейти"/>
    <hyperlink ref="E375" r:id="rId_hyperlink_374" tooltip="Перейти" display="Перейти"/>
    <hyperlink ref="E376" r:id="rId_hyperlink_375" tooltip="Перейти" display="Перейти"/>
    <hyperlink ref="E377" r:id="rId_hyperlink_376" tooltip="Перейти" display="Перейти"/>
    <hyperlink ref="E378" r:id="rId_hyperlink_377" tooltip="Перейти" display="Перейти"/>
    <hyperlink ref="E379" r:id="rId_hyperlink_378" tooltip="Перейти" display="Перейти"/>
    <hyperlink ref="E380" r:id="rId_hyperlink_379" tooltip="Перейти" display="Перейти"/>
    <hyperlink ref="E381" r:id="rId_hyperlink_380" tooltip="Перейти" display="Перейти"/>
    <hyperlink ref="E382" r:id="rId_hyperlink_381" tooltip="Перейти" display="Перейти"/>
    <hyperlink ref="E383" r:id="rId_hyperlink_382" tooltip="Перейти" display="Перейти"/>
    <hyperlink ref="E384" r:id="rId_hyperlink_383" tooltip="Перейти" display="Перейти"/>
    <hyperlink ref="E385" r:id="rId_hyperlink_384" tooltip="Перейти" display="Перейти"/>
    <hyperlink ref="E386" r:id="rId_hyperlink_385" tooltip="Перейти" display="Перейти"/>
    <hyperlink ref="E387" r:id="rId_hyperlink_386" tooltip="Перейти" display="Перейти"/>
    <hyperlink ref="E388" r:id="rId_hyperlink_387" tooltip="Перейти" display="Перейти"/>
    <hyperlink ref="E389" r:id="rId_hyperlink_388" tooltip="Перейти" display="Перейти"/>
    <hyperlink ref="E390" r:id="rId_hyperlink_389" tooltip="Перейти" display="Перейти"/>
    <hyperlink ref="E391" r:id="rId_hyperlink_390" tooltip="Перейти" display="Перейти"/>
    <hyperlink ref="E392" r:id="rId_hyperlink_391" tooltip="Перейти" display="Перейти"/>
    <hyperlink ref="E393" r:id="rId_hyperlink_392" tooltip="Перейти" display="Перейти"/>
    <hyperlink ref="E394" r:id="rId_hyperlink_393" tooltip="Перейти" display="Перейти"/>
    <hyperlink ref="E395" r:id="rId_hyperlink_394" tooltip="Перейти" display="Перейти"/>
    <hyperlink ref="E396" r:id="rId_hyperlink_395" tooltip="Перейти" display="Перейти"/>
    <hyperlink ref="E397" r:id="rId_hyperlink_396" tooltip="Перейти" display="Перейти"/>
    <hyperlink ref="E398" r:id="rId_hyperlink_397" tooltip="Перейти" display="Перейти"/>
    <hyperlink ref="E399" r:id="rId_hyperlink_398" tooltip="Перейти" display="Перейти"/>
    <hyperlink ref="E400" r:id="rId_hyperlink_399" tooltip="Перейти" display="Перейти"/>
    <hyperlink ref="E401" r:id="rId_hyperlink_400" tooltip="Перейти" display="Перейти"/>
    <hyperlink ref="E402" r:id="rId_hyperlink_401" tooltip="Перейти" display="Перейти"/>
    <hyperlink ref="E403" r:id="rId_hyperlink_402" tooltip="Перейти" display="Перейти"/>
    <hyperlink ref="E404" r:id="rId_hyperlink_403" tooltip="Перейти" display="Перейти"/>
    <hyperlink ref="E405" r:id="rId_hyperlink_404" tooltip="Перейти" display="Перейти"/>
    <hyperlink ref="E406" r:id="rId_hyperlink_405" tooltip="Перейти" display="Перейти"/>
    <hyperlink ref="E407" r:id="rId_hyperlink_406" tooltip="Перейти" display="Перейти"/>
    <hyperlink ref="E408" r:id="rId_hyperlink_407" tooltip="Перейти" display="Перейти"/>
    <hyperlink ref="E409" r:id="rId_hyperlink_408" tooltip="Перейти" display="Перейти"/>
    <hyperlink ref="E410" r:id="rId_hyperlink_409" tooltip="Перейти" display="Перейти"/>
    <hyperlink ref="E411" r:id="rId_hyperlink_410" tooltip="Перейти" display="Перейти"/>
    <hyperlink ref="E412" r:id="rId_hyperlink_411" tooltip="Перейти" display="Перейти"/>
    <hyperlink ref="E413" r:id="rId_hyperlink_412" tooltip="Перейти" display="Перейти"/>
    <hyperlink ref="E414" r:id="rId_hyperlink_413" tooltip="Перейти" display="Перейти"/>
    <hyperlink ref="E415" r:id="rId_hyperlink_414" tooltip="Перейти" display="Перейти"/>
    <hyperlink ref="E416" r:id="rId_hyperlink_415" tooltip="Перейти" display="Перейти"/>
    <hyperlink ref="E417" r:id="rId_hyperlink_416" tooltip="Перейти" display="Перейти"/>
    <hyperlink ref="E418" r:id="rId_hyperlink_417" tooltip="Перейти" display="Перейти"/>
    <hyperlink ref="E419" r:id="rId_hyperlink_418" tooltip="Перейти" display="Перейти"/>
    <hyperlink ref="E420" r:id="rId_hyperlink_419" tooltip="Перейти" display="Перейти"/>
    <hyperlink ref="E421" r:id="rId_hyperlink_420" tooltip="Перейти" display="Перейти"/>
    <hyperlink ref="E422" r:id="rId_hyperlink_421" tooltip="Перейти" display="Перейти"/>
    <hyperlink ref="E423" r:id="rId_hyperlink_422" tooltip="Перейти" display="Перейти"/>
    <hyperlink ref="E424" r:id="rId_hyperlink_423" tooltip="Перейти" display="Перейти"/>
    <hyperlink ref="E425" r:id="rId_hyperlink_424" tooltip="Перейти" display="Перейти"/>
    <hyperlink ref="E426" r:id="rId_hyperlink_425" tooltip="Перейти" display="Перейти"/>
    <hyperlink ref="E427" r:id="rId_hyperlink_426" tooltip="Перейти" display="Перейти"/>
    <hyperlink ref="E428" r:id="rId_hyperlink_427" tooltip="Перейти" display="Перейти"/>
    <hyperlink ref="E429" r:id="rId_hyperlink_428" tooltip="Перейти" display="Перейти"/>
    <hyperlink ref="E430" r:id="rId_hyperlink_429" tooltip="Перейти" display="Перейти"/>
    <hyperlink ref="E431" r:id="rId_hyperlink_430" tooltip="Перейти" display="Перейти"/>
    <hyperlink ref="E432" r:id="rId_hyperlink_431" tooltip="Перейти" display="Перейти"/>
    <hyperlink ref="E433" r:id="rId_hyperlink_432" tooltip="Перейти" display="Перейти"/>
    <hyperlink ref="E434" r:id="rId_hyperlink_433" tooltip="Перейти" display="Перейти"/>
    <hyperlink ref="E435" r:id="rId_hyperlink_434" tooltip="Перейти" display="Перейти"/>
    <hyperlink ref="E436" r:id="rId_hyperlink_435" tooltip="Перейти" display="Перейти"/>
    <hyperlink ref="E437" r:id="rId_hyperlink_436" tooltip="Перейти" display="Перейти"/>
    <hyperlink ref="E438" r:id="rId_hyperlink_437" tooltip="Перейти" display="Перейти"/>
    <hyperlink ref="E439" r:id="rId_hyperlink_438" tooltip="Перейти" display="Перейти"/>
    <hyperlink ref="E440" r:id="rId_hyperlink_439" tooltip="Перейти" display="Перейти"/>
    <hyperlink ref="E441" r:id="rId_hyperlink_440" tooltip="Перейти" display="Перейти"/>
    <hyperlink ref="E442" r:id="rId_hyperlink_441" tooltip="Перейти" display="Перейти"/>
    <hyperlink ref="E443" r:id="rId_hyperlink_442" tooltip="Перейти" display="Перейти"/>
    <hyperlink ref="E444" r:id="rId_hyperlink_443" tooltip="Перейти" display="Перейти"/>
    <hyperlink ref="E445" r:id="rId_hyperlink_444" tooltip="Перейти" display="Перейти"/>
    <hyperlink ref="E446" r:id="rId_hyperlink_445" tooltip="Перейти" display="Перейти"/>
    <hyperlink ref="E447" r:id="rId_hyperlink_446" tooltip="Перейти" display="Перейти"/>
    <hyperlink ref="E448" r:id="rId_hyperlink_447" tooltip="Перейти" display="Перейти"/>
    <hyperlink ref="E449" r:id="rId_hyperlink_448" tooltip="Перейти" display="Перейти"/>
    <hyperlink ref="E450" r:id="rId_hyperlink_449" tooltip="Перейти" display="Перейти"/>
    <hyperlink ref="E451" r:id="rId_hyperlink_450" tooltip="Перейти" display="Перейти"/>
    <hyperlink ref="E452" r:id="rId_hyperlink_451" tooltip="Перейти" display="Перейти"/>
    <hyperlink ref="E453" r:id="rId_hyperlink_452" tooltip="Перейти" display="Перейти"/>
    <hyperlink ref="E454" r:id="rId_hyperlink_453" tooltip="Перейти" display="Перейти"/>
    <hyperlink ref="E455" r:id="rId_hyperlink_454" tooltip="Перейти" display="Перейти"/>
    <hyperlink ref="E456" r:id="rId_hyperlink_455" tooltip="Перейти" display="Перейти"/>
    <hyperlink ref="E457" r:id="rId_hyperlink_456" tooltip="Перейти" display="Перейти"/>
    <hyperlink ref="E458" r:id="rId_hyperlink_457" tooltip="Перейти" display="Перейти"/>
    <hyperlink ref="E459" r:id="rId_hyperlink_458" tooltip="Перейти" display="Перейти"/>
    <hyperlink ref="E460" r:id="rId_hyperlink_459" tooltip="Перейти" display="Перейти"/>
    <hyperlink ref="E461" r:id="rId_hyperlink_460" tooltip="Перейти" display="Перейти"/>
    <hyperlink ref="E462" r:id="rId_hyperlink_461" tooltip="Перейти" display="Перейти"/>
    <hyperlink ref="E463" r:id="rId_hyperlink_462" tooltip="Перейти" display="Перейти"/>
    <hyperlink ref="E464" r:id="rId_hyperlink_463" tooltip="Перейти" display="Перейти"/>
    <hyperlink ref="E465" r:id="rId_hyperlink_464" tooltip="Перейти" display="Перейти"/>
    <hyperlink ref="E466" r:id="rId_hyperlink_465" tooltip="Перейти" display="Перейти"/>
    <hyperlink ref="E467" r:id="rId_hyperlink_466" tooltip="Перейти" display="Перейти"/>
    <hyperlink ref="E468" r:id="rId_hyperlink_467" tooltip="Перейти" display="Перейти"/>
    <hyperlink ref="E469" r:id="rId_hyperlink_468" tooltip="Перейти" display="Перейти"/>
    <hyperlink ref="E470" r:id="rId_hyperlink_469" tooltip="Перейти" display="Перейти"/>
    <hyperlink ref="E471" r:id="rId_hyperlink_470" tooltip="Перейти" display="Перейти"/>
    <hyperlink ref="E472" r:id="rId_hyperlink_471" tooltip="Перейти" display="Перейти"/>
    <hyperlink ref="E473" r:id="rId_hyperlink_472" tooltip="Перейти" display="Перейти"/>
    <hyperlink ref="E474" r:id="rId_hyperlink_473" tooltip="Перейти" display="Перейти"/>
    <hyperlink ref="E475" r:id="rId_hyperlink_474" tooltip="Перейти" display="Перейти"/>
    <hyperlink ref="E476" r:id="rId_hyperlink_475" tooltip="Перейти" display="Перейти"/>
    <hyperlink ref="E477" r:id="rId_hyperlink_476" tooltip="Перейти" display="Перейти"/>
    <hyperlink ref="E478" r:id="rId_hyperlink_477" tooltip="Перейти" display="Перейти"/>
    <hyperlink ref="E479" r:id="rId_hyperlink_478" tooltip="Перейти" display="Перейти"/>
    <hyperlink ref="E480" r:id="rId_hyperlink_479" tooltip="Перейти" display="Перейти"/>
    <hyperlink ref="E481" r:id="rId_hyperlink_480" tooltip="Перейти" display="Перейти"/>
    <hyperlink ref="E482" r:id="rId_hyperlink_481" tooltip="Перейти" display="Перейти"/>
    <hyperlink ref="E483" r:id="rId_hyperlink_482" tooltip="Перейти" display="Перейти"/>
    <hyperlink ref="E484" r:id="rId_hyperlink_483" tooltip="Перейти" display="Перейти"/>
    <hyperlink ref="E485" r:id="rId_hyperlink_484" tooltip="Перейти" display="Перейти"/>
    <hyperlink ref="E486" r:id="rId_hyperlink_485" tooltip="Перейти" display="Перейти"/>
    <hyperlink ref="E487" r:id="rId_hyperlink_486" tooltip="Перейти" display="Перейти"/>
    <hyperlink ref="E488" r:id="rId_hyperlink_487" tooltip="Перейти" display="Перейти"/>
    <hyperlink ref="E489" r:id="rId_hyperlink_488" tooltip="Перейти" display="Перейти"/>
    <hyperlink ref="E490" r:id="rId_hyperlink_489" tooltip="Перейти" display="Перейти"/>
    <hyperlink ref="E491" r:id="rId_hyperlink_490" tooltip="Перейти" display="Перейти"/>
    <hyperlink ref="E492" r:id="rId_hyperlink_491" tooltip="Перейти" display="Перейти"/>
    <hyperlink ref="E493" r:id="rId_hyperlink_492" tooltip="Перейти" display="Перейти"/>
    <hyperlink ref="E494" r:id="rId_hyperlink_493" tooltip="Перейти" display="Перейти"/>
    <hyperlink ref="E495" r:id="rId_hyperlink_494" tooltip="Перейти" display="Перейти"/>
    <hyperlink ref="E496" r:id="rId_hyperlink_495" tooltip="Перейти" display="Перейти"/>
    <hyperlink ref="E497" r:id="rId_hyperlink_496" tooltip="Перейти" display="Перейти"/>
    <hyperlink ref="E498" r:id="rId_hyperlink_497" tooltip="Перейти" display="Перейти"/>
    <hyperlink ref="E499" r:id="rId_hyperlink_498" tooltip="Перейти" display="Перейти"/>
    <hyperlink ref="E500" r:id="rId_hyperlink_499" tooltip="Перейти" display="Перейти"/>
    <hyperlink ref="E501" r:id="rId_hyperlink_500" tooltip="Перейти" display="Перейти"/>
    <hyperlink ref="E502" r:id="rId_hyperlink_501" tooltip="Перейти" display="Перейти"/>
    <hyperlink ref="E503" r:id="rId_hyperlink_502" tooltip="Перейти" display="Перейти"/>
    <hyperlink ref="E504" r:id="rId_hyperlink_503" tooltip="Перейти" display="Перейти"/>
    <hyperlink ref="E505" r:id="rId_hyperlink_504" tooltip="Перейти" display="Перейти"/>
    <hyperlink ref="E506" r:id="rId_hyperlink_505" tooltip="Перейти" display="Перейти"/>
    <hyperlink ref="E507" r:id="rId_hyperlink_506" tooltip="Перейти" display="Перейти"/>
    <hyperlink ref="E508" r:id="rId_hyperlink_507" tooltip="Перейти" display="Перейти"/>
    <hyperlink ref="E509" r:id="rId_hyperlink_508" tooltip="Перейти" display="Перейти"/>
    <hyperlink ref="E510" r:id="rId_hyperlink_509" tooltip="Перейти" display="Перейти"/>
    <hyperlink ref="E511" r:id="rId_hyperlink_510" tooltip="Перейти" display="Перейти"/>
    <hyperlink ref="E512" r:id="rId_hyperlink_511" tooltip="Перейти" display="Перейти"/>
    <hyperlink ref="E513" r:id="rId_hyperlink_512" tooltip="Перейти" display="Перейти"/>
    <hyperlink ref="E514" r:id="rId_hyperlink_513" tooltip="Перейти" display="Перейти"/>
    <hyperlink ref="E515" r:id="rId_hyperlink_514" tooltip="Перейти" display="Перейти"/>
    <hyperlink ref="E516" r:id="rId_hyperlink_515" tooltip="Перейти" display="Перейти"/>
    <hyperlink ref="E517" r:id="rId_hyperlink_516" tooltip="Перейти" display="Перейти"/>
    <hyperlink ref="E518" r:id="rId_hyperlink_517" tooltip="Перейти" display="Перейти"/>
    <hyperlink ref="E519" r:id="rId_hyperlink_518" tooltip="Перейти" display="Перейти"/>
    <hyperlink ref="E520" r:id="rId_hyperlink_519" tooltip="Перейти" display="Перейти"/>
    <hyperlink ref="E521" r:id="rId_hyperlink_520" tooltip="Перейти" display="Перейти"/>
    <hyperlink ref="E522" r:id="rId_hyperlink_521" tooltip="Перейти" display="Перейти"/>
    <hyperlink ref="E523" r:id="rId_hyperlink_522" tooltip="Перейти" display="Перейти"/>
    <hyperlink ref="E524" r:id="rId_hyperlink_523" tooltip="Перейти" display="Перейти"/>
    <hyperlink ref="E525" r:id="rId_hyperlink_524" tooltip="Перейти" display="Перейти"/>
    <hyperlink ref="E526" r:id="rId_hyperlink_525" tooltip="Перейти" display="Перейти"/>
    <hyperlink ref="E527" r:id="rId_hyperlink_526" tooltip="Перейти" display="Перейти"/>
    <hyperlink ref="E528" r:id="rId_hyperlink_527" tooltip="Перейти" display="Перейти"/>
    <hyperlink ref="E529" r:id="rId_hyperlink_528" tooltip="Перейти" display="Перейти"/>
    <hyperlink ref="E530" r:id="rId_hyperlink_529" tooltip="Перейти" display="Перейти"/>
    <hyperlink ref="E531" r:id="rId_hyperlink_530" tooltip="Перейти" display="Перейти"/>
    <hyperlink ref="E532" r:id="rId_hyperlink_531" tooltip="Перейти" display="Перейти"/>
    <hyperlink ref="E533" r:id="rId_hyperlink_532" tooltip="Перейти" display="Перейти"/>
    <hyperlink ref="E534" r:id="rId_hyperlink_533" tooltip="Перейти" display="Перейти"/>
    <hyperlink ref="E535" r:id="rId_hyperlink_534" tooltip="Перейти" display="Перейти"/>
    <hyperlink ref="E536" r:id="rId_hyperlink_535" tooltip="Перейти" display="Перейти"/>
    <hyperlink ref="E537" r:id="rId_hyperlink_536" tooltip="Перейти" display="Перейти"/>
    <hyperlink ref="E538" r:id="rId_hyperlink_537" tooltip="Перейти" display="Перейти"/>
    <hyperlink ref="E539" r:id="rId_hyperlink_538" tooltip="Перейти" display="Перейти"/>
    <hyperlink ref="E540" r:id="rId_hyperlink_539" tooltip="Перейти" display="Перейти"/>
    <hyperlink ref="E541" r:id="rId_hyperlink_540" tooltip="Перейти" display="Перейти"/>
    <hyperlink ref="E542" r:id="rId_hyperlink_541" tooltip="Перейти" display="Перейти"/>
    <hyperlink ref="E543" r:id="rId_hyperlink_542" tooltip="Перейти" display="Перейти"/>
    <hyperlink ref="E544" r:id="rId_hyperlink_543" tooltip="Перейти" display="Перейти"/>
    <hyperlink ref="E545" r:id="rId_hyperlink_544" tooltip="Перейти" display="Перейти"/>
    <hyperlink ref="E546" r:id="rId_hyperlink_545" tooltip="Перейти" display="Перейти"/>
    <hyperlink ref="E547" r:id="rId_hyperlink_546" tooltip="Перейти" display="Перейти"/>
    <hyperlink ref="E548" r:id="rId_hyperlink_547" tooltip="Перейти" display="Перейти"/>
    <hyperlink ref="E549" r:id="rId_hyperlink_548" tooltip="Перейти" display="Перейти"/>
    <hyperlink ref="E550" r:id="rId_hyperlink_549" tooltip="Перейти" display="Перейти"/>
    <hyperlink ref="E551" r:id="rId_hyperlink_550" tooltip="Перейти" display="Перейти"/>
    <hyperlink ref="E552" r:id="rId_hyperlink_551" tooltip="Перейти" display="Перейти"/>
    <hyperlink ref="E553" r:id="rId_hyperlink_552" tooltip="Перейти" display="Перейти"/>
    <hyperlink ref="E554" r:id="rId_hyperlink_553" tooltip="Перейти" display="Перейти"/>
    <hyperlink ref="E555" r:id="rId_hyperlink_554" tooltip="Перейти" display="Перейти"/>
    <hyperlink ref="E556" r:id="rId_hyperlink_555" tooltip="Перейти" display="Перейти"/>
    <hyperlink ref="E557" r:id="rId_hyperlink_556" tooltip="Перейти" display="Перейти"/>
    <hyperlink ref="E558" r:id="rId_hyperlink_557" tooltip="Перейти" display="Перейти"/>
    <hyperlink ref="E559" r:id="rId_hyperlink_558" tooltip="Перейти" display="Перейти"/>
    <hyperlink ref="E560" r:id="rId_hyperlink_559" tooltip="Перейти" display="Перейти"/>
    <hyperlink ref="E561" r:id="rId_hyperlink_560" tooltip="Перейти" display="Перейти"/>
    <hyperlink ref="E562" r:id="rId_hyperlink_561" tooltip="Перейти" display="Перейти"/>
    <hyperlink ref="E563" r:id="rId_hyperlink_562" tooltip="Перейти" display="Перейти"/>
    <hyperlink ref="E564" r:id="rId_hyperlink_563" tooltip="Перейти" display="Перейти"/>
    <hyperlink ref="E565" r:id="rId_hyperlink_564" tooltip="Перейти" display="Перейти"/>
    <hyperlink ref="E566" r:id="rId_hyperlink_565" tooltip="Перейти" display="Перейти"/>
    <hyperlink ref="E567" r:id="rId_hyperlink_566" tooltip="Перейти" display="Перейти"/>
    <hyperlink ref="E568" r:id="rId_hyperlink_567" tooltip="Перейти" display="Перейти"/>
    <hyperlink ref="E569" r:id="rId_hyperlink_568" tooltip="Перейти" display="Перейти"/>
    <hyperlink ref="E570" r:id="rId_hyperlink_569" tooltip="Перейти" display="Перейти"/>
    <hyperlink ref="E571" r:id="rId_hyperlink_570" tooltip="Перейти" display="Перейти"/>
    <hyperlink ref="E572" r:id="rId_hyperlink_571" tooltip="Перейти" display="Перейти"/>
    <hyperlink ref="E573" r:id="rId_hyperlink_572" tooltip="Перейти" display="Перейти"/>
    <hyperlink ref="E574" r:id="rId_hyperlink_573" tooltip="Перейти" display="Перейти"/>
    <hyperlink ref="E575" r:id="rId_hyperlink_574" tooltip="Перейти" display="Перейти"/>
    <hyperlink ref="E576" r:id="rId_hyperlink_575" tooltip="Перейти" display="Перейти"/>
    <hyperlink ref="E577" r:id="rId_hyperlink_576" tooltip="Перейти" display="Перейти"/>
    <hyperlink ref="E578" r:id="rId_hyperlink_577" tooltip="Перейти" display="Перейти"/>
    <hyperlink ref="E579" r:id="rId_hyperlink_578" tooltip="Перейти" display="Перейти"/>
    <hyperlink ref="E580" r:id="rId_hyperlink_579" tooltip="Перейти" display="Перейти"/>
    <hyperlink ref="E581" r:id="rId_hyperlink_580" tooltip="Перейти" display="Перейти"/>
    <hyperlink ref="E582" r:id="rId_hyperlink_581" tooltip="Перейти" display="Перейти"/>
    <hyperlink ref="E583" r:id="rId_hyperlink_582" tooltip="Перейти" display="Перейти"/>
    <hyperlink ref="E584" r:id="rId_hyperlink_583" tooltip="Перейти" display="Перейти"/>
    <hyperlink ref="E585" r:id="rId_hyperlink_584" tooltip="Перейти" display="Перейти"/>
    <hyperlink ref="E586" r:id="rId_hyperlink_585" tooltip="Перейти" display="Перейти"/>
    <hyperlink ref="E587" r:id="rId_hyperlink_586" tooltip="Перейти" display="Перейти"/>
    <hyperlink ref="E588" r:id="rId_hyperlink_587" tooltip="Перейти" display="Перейти"/>
    <hyperlink ref="E589" r:id="rId_hyperlink_588" tooltip="Перейти" display="Перейти"/>
    <hyperlink ref="E590" r:id="rId_hyperlink_589" tooltip="Перейти" display="Перейти"/>
    <hyperlink ref="E591" r:id="rId_hyperlink_590" tooltip="Перейти" display="Перейти"/>
    <hyperlink ref="E592" r:id="rId_hyperlink_591" tooltip="Перейти" display="Перейти"/>
    <hyperlink ref="E593" r:id="rId_hyperlink_592" tooltip="Перейти" display="Перейти"/>
    <hyperlink ref="E594" r:id="rId_hyperlink_593" tooltip="Перейти" display="Перейти"/>
    <hyperlink ref="E595" r:id="rId_hyperlink_594" tooltip="Перейти" display="Перейти"/>
    <hyperlink ref="E596" r:id="rId_hyperlink_595" tooltip="Перейти" display="Перейти"/>
    <hyperlink ref="E597" r:id="rId_hyperlink_596" tooltip="Перейти" display="Перейти"/>
    <hyperlink ref="E598" r:id="rId_hyperlink_597" tooltip="Перейти" display="Перейти"/>
    <hyperlink ref="E599" r:id="rId_hyperlink_598" tooltip="Перейти" display="Перейти"/>
    <hyperlink ref="E600" r:id="rId_hyperlink_599" tooltip="Перейти" display="Перейти"/>
    <hyperlink ref="E601" r:id="rId_hyperlink_600" tooltip="Перейти" display="Перейти"/>
    <hyperlink ref="E602" r:id="rId_hyperlink_601" tooltip="Перейти" display="Перейти"/>
    <hyperlink ref="E603" r:id="rId_hyperlink_602" tooltip="Перейти" display="Перейти"/>
    <hyperlink ref="E604" r:id="rId_hyperlink_603" tooltip="Перейти" display="Перейти"/>
    <hyperlink ref="E605" r:id="rId_hyperlink_604" tooltip="Перейти" display="Перейти"/>
    <hyperlink ref="E606" r:id="rId_hyperlink_605" tooltip="Перейти" display="Перейти"/>
    <hyperlink ref="E607" r:id="rId_hyperlink_606" tooltip="Перейти" display="Перейти"/>
    <hyperlink ref="E608" r:id="rId_hyperlink_607" tooltip="Перейти" display="Перейти"/>
    <hyperlink ref="E609" r:id="rId_hyperlink_608" tooltip="Перейти" display="Перейти"/>
    <hyperlink ref="E610" r:id="rId_hyperlink_609" tooltip="Перейти" display="Перейти"/>
    <hyperlink ref="E611" r:id="rId_hyperlink_610" tooltip="Перейти" display="Перейти"/>
    <hyperlink ref="E612" r:id="rId_hyperlink_611" tooltip="Перейти" display="Перейти"/>
    <hyperlink ref="E613" r:id="rId_hyperlink_612" tooltip="Перейти" display="Перейти"/>
    <hyperlink ref="E614" r:id="rId_hyperlink_613" tooltip="Перейти" display="Перейти"/>
    <hyperlink ref="E615" r:id="rId_hyperlink_614" tooltip="Перейти" display="Перейти"/>
    <hyperlink ref="E616" r:id="rId_hyperlink_615" tooltip="Перейти" display="Перейти"/>
    <hyperlink ref="E617" r:id="rId_hyperlink_616" tooltip="Перейти" display="Перейти"/>
    <hyperlink ref="E618" r:id="rId_hyperlink_617" tooltip="Перейти" display="Перейти"/>
    <hyperlink ref="E619" r:id="rId_hyperlink_618" tooltip="Перейти" display="Перейти"/>
    <hyperlink ref="E620" r:id="rId_hyperlink_619" tooltip="Перейти" display="Перейти"/>
    <hyperlink ref="E621" r:id="rId_hyperlink_620" tooltip="Перейти" display="Перейти"/>
    <hyperlink ref="E622" r:id="rId_hyperlink_621" tooltip="Перейти" display="Перейти"/>
    <hyperlink ref="E623" r:id="rId_hyperlink_622" tooltip="Перейти" display="Перейти"/>
    <hyperlink ref="E624" r:id="rId_hyperlink_623" tooltip="Перейти" display="Перейти"/>
    <hyperlink ref="E625" r:id="rId_hyperlink_624" tooltip="Перейти" display="Перейти"/>
    <hyperlink ref="E626" r:id="rId_hyperlink_625" tooltip="Перейти" display="Перейти"/>
    <hyperlink ref="E627" r:id="rId_hyperlink_626" tooltip="Перейти" display="Перейти"/>
    <hyperlink ref="E628" r:id="rId_hyperlink_627" tooltip="Перейти" display="Перейти"/>
    <hyperlink ref="E629" r:id="rId_hyperlink_628" tooltip="Перейти" display="Перейти"/>
    <hyperlink ref="E630" r:id="rId_hyperlink_629" tooltip="Перейти" display="Перейти"/>
    <hyperlink ref="E631" r:id="rId_hyperlink_630" tooltip="Перейти" display="Перейти"/>
    <hyperlink ref="E632" r:id="rId_hyperlink_631" tooltip="Перейти" display="Перейти"/>
    <hyperlink ref="E633" r:id="rId_hyperlink_632" tooltip="Перейти" display="Перейти"/>
    <hyperlink ref="E634" r:id="rId_hyperlink_633" tooltip="Перейти" display="Перейти"/>
    <hyperlink ref="E635" r:id="rId_hyperlink_634" tooltip="Перейти" display="Перейти"/>
    <hyperlink ref="E636" r:id="rId_hyperlink_635" tooltip="Перейти" display="Перейти"/>
    <hyperlink ref="E637" r:id="rId_hyperlink_636" tooltip="Перейти" display="Перейти"/>
    <hyperlink ref="E638" r:id="rId_hyperlink_637" tooltip="Перейти" display="Перейти"/>
    <hyperlink ref="E639" r:id="rId_hyperlink_638" tooltip="Перейти" display="Перейти"/>
    <hyperlink ref="E640" r:id="rId_hyperlink_639" tooltip="Перейти" display="Перейти"/>
    <hyperlink ref="E641" r:id="rId_hyperlink_640" tooltip="Перейти" display="Перейти"/>
    <hyperlink ref="E642" r:id="rId_hyperlink_641" tooltip="Перейти" display="Перейти"/>
    <hyperlink ref="E643" r:id="rId_hyperlink_642" tooltip="Перейти" display="Перейти"/>
    <hyperlink ref="E644" r:id="rId_hyperlink_643" tooltip="Перейти" display="Перейти"/>
    <hyperlink ref="E645" r:id="rId_hyperlink_644" tooltip="Перейти" display="Перейти"/>
    <hyperlink ref="E646" r:id="rId_hyperlink_645" tooltip="Перейти" display="Перейти"/>
    <hyperlink ref="E647" r:id="rId_hyperlink_646" tooltip="Перейти" display="Перейти"/>
    <hyperlink ref="E648" r:id="rId_hyperlink_647" tooltip="Перейти" display="Перейти"/>
    <hyperlink ref="E649" r:id="rId_hyperlink_648" tooltip="Перейти" display="Перейти"/>
    <hyperlink ref="E650" r:id="rId_hyperlink_649" tooltip="Перейти" display="Перейти"/>
    <hyperlink ref="E651" r:id="rId_hyperlink_650" tooltip="Перейти" display="Перейти"/>
    <hyperlink ref="E652" r:id="rId_hyperlink_651" tooltip="Перейти" display="Перейти"/>
    <hyperlink ref="E653" r:id="rId_hyperlink_652" tooltip="Перейти" display="Перейти"/>
    <hyperlink ref="E654" r:id="rId_hyperlink_653" tooltip="Перейти" display="Перейти"/>
    <hyperlink ref="E655" r:id="rId_hyperlink_654" tooltip="Перейти" display="Перейти"/>
    <hyperlink ref="E656" r:id="rId_hyperlink_655" tooltip="Перейти" display="Перейти"/>
    <hyperlink ref="E657" r:id="rId_hyperlink_656" tooltip="Перейти" display="Перейти"/>
    <hyperlink ref="E658" r:id="rId_hyperlink_657" tooltip="Перейти" display="Перейти"/>
    <hyperlink ref="E659" r:id="rId_hyperlink_658" tooltip="Перейти" display="Перейти"/>
    <hyperlink ref="E660" r:id="rId_hyperlink_659" tooltip="Перейти" display="Перейти"/>
    <hyperlink ref="E661" r:id="rId_hyperlink_660" tooltip="Перейти" display="Перейти"/>
    <hyperlink ref="E662" r:id="rId_hyperlink_661" tooltip="Перейти" display="Перейти"/>
    <hyperlink ref="E663" r:id="rId_hyperlink_662" tooltip="Перейти" display="Перейти"/>
    <hyperlink ref="E664" r:id="rId_hyperlink_663" tooltip="Перейти" display="Перейти"/>
    <hyperlink ref="E665" r:id="rId_hyperlink_664" tooltip="Перейти" display="Перейти"/>
    <hyperlink ref="E666" r:id="rId_hyperlink_665" tooltip="Перейти" display="Перейти"/>
    <hyperlink ref="E667" r:id="rId_hyperlink_666" tooltip="Перейти" display="Перейти"/>
    <hyperlink ref="E668" r:id="rId_hyperlink_667" tooltip="Перейти" display="Перейти"/>
    <hyperlink ref="E669" r:id="rId_hyperlink_668" tooltip="Перейти" display="Перейти"/>
    <hyperlink ref="E670" r:id="rId_hyperlink_669" tooltip="Перейти" display="Перейти"/>
    <hyperlink ref="E671" r:id="rId_hyperlink_670" tooltip="Перейти" display="Перейти"/>
    <hyperlink ref="E672" r:id="rId_hyperlink_671" tooltip="Перейти" display="Перейти"/>
    <hyperlink ref="E673" r:id="rId_hyperlink_672" tooltip="Перейти" display="Перейти"/>
    <hyperlink ref="E674" r:id="rId_hyperlink_673" tooltip="Перейти" display="Перейти"/>
    <hyperlink ref="E675" r:id="rId_hyperlink_674" tooltip="Перейти" display="Перейти"/>
    <hyperlink ref="E676" r:id="rId_hyperlink_675" tooltip="Перейти" display="Перейти"/>
    <hyperlink ref="E677" r:id="rId_hyperlink_676" tooltip="Перейти" display="Перейти"/>
    <hyperlink ref="E678" r:id="rId_hyperlink_677" tooltip="Перейти" display="Перейти"/>
    <hyperlink ref="E679" r:id="rId_hyperlink_678" tooltip="Перейти" display="Перейти"/>
    <hyperlink ref="E680" r:id="rId_hyperlink_679" tooltip="Перейти" display="Перейти"/>
    <hyperlink ref="E681" r:id="rId_hyperlink_680" tooltip="Перейти" display="Перейти"/>
    <hyperlink ref="E682" r:id="rId_hyperlink_681" tooltip="Перейти" display="Перейти"/>
    <hyperlink ref="E683" r:id="rId_hyperlink_682" tooltip="Перейти" display="Перейти"/>
    <hyperlink ref="E684" r:id="rId_hyperlink_683" tooltip="Перейти" display="Перейти"/>
    <hyperlink ref="E685" r:id="rId_hyperlink_684" tooltip="Перейти" display="Перейти"/>
    <hyperlink ref="E686" r:id="rId_hyperlink_685" tooltip="Перейти" display="Перейти"/>
    <hyperlink ref="E687" r:id="rId_hyperlink_686" tooltip="Перейти" display="Перейти"/>
    <hyperlink ref="E688" r:id="rId_hyperlink_687" tooltip="Перейти" display="Перейти"/>
    <hyperlink ref="E689" r:id="rId_hyperlink_688" tooltip="Перейти" display="Перейти"/>
    <hyperlink ref="E690" r:id="rId_hyperlink_689" tooltip="Перейти" display="Перейти"/>
    <hyperlink ref="E691" r:id="rId_hyperlink_690" tooltip="Перейти" display="Перейти"/>
    <hyperlink ref="E692" r:id="rId_hyperlink_691" tooltip="Перейти" display="Перейти"/>
    <hyperlink ref="E693" r:id="rId_hyperlink_692" tooltip="Перейти" display="Перейти"/>
    <hyperlink ref="E694" r:id="rId_hyperlink_693" tooltip="Перейти" display="Перейти"/>
    <hyperlink ref="E695" r:id="rId_hyperlink_694" tooltip="Перейти" display="Перейти"/>
    <hyperlink ref="E696" r:id="rId_hyperlink_695" tooltip="Перейти" display="Перейти"/>
    <hyperlink ref="E697" r:id="rId_hyperlink_696" tooltip="Перейти" display="Перейти"/>
    <hyperlink ref="E698" r:id="rId_hyperlink_697" tooltip="Перейти" display="Перейти"/>
    <hyperlink ref="E699" r:id="rId_hyperlink_698" tooltip="Перейти" display="Перейти"/>
    <hyperlink ref="E700" r:id="rId_hyperlink_699" tooltip="Перейти" display="Перейти"/>
    <hyperlink ref="E701" r:id="rId_hyperlink_700" tooltip="Перейти" display="Перейти"/>
    <hyperlink ref="E702" r:id="rId_hyperlink_701" tooltip="Перейти" display="Перейти"/>
    <hyperlink ref="E703" r:id="rId_hyperlink_702" tooltip="Перейти" display="Перейти"/>
    <hyperlink ref="E704" r:id="rId_hyperlink_703" tooltip="Перейти" display="Перейти"/>
    <hyperlink ref="E705" r:id="rId_hyperlink_704" tooltip="Перейти" display="Перейти"/>
    <hyperlink ref="E706" r:id="rId_hyperlink_705" tooltip="Перейти" display="Перейти"/>
    <hyperlink ref="E707" r:id="rId_hyperlink_706" tooltip="Перейти" display="Перейти"/>
    <hyperlink ref="E708" r:id="rId_hyperlink_707" tooltip="Перейти" display="Перейти"/>
    <hyperlink ref="E709" r:id="rId_hyperlink_708" tooltip="Перейти" display="Перейти"/>
    <hyperlink ref="E710" r:id="rId_hyperlink_709" tooltip="Перейти" display="Перейти"/>
    <hyperlink ref="E711" r:id="rId_hyperlink_710" tooltip="Перейти" display="Перейти"/>
    <hyperlink ref="E712" r:id="rId_hyperlink_711" tooltip="Перейти" display="Перейти"/>
    <hyperlink ref="E713" r:id="rId_hyperlink_712" tooltip="Перейти" display="Перейти"/>
    <hyperlink ref="E714" r:id="rId_hyperlink_713" tooltip="Перейти" display="Перейти"/>
    <hyperlink ref="E715" r:id="rId_hyperlink_714" tooltip="Перейти" display="Перейти"/>
    <hyperlink ref="E716" r:id="rId_hyperlink_715" tooltip="Перейти" display="Перейти"/>
    <hyperlink ref="E717" r:id="rId_hyperlink_716" tooltip="Перейти" display="Перейти"/>
    <hyperlink ref="E718" r:id="rId_hyperlink_717" tooltip="Перейти" display="Перейти"/>
    <hyperlink ref="E719" r:id="rId_hyperlink_718" tooltip="Перейти" display="Перейти"/>
    <hyperlink ref="E720" r:id="rId_hyperlink_719" tooltip="Перейти" display="Перейти"/>
    <hyperlink ref="E721" r:id="rId_hyperlink_720" tooltip="Перейти" display="Перейти"/>
    <hyperlink ref="E722" r:id="rId_hyperlink_721" tooltip="Перейти" display="Перейти"/>
    <hyperlink ref="E723" r:id="rId_hyperlink_722" tooltip="Перейти" display="Перейти"/>
    <hyperlink ref="E724" r:id="rId_hyperlink_723" tooltip="Перейти" display="Перейти"/>
    <hyperlink ref="E725" r:id="rId_hyperlink_724" tooltip="Перейти" display="Перейти"/>
    <hyperlink ref="E726" r:id="rId_hyperlink_725" tooltip="Перейти" display="Перейти"/>
    <hyperlink ref="E727" r:id="rId_hyperlink_726" tooltip="Перейти" display="Перейти"/>
    <hyperlink ref="E728" r:id="rId_hyperlink_727" tooltip="Перейти" display="Перейти"/>
    <hyperlink ref="E729" r:id="rId_hyperlink_728" tooltip="Перейти" display="Перейти"/>
    <hyperlink ref="E730" r:id="rId_hyperlink_729" tooltip="Перейти" display="Перейти"/>
    <hyperlink ref="E731" r:id="rId_hyperlink_730" tooltip="Перейти" display="Перейти"/>
    <hyperlink ref="E732" r:id="rId_hyperlink_731" tooltip="Перейти" display="Перейти"/>
    <hyperlink ref="E733" r:id="rId_hyperlink_732" tooltip="Перейти" display="Перейти"/>
    <hyperlink ref="E734" r:id="rId_hyperlink_733" tooltip="Перейти" display="Перейти"/>
    <hyperlink ref="E735" r:id="rId_hyperlink_734" tooltip="Перейти" display="Перейти"/>
    <hyperlink ref="E736" r:id="rId_hyperlink_735" tooltip="Перейти" display="Перейти"/>
    <hyperlink ref="E737" r:id="rId_hyperlink_736" tooltip="Перейти" display="Перейти"/>
    <hyperlink ref="E738" r:id="rId_hyperlink_737" tooltip="Перейти" display="Перейти"/>
    <hyperlink ref="E739" r:id="rId_hyperlink_738" tooltip="Перейти" display="Перейти"/>
    <hyperlink ref="E740" r:id="rId_hyperlink_739" tooltip="Перейти" display="Перейти"/>
    <hyperlink ref="E741" r:id="rId_hyperlink_740" tooltip="Перейти" display="Перейти"/>
    <hyperlink ref="E742" r:id="rId_hyperlink_741" tooltip="Перейти" display="Перейти"/>
    <hyperlink ref="E743" r:id="rId_hyperlink_742" tooltip="Перейти" display="Перейти"/>
    <hyperlink ref="E744" r:id="rId_hyperlink_743" tooltip="Перейти" display="Перейти"/>
    <hyperlink ref="E745" r:id="rId_hyperlink_744" tooltip="Перейти" display="Перейти"/>
    <hyperlink ref="E746" r:id="rId_hyperlink_745" tooltip="Перейти" display="Перейти"/>
    <hyperlink ref="E747" r:id="rId_hyperlink_746" tooltip="Перейти" display="Перейти"/>
    <hyperlink ref="E748" r:id="rId_hyperlink_747" tooltip="Перейти" display="Перейти"/>
    <hyperlink ref="E749" r:id="rId_hyperlink_748" tooltip="Перейти" display="Перейти"/>
    <hyperlink ref="E750" r:id="rId_hyperlink_749" tooltip="Перейти" display="Перейти"/>
    <hyperlink ref="E751" r:id="rId_hyperlink_750" tooltip="Перейти" display="Перейти"/>
    <hyperlink ref="E752" r:id="rId_hyperlink_751" tooltip="Перейти" display="Перейти"/>
    <hyperlink ref="E753" r:id="rId_hyperlink_752" tooltip="Перейти" display="Перейти"/>
    <hyperlink ref="E754" r:id="rId_hyperlink_753" tooltip="Перейти" display="Перейти"/>
    <hyperlink ref="E755" r:id="rId_hyperlink_754" tooltip="Перейти" display="Перейти"/>
    <hyperlink ref="E756" r:id="rId_hyperlink_755" tooltip="Перейти" display="Перейти"/>
    <hyperlink ref="E757" r:id="rId_hyperlink_756" tooltip="Перейти" display="Перейти"/>
    <hyperlink ref="E758" r:id="rId_hyperlink_757" tooltip="Перейти" display="Перейти"/>
    <hyperlink ref="E759" r:id="rId_hyperlink_758" tooltip="Перейти" display="Перейти"/>
    <hyperlink ref="E760" r:id="rId_hyperlink_759" tooltip="Перейти" display="Перейти"/>
    <hyperlink ref="E761" r:id="rId_hyperlink_760" tooltip="Перейти" display="Перейти"/>
    <hyperlink ref="E762" r:id="rId_hyperlink_761" tooltip="Перейти" display="Перейти"/>
    <hyperlink ref="E763" r:id="rId_hyperlink_762" tooltip="Перейти" display="Перейти"/>
    <hyperlink ref="E764" r:id="rId_hyperlink_763" tooltip="Перейти" display="Перейти"/>
    <hyperlink ref="E765" r:id="rId_hyperlink_764" tooltip="Перейти" display="Перейти"/>
    <hyperlink ref="E766" r:id="rId_hyperlink_765" tooltip="Перейти" display="Перейти"/>
    <hyperlink ref="E767" r:id="rId_hyperlink_766" tooltip="Перейти" display="Перейти"/>
    <hyperlink ref="E768" r:id="rId_hyperlink_767" tooltip="Перейти" display="Перейти"/>
    <hyperlink ref="E769" r:id="rId_hyperlink_768" tooltip="Перейти" display="Перейти"/>
    <hyperlink ref="E770" r:id="rId_hyperlink_769" tooltip="Перейти" display="Перейти"/>
    <hyperlink ref="E771" r:id="rId_hyperlink_770" tooltip="Перейти" display="Перейти"/>
    <hyperlink ref="E772" r:id="rId_hyperlink_771" tooltip="Перейти" display="Перейти"/>
    <hyperlink ref="E773" r:id="rId_hyperlink_772" tooltip="Перейти" display="Перейти"/>
    <hyperlink ref="E774" r:id="rId_hyperlink_773" tooltip="Перейти" display="Перейти"/>
    <hyperlink ref="E775" r:id="rId_hyperlink_774" tooltip="Перейти" display="Перейти"/>
    <hyperlink ref="E776" r:id="rId_hyperlink_775" tooltip="Перейти" display="Перейти"/>
    <hyperlink ref="E777" r:id="rId_hyperlink_776" tooltip="Перейти" display="Перейти"/>
    <hyperlink ref="E778" r:id="rId_hyperlink_777" tooltip="Перейти" display="Перейти"/>
    <hyperlink ref="E779" r:id="rId_hyperlink_778" tooltip="Перейти" display="Перейти"/>
    <hyperlink ref="E780" r:id="rId_hyperlink_779" tooltip="Перейти" display="Перейти"/>
    <hyperlink ref="E781" r:id="rId_hyperlink_780" tooltip="Перейти" display="Перейти"/>
    <hyperlink ref="E782" r:id="rId_hyperlink_781" tooltip="Перейти" display="Перейти"/>
    <hyperlink ref="E783" r:id="rId_hyperlink_782" tooltip="Перейти" display="Перейти"/>
    <hyperlink ref="E784" r:id="rId_hyperlink_783" tooltip="Перейти" display="Перейти"/>
    <hyperlink ref="E785" r:id="rId_hyperlink_784" tooltip="Перейти" display="Перейти"/>
    <hyperlink ref="E786" r:id="rId_hyperlink_785" tooltip="Перейти" display="Перейти"/>
    <hyperlink ref="E787" r:id="rId_hyperlink_786" tooltip="Перейти" display="Перейти"/>
    <hyperlink ref="E788" r:id="rId_hyperlink_787" tooltip="Перейти" display="Перейти"/>
    <hyperlink ref="E789" r:id="rId_hyperlink_788" tooltip="Перейти" display="Перейти"/>
    <hyperlink ref="E790" r:id="rId_hyperlink_789" tooltip="Перейти" display="Перейти"/>
    <hyperlink ref="E791" r:id="rId_hyperlink_790" tooltip="Перейти" display="Перейти"/>
    <hyperlink ref="E792" r:id="rId_hyperlink_791" tooltip="Перейти" display="Перейти"/>
    <hyperlink ref="E793" r:id="rId_hyperlink_792" tooltip="Перейти" display="Перейти"/>
    <hyperlink ref="E794" r:id="rId_hyperlink_793" tooltip="Перейти" display="Перейти"/>
    <hyperlink ref="E795" r:id="rId_hyperlink_794" tooltip="Перейти" display="Перейти"/>
    <hyperlink ref="E796" r:id="rId_hyperlink_795" tooltip="Перейти" display="Перейти"/>
    <hyperlink ref="E797" r:id="rId_hyperlink_796" tooltip="Перейти" display="Перейти"/>
    <hyperlink ref="E798" r:id="rId_hyperlink_797" tooltip="Перейти" display="Перейти"/>
    <hyperlink ref="E799" r:id="rId_hyperlink_798" tooltip="Перейти" display="Перейти"/>
    <hyperlink ref="E800" r:id="rId_hyperlink_799" tooltip="Перейти" display="Перейти"/>
    <hyperlink ref="E801" r:id="rId_hyperlink_800" tooltip="Перейти" display="Перейти"/>
    <hyperlink ref="E802" r:id="rId_hyperlink_801" tooltip="Перейти" display="Перейти"/>
    <hyperlink ref="E803" r:id="rId_hyperlink_802" tooltip="Перейти" display="Перейти"/>
    <hyperlink ref="E804" r:id="rId_hyperlink_803" tooltip="Перейти" display="Перейти"/>
    <hyperlink ref="E805" r:id="rId_hyperlink_804" tooltip="Перейти" display="Перейти"/>
    <hyperlink ref="E806" r:id="rId_hyperlink_805" tooltip="Перейти" display="Перейти"/>
    <hyperlink ref="E807" r:id="rId_hyperlink_806" tooltip="Перейти" display="Перейти"/>
    <hyperlink ref="E808" r:id="rId_hyperlink_807" tooltip="Перейти" display="Перейти"/>
    <hyperlink ref="E809" r:id="rId_hyperlink_808" tooltip="Перейти" display="Перейти"/>
    <hyperlink ref="E810" r:id="rId_hyperlink_809" tooltip="Перейти" display="Перейти"/>
    <hyperlink ref="E811" r:id="rId_hyperlink_810" tooltip="Перейти" display="Перейти"/>
    <hyperlink ref="E812" r:id="rId_hyperlink_811" tooltip="Перейти" display="Перейти"/>
    <hyperlink ref="E813" r:id="rId_hyperlink_812" tooltip="Перейти" display="Перейти"/>
    <hyperlink ref="E814" r:id="rId_hyperlink_813" tooltip="Перейти" display="Перейти"/>
    <hyperlink ref="E815" r:id="rId_hyperlink_814" tooltip="Перейти" display="Перейти"/>
    <hyperlink ref="E816" r:id="rId_hyperlink_815" tooltip="Перейти" display="Перейти"/>
    <hyperlink ref="E817" r:id="rId_hyperlink_816" tooltip="Перейти" display="Перейти"/>
    <hyperlink ref="E818" r:id="rId_hyperlink_817" tooltip="Перейти" display="Перейти"/>
    <hyperlink ref="E819" r:id="rId_hyperlink_818" tooltip="Перейти" display="Перейти"/>
    <hyperlink ref="E820" r:id="rId_hyperlink_819" tooltip="Перейти" display="Перейти"/>
    <hyperlink ref="E821" r:id="rId_hyperlink_820" tooltip="Перейти" display="Перейти"/>
    <hyperlink ref="E822" r:id="rId_hyperlink_821" tooltip="Перейти" display="Перейти"/>
    <hyperlink ref="E823" r:id="rId_hyperlink_822" tooltip="Перейти" display="Перейти"/>
    <hyperlink ref="E824" r:id="rId_hyperlink_823" tooltip="Перейти" display="Перейти"/>
    <hyperlink ref="E825" r:id="rId_hyperlink_824" tooltip="Перейти" display="Перейти"/>
    <hyperlink ref="E826" r:id="rId_hyperlink_825" tooltip="Перейти" display="Перейти"/>
    <hyperlink ref="E827" r:id="rId_hyperlink_826" tooltip="Перейти" display="Перейти"/>
    <hyperlink ref="E828" r:id="rId_hyperlink_827" tooltip="Перейти" display="Перейти"/>
    <hyperlink ref="E829" r:id="rId_hyperlink_828" tooltip="Перейти" display="Перейти"/>
    <hyperlink ref="E830" r:id="rId_hyperlink_829" tooltip="Перейти" display="Перейти"/>
    <hyperlink ref="E831" r:id="rId_hyperlink_830" tooltip="Перейти" display="Перейти"/>
    <hyperlink ref="E832" r:id="rId_hyperlink_831" tooltip="Перейти" display="Перейти"/>
    <hyperlink ref="E833" r:id="rId_hyperlink_832" tooltip="Перейти" display="Перейти"/>
    <hyperlink ref="E834" r:id="rId_hyperlink_833" tooltip="Перейти" display="Перейти"/>
    <hyperlink ref="E835" r:id="rId_hyperlink_834" tooltip="Перейти" display="Перейти"/>
    <hyperlink ref="E836" r:id="rId_hyperlink_835" tooltip="Перейти" display="Перейти"/>
    <hyperlink ref="E837" r:id="rId_hyperlink_836" tooltip="Перейти" display="Перейти"/>
    <hyperlink ref="E838" r:id="rId_hyperlink_837" tooltip="Перейти" display="Перейти"/>
    <hyperlink ref="E839" r:id="rId_hyperlink_838" tooltip="Перейти" display="Перейти"/>
    <hyperlink ref="E840" r:id="rId_hyperlink_839" tooltip="Перейти" display="Перейти"/>
    <hyperlink ref="E841" r:id="rId_hyperlink_840" tooltip="Перейти" display="Перейти"/>
    <hyperlink ref="E842" r:id="rId_hyperlink_841" tooltip="Перейти" display="Перейти"/>
    <hyperlink ref="E843" r:id="rId_hyperlink_842" tooltip="Перейти" display="Перейти"/>
    <hyperlink ref="E844" r:id="rId_hyperlink_843" tooltip="Перейти" display="Перейти"/>
    <hyperlink ref="E845" r:id="rId_hyperlink_844" tooltip="Перейти" display="Перейти"/>
    <hyperlink ref="E846" r:id="rId_hyperlink_845" tooltip="Перейти" display="Перейти"/>
    <hyperlink ref="E847" r:id="rId_hyperlink_846" tooltip="Перейти" display="Перейти"/>
    <hyperlink ref="E848" r:id="rId_hyperlink_847" tooltip="Перейти" display="Перейти"/>
    <hyperlink ref="E849" r:id="rId_hyperlink_848" tooltip="Перейти" display="Перейти"/>
    <hyperlink ref="E850" r:id="rId_hyperlink_849" tooltip="Перейти" display="Перейти"/>
    <hyperlink ref="E851" r:id="rId_hyperlink_850" tooltip="Перейти" display="Перейти"/>
    <hyperlink ref="E852" r:id="rId_hyperlink_851" tooltip="Перейти" display="Перейти"/>
    <hyperlink ref="E853" r:id="rId_hyperlink_852" tooltip="Перейти" display="Перейти"/>
    <hyperlink ref="E854" r:id="rId_hyperlink_853" tooltip="Перейти" display="Перейти"/>
    <hyperlink ref="E855" r:id="rId_hyperlink_854" tooltip="Перейти" display="Перейти"/>
    <hyperlink ref="E856" r:id="rId_hyperlink_855" tooltip="Перейти" display="Перейти"/>
    <hyperlink ref="E857" r:id="rId_hyperlink_856" tooltip="Перейти" display="Перейти"/>
    <hyperlink ref="E858" r:id="rId_hyperlink_857" tooltip="Перейти" display="Перейти"/>
    <hyperlink ref="E859" r:id="rId_hyperlink_858" tooltip="Перейти" display="Перейти"/>
    <hyperlink ref="E860" r:id="rId_hyperlink_859" tooltip="Перейти" display="Перейти"/>
    <hyperlink ref="E861" r:id="rId_hyperlink_860" tooltip="Перейти" display="Перейти"/>
    <hyperlink ref="E862" r:id="rId_hyperlink_861" tooltip="Перейти" display="Перейти"/>
    <hyperlink ref="E863" r:id="rId_hyperlink_862" tooltip="Перейти" display="Перейти"/>
    <hyperlink ref="E864" r:id="rId_hyperlink_863" tooltip="Перейти" display="Перейти"/>
    <hyperlink ref="E865" r:id="rId_hyperlink_864" tooltip="Перейти" display="Перейти"/>
    <hyperlink ref="E866" r:id="rId_hyperlink_865" tooltip="Перейти" display="Перейти"/>
    <hyperlink ref="E867" r:id="rId_hyperlink_866" tooltip="Перейти" display="Перейти"/>
    <hyperlink ref="E868" r:id="rId_hyperlink_867" tooltip="Перейти" display="Перейти"/>
    <hyperlink ref="E869" r:id="rId_hyperlink_868" tooltip="Перейти" display="Перейти"/>
    <hyperlink ref="E870" r:id="rId_hyperlink_869" tooltip="Перейти" display="Перейти"/>
    <hyperlink ref="E871" r:id="rId_hyperlink_870" tooltip="Перейти" display="Перейти"/>
    <hyperlink ref="E872" r:id="rId_hyperlink_871" tooltip="Перейти" display="Перейти"/>
    <hyperlink ref="E873" r:id="rId_hyperlink_872" tooltip="Перейти" display="Перейти"/>
    <hyperlink ref="E874" r:id="rId_hyperlink_873" tooltip="Перейти" display="Перейти"/>
    <hyperlink ref="E875" r:id="rId_hyperlink_874" tooltip="Перейти" display="Перейти"/>
    <hyperlink ref="E876" r:id="rId_hyperlink_875" tooltip="Перейти" display="Перейти"/>
    <hyperlink ref="E877" r:id="rId_hyperlink_876" tooltip="Перейти" display="Перейти"/>
    <hyperlink ref="E878" r:id="rId_hyperlink_877" tooltip="Перейти" display="Перейти"/>
    <hyperlink ref="E879" r:id="rId_hyperlink_878" tooltip="Перейти" display="Перейти"/>
    <hyperlink ref="E880" r:id="rId_hyperlink_879" tooltip="Перейти" display="Перейти"/>
    <hyperlink ref="E881" r:id="rId_hyperlink_880" tooltip="Перейти" display="Перейти"/>
    <hyperlink ref="E882" r:id="rId_hyperlink_881" tooltip="Перейти" display="Перейти"/>
    <hyperlink ref="E883" r:id="rId_hyperlink_882" tooltip="Перейти" display="Перейти"/>
    <hyperlink ref="E884" r:id="rId_hyperlink_883" tooltip="Перейти" display="Перейти"/>
    <hyperlink ref="E885" r:id="rId_hyperlink_884" tooltip="Перейти" display="Перейти"/>
    <hyperlink ref="E886" r:id="rId_hyperlink_885" tooltip="Перейти" display="Перейти"/>
    <hyperlink ref="E887" r:id="rId_hyperlink_886" tooltip="Перейти" display="Перейти"/>
    <hyperlink ref="E888" r:id="rId_hyperlink_887" tooltip="Перейти" display="Перейти"/>
    <hyperlink ref="E889" r:id="rId_hyperlink_888" tooltip="Перейти" display="Перейти"/>
    <hyperlink ref="E890" r:id="rId_hyperlink_889" tooltip="Перейти" display="Перейти"/>
    <hyperlink ref="E891" r:id="rId_hyperlink_890" tooltip="Перейти" display="Перейти"/>
    <hyperlink ref="E892" r:id="rId_hyperlink_891" tooltip="Перейти" display="Перейти"/>
    <hyperlink ref="E893" r:id="rId_hyperlink_892" tooltip="Перейти" display="Перейти"/>
    <hyperlink ref="E894" r:id="rId_hyperlink_893" tooltip="Перейти" display="Перейти"/>
    <hyperlink ref="E895" r:id="rId_hyperlink_894" tooltip="Перейти" display="Перейти"/>
    <hyperlink ref="E896" r:id="rId_hyperlink_895" tooltip="Перейти" display="Перейти"/>
    <hyperlink ref="E897" r:id="rId_hyperlink_896" tooltip="Перейти" display="Перейти"/>
    <hyperlink ref="E898" r:id="rId_hyperlink_897" tooltip="Перейти" display="Перейти"/>
    <hyperlink ref="E899" r:id="rId_hyperlink_898" tooltip="Перейти" display="Перейти"/>
    <hyperlink ref="E900" r:id="rId_hyperlink_899" tooltip="Перейти" display="Перейти"/>
    <hyperlink ref="E901" r:id="rId_hyperlink_900" tooltip="Перейти" display="Перейти"/>
    <hyperlink ref="E902" r:id="rId_hyperlink_901" tooltip="Перейти" display="Перейти"/>
    <hyperlink ref="E903" r:id="rId_hyperlink_902" tooltip="Перейти" display="Перейти"/>
    <hyperlink ref="E904" r:id="rId_hyperlink_903" tooltip="Перейти" display="Перейти"/>
    <hyperlink ref="E905" r:id="rId_hyperlink_904" tooltip="Перейти" display="Перейти"/>
    <hyperlink ref="E906" r:id="rId_hyperlink_905" tooltip="Перейти" display="Перейти"/>
    <hyperlink ref="E907" r:id="rId_hyperlink_906" tooltip="Перейти" display="Перейти"/>
    <hyperlink ref="E908" r:id="rId_hyperlink_907" tooltip="Перейти" display="Перейти"/>
    <hyperlink ref="E909" r:id="rId_hyperlink_908" tooltip="Перейти" display="Перейти"/>
    <hyperlink ref="E910" r:id="rId_hyperlink_909" tooltip="Перейти" display="Перейти"/>
    <hyperlink ref="E911" r:id="rId_hyperlink_910" tooltip="Перейти" display="Перейти"/>
    <hyperlink ref="E912" r:id="rId_hyperlink_911" tooltip="Перейти" display="Перейти"/>
    <hyperlink ref="E913" r:id="rId_hyperlink_912" tooltip="Перейти" display="Перейти"/>
    <hyperlink ref="E914" r:id="rId_hyperlink_913" tooltip="Перейти" display="Перейти"/>
    <hyperlink ref="E915" r:id="rId_hyperlink_914" tooltip="Перейти" display="Перейти"/>
    <hyperlink ref="E916" r:id="rId_hyperlink_915" tooltip="Перейти" display="Перейти"/>
    <hyperlink ref="E917" r:id="rId_hyperlink_916" tooltip="Перейти" display="Перейти"/>
    <hyperlink ref="E918" r:id="rId_hyperlink_917" tooltip="Перейти" display="Перейти"/>
    <hyperlink ref="E919" r:id="rId_hyperlink_918" tooltip="Перейти" display="Перейти"/>
    <hyperlink ref="E920" r:id="rId_hyperlink_919" tooltip="Перейти" display="Перейти"/>
    <hyperlink ref="E921" r:id="rId_hyperlink_920" tooltip="Перейти" display="Перейти"/>
    <hyperlink ref="E922" r:id="rId_hyperlink_921" tooltip="Перейти" display="Перейти"/>
    <hyperlink ref="E923" r:id="rId_hyperlink_922" tooltip="Перейти" display="Перейти"/>
    <hyperlink ref="E924" r:id="rId_hyperlink_923" tooltip="Перейти" display="Перейти"/>
    <hyperlink ref="E925" r:id="rId_hyperlink_924" tooltip="Перейти" display="Перейти"/>
    <hyperlink ref="E926" r:id="rId_hyperlink_925" tooltip="Перейти" display="Перейти"/>
    <hyperlink ref="E927" r:id="rId_hyperlink_926" tooltip="Перейти" display="Перейти"/>
    <hyperlink ref="E928" r:id="rId_hyperlink_927" tooltip="Перейти" display="Перейти"/>
    <hyperlink ref="E929" r:id="rId_hyperlink_928" tooltip="Перейти" display="Перейти"/>
    <hyperlink ref="E930" r:id="rId_hyperlink_929" tooltip="Перейти" display="Перейти"/>
    <hyperlink ref="E931" r:id="rId_hyperlink_930" tooltip="Перейти" display="Перейти"/>
    <hyperlink ref="E932" r:id="rId_hyperlink_931" tooltip="Перейти" display="Перейти"/>
    <hyperlink ref="E933" r:id="rId_hyperlink_932" tooltip="Перейти" display="Перейти"/>
    <hyperlink ref="E934" r:id="rId_hyperlink_933" tooltip="Перейти" display="Перейти"/>
    <hyperlink ref="E935" r:id="rId_hyperlink_934" tooltip="Перейти" display="Перейти"/>
    <hyperlink ref="E936" r:id="rId_hyperlink_935" tooltip="Перейти" display="Перейти"/>
    <hyperlink ref="E937" r:id="rId_hyperlink_936" tooltip="Перейти" display="Перейти"/>
    <hyperlink ref="E938" r:id="rId_hyperlink_937" tooltip="Перейти" display="Перейти"/>
    <hyperlink ref="E939" r:id="rId_hyperlink_938" tooltip="Перейти" display="Перейти"/>
    <hyperlink ref="E940" r:id="rId_hyperlink_939" tooltip="Перейти" display="Перейти"/>
    <hyperlink ref="E941" r:id="rId_hyperlink_940" tooltip="Перейти" display="Перейти"/>
    <hyperlink ref="E942" r:id="rId_hyperlink_941" tooltip="Перейти" display="Перейти"/>
    <hyperlink ref="E943" r:id="rId_hyperlink_942" tooltip="Перейти" display="Перейти"/>
    <hyperlink ref="E944" r:id="rId_hyperlink_943" tooltip="Перейти" display="Перейти"/>
    <hyperlink ref="E945" r:id="rId_hyperlink_944" tooltip="Перейти" display="Перейти"/>
    <hyperlink ref="E946" r:id="rId_hyperlink_945" tooltip="Перейти" display="Перейти"/>
    <hyperlink ref="E947" r:id="rId_hyperlink_946" tooltip="Перейти" display="Перейти"/>
    <hyperlink ref="E948" r:id="rId_hyperlink_947" tooltip="Перейти" display="Перейти"/>
    <hyperlink ref="E949" r:id="rId_hyperlink_948" tooltip="Перейти" display="Перейти"/>
    <hyperlink ref="E950" r:id="rId_hyperlink_949" tooltip="Перейти" display="Перейти"/>
    <hyperlink ref="E951" r:id="rId_hyperlink_950" tooltip="Перейти" display="Перейти"/>
    <hyperlink ref="E952" r:id="rId_hyperlink_951" tooltip="Перейти" display="Перейти"/>
    <hyperlink ref="E953" r:id="rId_hyperlink_952" tooltip="Перейти" display="Перейти"/>
    <hyperlink ref="E954" r:id="rId_hyperlink_953" tooltip="Перейти" display="Перейти"/>
    <hyperlink ref="E955" r:id="rId_hyperlink_954" tooltip="Перейти" display="Перейти"/>
    <hyperlink ref="E956" r:id="rId_hyperlink_955" tooltip="Перейти" display="Перейти"/>
    <hyperlink ref="E957" r:id="rId_hyperlink_956" tooltip="Перейти" display="Перейти"/>
    <hyperlink ref="E958" r:id="rId_hyperlink_957" tooltip="Перейти" display="Перейти"/>
    <hyperlink ref="E959" r:id="rId_hyperlink_958" tooltip="Перейти" display="Перейти"/>
    <hyperlink ref="E960" r:id="rId_hyperlink_959" tooltip="Перейти" display="Перейти"/>
    <hyperlink ref="E961" r:id="rId_hyperlink_960" tooltip="Перейти" display="Перейти"/>
    <hyperlink ref="E962" r:id="rId_hyperlink_961" tooltip="Перейти" display="Перейти"/>
    <hyperlink ref="E963" r:id="rId_hyperlink_962" tooltip="Перейти" display="Перейти"/>
    <hyperlink ref="E964" r:id="rId_hyperlink_963" tooltip="Перейти" display="Перейти"/>
    <hyperlink ref="E965" r:id="rId_hyperlink_964" tooltip="Перейти" display="Перейти"/>
    <hyperlink ref="E966" r:id="rId_hyperlink_965" tooltip="Перейти" display="Перейти"/>
    <hyperlink ref="E967" r:id="rId_hyperlink_966" tooltip="Перейти" display="Перейти"/>
    <hyperlink ref="E968" r:id="rId_hyperlink_967" tooltip="Перейти" display="Перейти"/>
    <hyperlink ref="E969" r:id="rId_hyperlink_968" tooltip="Перейти" display="Перейти"/>
    <hyperlink ref="E970" r:id="rId_hyperlink_969" tooltip="Перейти" display="Перейти"/>
    <hyperlink ref="E971" r:id="rId_hyperlink_970" tooltip="Перейти" display="Перейти"/>
    <hyperlink ref="E972" r:id="rId_hyperlink_971" tooltip="Перейти" display="Перейти"/>
    <hyperlink ref="E973" r:id="rId_hyperlink_972" tooltip="Перейти" display="Перейти"/>
    <hyperlink ref="E974" r:id="rId_hyperlink_973" tooltip="Перейти" display="Перейти"/>
    <hyperlink ref="E975" r:id="rId_hyperlink_974" tooltip="Перейти" display="Перейти"/>
    <hyperlink ref="E976" r:id="rId_hyperlink_975" tooltip="Перейти" display="Перейти"/>
    <hyperlink ref="E977" r:id="rId_hyperlink_976" tooltip="Перейти" display="Перейти"/>
    <hyperlink ref="E978" r:id="rId_hyperlink_977" tooltip="Перейти" display="Перейти"/>
    <hyperlink ref="E979" r:id="rId_hyperlink_978" tooltip="Перейти" display="Перейти"/>
    <hyperlink ref="E980" r:id="rId_hyperlink_979" tooltip="Перейти" display="Перейти"/>
    <hyperlink ref="E981" r:id="rId_hyperlink_980" tooltip="Перейти" display="Перейти"/>
    <hyperlink ref="E982" r:id="rId_hyperlink_981" tooltip="Перейти" display="Перейти"/>
    <hyperlink ref="E983" r:id="rId_hyperlink_982" tooltip="Перейти" display="Перейти"/>
    <hyperlink ref="E984" r:id="rId_hyperlink_983" tooltip="Перейти" display="Перейти"/>
    <hyperlink ref="E985" r:id="rId_hyperlink_984" tooltip="Перейти" display="Перейти"/>
    <hyperlink ref="E986" r:id="rId_hyperlink_985" tooltip="Перейти" display="Перейти"/>
    <hyperlink ref="E987" r:id="rId_hyperlink_986" tooltip="Перейти" display="Перейти"/>
    <hyperlink ref="E988" r:id="rId_hyperlink_987" tooltip="Перейти" display="Перейти"/>
    <hyperlink ref="E989" r:id="rId_hyperlink_988" tooltip="Перейти" display="Перейти"/>
    <hyperlink ref="E990" r:id="rId_hyperlink_989" tooltip="Перейти" display="Перейти"/>
    <hyperlink ref="E991" r:id="rId_hyperlink_990" tooltip="Перейти" display="Перейти"/>
    <hyperlink ref="E992" r:id="rId_hyperlink_991" tooltip="Перейти" display="Перейти"/>
    <hyperlink ref="E993" r:id="rId_hyperlink_992" tooltip="Перейти" display="Перейти"/>
    <hyperlink ref="E994" r:id="rId_hyperlink_993" tooltip="Перейти" display="Перейти"/>
    <hyperlink ref="E995" r:id="rId_hyperlink_994" tooltip="Перейти" display="Перейти"/>
    <hyperlink ref="E996" r:id="rId_hyperlink_995" tooltip="Перейти" display="Перейти"/>
    <hyperlink ref="E997" r:id="rId_hyperlink_996" tooltip="Перейти" display="Перейти"/>
    <hyperlink ref="E998" r:id="rId_hyperlink_997" tooltip="Перейти" display="Перейти"/>
    <hyperlink ref="E999" r:id="rId_hyperlink_998" tooltip="Перейти" display="Перейти"/>
    <hyperlink ref="E1000" r:id="rId_hyperlink_999" tooltip="Перейти" display="Перейти"/>
    <hyperlink ref="E1001" r:id="rId_hyperlink_1000" tooltip="Перейти" display="Перейти"/>
    <hyperlink ref="E1002" r:id="rId_hyperlink_1001" tooltip="Перейти" display="Перейти"/>
    <hyperlink ref="E1003" r:id="rId_hyperlink_1002" tooltip="Перейти" display="Перейти"/>
    <hyperlink ref="E1004" r:id="rId_hyperlink_1003" tooltip="Перейти" display="Перейти"/>
    <hyperlink ref="E1005" r:id="rId_hyperlink_1004" tooltip="Перейти" display="Перейти"/>
    <hyperlink ref="E1006" r:id="rId_hyperlink_1005" tooltip="Перейти" display="Перейти"/>
    <hyperlink ref="E1007" r:id="rId_hyperlink_1006" tooltip="Перейти" display="Перейти"/>
    <hyperlink ref="E1008" r:id="rId_hyperlink_1007" tooltip="Перейти" display="Перейти"/>
    <hyperlink ref="E1009" r:id="rId_hyperlink_1008" tooltip="Перейти" display="Перейти"/>
    <hyperlink ref="E1010" r:id="rId_hyperlink_1009" tooltip="Перейти" display="Перейти"/>
    <hyperlink ref="E1011" r:id="rId_hyperlink_1010" tooltip="Перейти" display="Перейти"/>
    <hyperlink ref="E1012" r:id="rId_hyperlink_1011" tooltip="Перейти" display="Перейти"/>
    <hyperlink ref="E1013" r:id="rId_hyperlink_1012" tooltip="Перейти" display="Перейти"/>
    <hyperlink ref="E1014" r:id="rId_hyperlink_1013" tooltip="Перейти" display="Перейти"/>
    <hyperlink ref="E1015" r:id="rId_hyperlink_1014" tooltip="Перейти" display="Перейти"/>
    <hyperlink ref="E1016" r:id="rId_hyperlink_1015" tooltip="Перейти" display="Перейти"/>
    <hyperlink ref="E1017" r:id="rId_hyperlink_1016" tooltip="Перейти" display="Перейти"/>
    <hyperlink ref="E1018" r:id="rId_hyperlink_1017" tooltip="Перейти" display="Перейти"/>
    <hyperlink ref="E1019" r:id="rId_hyperlink_1018" tooltip="Перейти" display="Перейти"/>
    <hyperlink ref="E1020" r:id="rId_hyperlink_1019" tooltip="Перейти" display="Перейти"/>
    <hyperlink ref="E1021" r:id="rId_hyperlink_1020" tooltip="Перейти" display="Перейти"/>
    <hyperlink ref="E1022" r:id="rId_hyperlink_1021" tooltip="Перейти" display="Перейти"/>
    <hyperlink ref="E1023" r:id="rId_hyperlink_1022" tooltip="Перейти" display="Перейти"/>
    <hyperlink ref="E1024" r:id="rId_hyperlink_1023" tooltip="Перейти" display="Перейти"/>
    <hyperlink ref="E1025" r:id="rId_hyperlink_1024" tooltip="Перейти" display="Перейти"/>
    <hyperlink ref="E1026" r:id="rId_hyperlink_1025" tooltip="Перейти" display="Перейти"/>
    <hyperlink ref="E1027" r:id="rId_hyperlink_1026" tooltip="Перейти" display="Перейти"/>
    <hyperlink ref="E1028" r:id="rId_hyperlink_1027" tooltip="Перейти" display="Перейти"/>
    <hyperlink ref="E1029" r:id="rId_hyperlink_1028" tooltip="Перейти" display="Перейти"/>
    <hyperlink ref="E1030" r:id="rId_hyperlink_1029" tooltip="Перейти" display="Перейти"/>
    <hyperlink ref="E1031" r:id="rId_hyperlink_1030" tooltip="Перейти" display="Перейти"/>
    <hyperlink ref="E1032" r:id="rId_hyperlink_1031" tooltip="Перейти" display="Перейти"/>
    <hyperlink ref="E1033" r:id="rId_hyperlink_1032" tooltip="Перейти" display="Перейти"/>
    <hyperlink ref="E1034" r:id="rId_hyperlink_1033" tooltip="Перейти" display="Перейти"/>
    <hyperlink ref="E1035" r:id="rId_hyperlink_1034" tooltip="Перейти" display="Перейти"/>
    <hyperlink ref="E1036" r:id="rId_hyperlink_1035" tooltip="Перейти" display="Перейти"/>
    <hyperlink ref="E1037" r:id="rId_hyperlink_1036" tooltip="Перейти" display="Перейти"/>
    <hyperlink ref="E1038" r:id="rId_hyperlink_1037" tooltip="Перейти" display="Перейти"/>
    <hyperlink ref="E1039" r:id="rId_hyperlink_1038" tooltip="Перейти" display="Перейти"/>
    <hyperlink ref="E1040" r:id="rId_hyperlink_1039" tooltip="Перейти" display="Перейти"/>
    <hyperlink ref="E1041" r:id="rId_hyperlink_1040" tooltip="Перейти" display="Перейти"/>
    <hyperlink ref="E1042" r:id="rId_hyperlink_1041" tooltip="Перейти" display="Перейти"/>
    <hyperlink ref="E1043" r:id="rId_hyperlink_1042" tooltip="Перейти" display="Перейти"/>
    <hyperlink ref="E1044" r:id="rId_hyperlink_1043" tooltip="Перейти" display="Перейти"/>
    <hyperlink ref="E1045" r:id="rId_hyperlink_1044" tooltip="Перейти" display="Перейти"/>
    <hyperlink ref="E1046" r:id="rId_hyperlink_1045" tooltip="Перейти" display="Перейти"/>
    <hyperlink ref="E1047" r:id="rId_hyperlink_1046" tooltip="Перейти" display="Перейти"/>
    <hyperlink ref="E1048" r:id="rId_hyperlink_1047" tooltip="Перейти" display="Перейти"/>
    <hyperlink ref="E1049" r:id="rId_hyperlink_1048" tooltip="Перейти" display="Перейти"/>
    <hyperlink ref="E1050" r:id="rId_hyperlink_1049" tooltip="Перейти" display="Перейти"/>
    <hyperlink ref="E1051" r:id="rId_hyperlink_1050" tooltip="Перейти" display="Перейти"/>
    <hyperlink ref="E1052" r:id="rId_hyperlink_1051" tooltip="Перейти" display="Перейти"/>
    <hyperlink ref="E1053" r:id="rId_hyperlink_1052" tooltip="Перейти" display="Перейти"/>
    <hyperlink ref="E1054" r:id="rId_hyperlink_1053" tooltip="Перейти" display="Перейти"/>
    <hyperlink ref="E1055" r:id="rId_hyperlink_1054" tooltip="Перейти" display="Перейти"/>
    <hyperlink ref="E1056" r:id="rId_hyperlink_1055" tooltip="Перейти" display="Перейти"/>
    <hyperlink ref="E1057" r:id="rId_hyperlink_1056" tooltip="Перейти" display="Перейти"/>
    <hyperlink ref="E1058" r:id="rId_hyperlink_1057" tooltip="Перейти" display="Перейти"/>
    <hyperlink ref="E1059" r:id="rId_hyperlink_1058" tooltip="Перейти" display="Перейти"/>
    <hyperlink ref="E1060" r:id="rId_hyperlink_1059" tooltip="Перейти" display="Перейти"/>
    <hyperlink ref="E1061" r:id="rId_hyperlink_1060" tooltip="Перейти" display="Перейти"/>
    <hyperlink ref="E1062" r:id="rId_hyperlink_1061" tooltip="Перейти" display="Перейти"/>
    <hyperlink ref="E1063" r:id="rId_hyperlink_1062" tooltip="Перейти" display="Перейти"/>
    <hyperlink ref="E1064" r:id="rId_hyperlink_1063" tooltip="Перейти" display="Перейти"/>
    <hyperlink ref="E1065" r:id="rId_hyperlink_1064" tooltip="Перейти" display="Перейти"/>
    <hyperlink ref="E1066" r:id="rId_hyperlink_1065" tooltip="Перейти" display="Перейти"/>
    <hyperlink ref="E1067" r:id="rId_hyperlink_1066" tooltip="Перейти" display="Перейти"/>
    <hyperlink ref="E1068" r:id="rId_hyperlink_1067" tooltip="Перейти" display="Перейти"/>
    <hyperlink ref="E1069" r:id="rId_hyperlink_1068" tooltip="Перейти" display="Перейти"/>
    <hyperlink ref="E1070" r:id="rId_hyperlink_1069" tooltip="Перейти" display="Перейти"/>
    <hyperlink ref="E1071" r:id="rId_hyperlink_1070" tooltip="Перейти" display="Перейти"/>
    <hyperlink ref="E1072" r:id="rId_hyperlink_1071" tooltip="Перейти" display="Перейти"/>
    <hyperlink ref="E1073" r:id="rId_hyperlink_1072" tooltip="Перейти" display="Перейти"/>
    <hyperlink ref="E1074" r:id="rId_hyperlink_1073" tooltip="Перейти" display="Перейти"/>
    <hyperlink ref="E1075" r:id="rId_hyperlink_1074" tooltip="Перейти" display="Перейти"/>
    <hyperlink ref="E1076" r:id="rId_hyperlink_1075" tooltip="Перейти" display="Перейти"/>
    <hyperlink ref="E1077" r:id="rId_hyperlink_1076" tooltip="Перейти" display="Перейти"/>
    <hyperlink ref="E1078" r:id="rId_hyperlink_1077" tooltip="Перейти" display="Перейти"/>
    <hyperlink ref="E1079" r:id="rId_hyperlink_1078" tooltip="Перейти" display="Перейти"/>
    <hyperlink ref="E1080" r:id="rId_hyperlink_1079" tooltip="Перейти" display="Перейти"/>
    <hyperlink ref="E1081" r:id="rId_hyperlink_1080" tooltip="Перейти" display="Перейти"/>
    <hyperlink ref="E1082" r:id="rId_hyperlink_1081" tooltip="Перейти" display="Перейти"/>
    <hyperlink ref="E1083" r:id="rId_hyperlink_1082" tooltip="Перейти" display="Перейти"/>
    <hyperlink ref="E1084" r:id="rId_hyperlink_1083" tooltip="Перейти" display="Перейти"/>
    <hyperlink ref="E1085" r:id="rId_hyperlink_1084" tooltip="Перейти" display="Перейти"/>
    <hyperlink ref="E1086" r:id="rId_hyperlink_1085" tooltip="Перейти" display="Перейти"/>
    <hyperlink ref="E1087" r:id="rId_hyperlink_1086" tooltip="Перейти" display="Перейти"/>
    <hyperlink ref="E1088" r:id="rId_hyperlink_1087" tooltip="Перейти" display="Перейти"/>
    <hyperlink ref="E1089" r:id="rId_hyperlink_1088" tooltip="Перейти" display="Перейти"/>
    <hyperlink ref="E1090" r:id="rId_hyperlink_1089" tooltip="Перейти" display="Перейти"/>
    <hyperlink ref="E1091" r:id="rId_hyperlink_1090" tooltip="Перейти" display="Перейти"/>
    <hyperlink ref="E1092" r:id="rId_hyperlink_1091" tooltip="Перейти" display="Перейти"/>
    <hyperlink ref="E1093" r:id="rId_hyperlink_1092" tooltip="Перейти" display="Перейти"/>
    <hyperlink ref="E1094" r:id="rId_hyperlink_1093" tooltip="Перейти" display="Перейти"/>
    <hyperlink ref="E1095" r:id="rId_hyperlink_1094" tooltip="Перейти" display="Перейти"/>
    <hyperlink ref="E1096" r:id="rId_hyperlink_1095" tooltip="Перейти" display="Перейти"/>
    <hyperlink ref="E1097" r:id="rId_hyperlink_1096" tooltip="Перейти" display="Перейти"/>
    <hyperlink ref="E1098" r:id="rId_hyperlink_1097" tooltip="Перейти" display="Перейти"/>
    <hyperlink ref="E1099" r:id="rId_hyperlink_1098" tooltip="Перейти" display="Перейти"/>
    <hyperlink ref="E1100" r:id="rId_hyperlink_1099" tooltip="Перейти" display="Перейти"/>
    <hyperlink ref="E1101" r:id="rId_hyperlink_1100" tooltip="Перейти" display="Перейти"/>
    <hyperlink ref="E1102" r:id="rId_hyperlink_1101" tooltip="Перейти" display="Перейти"/>
    <hyperlink ref="E1103" r:id="rId_hyperlink_1102" tooltip="Перейти" display="Перейти"/>
    <hyperlink ref="E1104" r:id="rId_hyperlink_1103" tooltip="Перейти" display="Перейти"/>
    <hyperlink ref="E1105" r:id="rId_hyperlink_1104" tooltip="Перейти" display="Перейти"/>
    <hyperlink ref="E1106" r:id="rId_hyperlink_1105" tooltip="Перейти" display="Перейти"/>
    <hyperlink ref="E1107" r:id="rId_hyperlink_1106" tooltip="Перейти" display="Перейти"/>
    <hyperlink ref="E1108" r:id="rId_hyperlink_1107" tooltip="Перейти" display="Перейти"/>
    <hyperlink ref="E1109" r:id="rId_hyperlink_1108" tooltip="Перейти" display="Перейти"/>
    <hyperlink ref="E1110" r:id="rId_hyperlink_1109" tooltip="Перейти" display="Перейти"/>
    <hyperlink ref="E1111" r:id="rId_hyperlink_1110" tooltip="Перейти" display="Перейти"/>
    <hyperlink ref="E1112" r:id="rId_hyperlink_1111" tooltip="Перейти" display="Перейти"/>
    <hyperlink ref="E1113" r:id="rId_hyperlink_1112" tooltip="Перейти" display="Перейти"/>
    <hyperlink ref="E1114" r:id="rId_hyperlink_1113" tooltip="Перейти" display="Перейти"/>
    <hyperlink ref="E1115" r:id="rId_hyperlink_1114" tooltip="Перейти" display="Перейти"/>
    <hyperlink ref="E1116" r:id="rId_hyperlink_1115" tooltip="Перейти" display="Перейти"/>
    <hyperlink ref="E1117" r:id="rId_hyperlink_1116" tooltip="Перейти" display="Перейти"/>
    <hyperlink ref="E1118" r:id="rId_hyperlink_1117" tooltip="Перейти" display="Перейти"/>
    <hyperlink ref="E1119" r:id="rId_hyperlink_1118" tooltip="Перейти" display="Перейти"/>
    <hyperlink ref="E1120" r:id="rId_hyperlink_1119" tooltip="Перейти" display="Перейти"/>
    <hyperlink ref="E1121" r:id="rId_hyperlink_1120" tooltip="Перейти" display="Перейти"/>
    <hyperlink ref="E1122" r:id="rId_hyperlink_1121" tooltip="Перейти" display="Перейти"/>
    <hyperlink ref="E1123" r:id="rId_hyperlink_1122" tooltip="Перейти" display="Перейти"/>
    <hyperlink ref="E1124" r:id="rId_hyperlink_1123" tooltip="Перейти" display="Перейти"/>
    <hyperlink ref="E1125" r:id="rId_hyperlink_1124" tooltip="Перейти" display="Перейти"/>
    <hyperlink ref="E1126" r:id="rId_hyperlink_1125" tooltip="Перейти" display="Перейти"/>
    <hyperlink ref="E1127" r:id="rId_hyperlink_1126" tooltip="Перейти" display="Перейти"/>
    <hyperlink ref="E1128" r:id="rId_hyperlink_1127" tooltip="Перейти" display="Перейти"/>
    <hyperlink ref="E1129" r:id="rId_hyperlink_1128" tooltip="Перейти" display="Перейти"/>
    <hyperlink ref="E1130" r:id="rId_hyperlink_1129" tooltip="Перейти" display="Перейти"/>
    <hyperlink ref="E1131" r:id="rId_hyperlink_1130" tooltip="Перейти" display="Перейти"/>
    <hyperlink ref="E1132" r:id="rId_hyperlink_1131" tooltip="Перейти" display="Перейти"/>
    <hyperlink ref="E1133" r:id="rId_hyperlink_1132" tooltip="Перейти" display="Перейти"/>
    <hyperlink ref="E1134" r:id="rId_hyperlink_1133" tooltip="Перейти" display="Перейти"/>
    <hyperlink ref="E1135" r:id="rId_hyperlink_1134" tooltip="Перейти" display="Перейти"/>
    <hyperlink ref="E1136" r:id="rId_hyperlink_1135" tooltip="Перейти" display="Перейти"/>
    <hyperlink ref="E1137" r:id="rId_hyperlink_1136" tooltip="Перейти" display="Перейти"/>
    <hyperlink ref="E1138" r:id="rId_hyperlink_1137" tooltip="Перейти" display="Перейти"/>
    <hyperlink ref="E1139" r:id="rId_hyperlink_1138" tooltip="Перейти" display="Перейти"/>
    <hyperlink ref="E1140" r:id="rId_hyperlink_1139" tooltip="Перейти" display="Перейти"/>
    <hyperlink ref="E1141" r:id="rId_hyperlink_1140" tooltip="Перейти" display="Перейти"/>
    <hyperlink ref="E1142" r:id="rId_hyperlink_1141" tooltip="Перейти" display="Перейти"/>
    <hyperlink ref="E1143" r:id="rId_hyperlink_1142" tooltip="Перейти" display="Перейти"/>
    <hyperlink ref="E1144" r:id="rId_hyperlink_1143" tooltip="Перейти" display="Перейти"/>
    <hyperlink ref="E1145" r:id="rId_hyperlink_1144" tooltip="Перейти" display="Перейти"/>
    <hyperlink ref="E1146" r:id="rId_hyperlink_1145" tooltip="Перейти" display="Перейти"/>
    <hyperlink ref="E1147" r:id="rId_hyperlink_1146" tooltip="Перейти" display="Перейти"/>
    <hyperlink ref="E1148" r:id="rId_hyperlink_1147" tooltip="Перейти" display="Перейти"/>
    <hyperlink ref="E1149" r:id="rId_hyperlink_1148" tooltip="Перейти" display="Перейти"/>
    <hyperlink ref="E1150" r:id="rId_hyperlink_1149" tooltip="Перейти" display="Перейти"/>
    <hyperlink ref="E1151" r:id="rId_hyperlink_1150" tooltip="Перейти" display="Перейти"/>
    <hyperlink ref="E1152" r:id="rId_hyperlink_1151" tooltip="Перейти" display="Перейти"/>
    <hyperlink ref="E1153" r:id="rId_hyperlink_1152" tooltip="Перейти" display="Перейти"/>
    <hyperlink ref="E1154" r:id="rId_hyperlink_1153" tooltip="Перейти" display="Перейти"/>
    <hyperlink ref="E1155" r:id="rId_hyperlink_1154" tooltip="Перейти" display="Перейти"/>
    <hyperlink ref="E1156" r:id="rId_hyperlink_1155" tooltip="Перейти" display="Перейти"/>
    <hyperlink ref="E1157" r:id="rId_hyperlink_1156" tooltip="Перейти" display="Перейти"/>
    <hyperlink ref="E1158" r:id="rId_hyperlink_1157" tooltip="Перейти" display="Перейти"/>
    <hyperlink ref="E1159" r:id="rId_hyperlink_1158" tooltip="Перейти" display="Перейти"/>
    <hyperlink ref="E1160" r:id="rId_hyperlink_1159" tooltip="Перейти" display="Перейти"/>
    <hyperlink ref="E1161" r:id="rId_hyperlink_1160" tooltip="Перейти" display="Перейти"/>
    <hyperlink ref="E1162" r:id="rId_hyperlink_1161" tooltip="Перейти" display="Перейти"/>
    <hyperlink ref="E1163" r:id="rId_hyperlink_1162" tooltip="Перейти" display="Перейти"/>
    <hyperlink ref="E1164" r:id="rId_hyperlink_1163" tooltip="Перейти" display="Перейти"/>
    <hyperlink ref="E1165" r:id="rId_hyperlink_1164" tooltip="Перейти" display="Перейти"/>
    <hyperlink ref="E1166" r:id="rId_hyperlink_1165" tooltip="Перейти" display="Перейти"/>
    <hyperlink ref="E1167" r:id="rId_hyperlink_1166" tooltip="Перейти" display="Перейти"/>
    <hyperlink ref="E1168" r:id="rId_hyperlink_1167" tooltip="Перейти" display="Перейти"/>
    <hyperlink ref="E1169" r:id="rId_hyperlink_1168" tooltip="Перейти" display="Перейти"/>
    <hyperlink ref="E1170" r:id="rId_hyperlink_1169" tooltip="Перейти" display="Перейти"/>
    <hyperlink ref="E1171" r:id="rId_hyperlink_1170" tooltip="Перейти" display="Перейти"/>
    <hyperlink ref="E1172" r:id="rId_hyperlink_1171" tooltip="Перейти" display="Перейти"/>
    <hyperlink ref="E1173" r:id="rId_hyperlink_1172" tooltip="Перейти" display="Перейти"/>
    <hyperlink ref="E1174" r:id="rId_hyperlink_1173" tooltip="Перейти" display="Перейти"/>
    <hyperlink ref="E1175" r:id="rId_hyperlink_1174" tooltip="Перейти" display="Перейти"/>
    <hyperlink ref="E1176" r:id="rId_hyperlink_1175" tooltip="Перейти" display="Перейти"/>
    <hyperlink ref="E1177" r:id="rId_hyperlink_1176" tooltip="Перейти" display="Перейти"/>
    <hyperlink ref="E1178" r:id="rId_hyperlink_1177" tooltip="Перейти" display="Перейти"/>
    <hyperlink ref="E1179" r:id="rId_hyperlink_1178" tooltip="Перейти" display="Перейти"/>
    <hyperlink ref="E1180" r:id="rId_hyperlink_1179" tooltip="Перейти" display="Перейти"/>
    <hyperlink ref="E1181" r:id="rId_hyperlink_1180" tooltip="Перейти" display="Перейти"/>
    <hyperlink ref="E1182" r:id="rId_hyperlink_1181" tooltip="Перейти" display="Перейти"/>
    <hyperlink ref="E1183" r:id="rId_hyperlink_1182" tooltip="Перейти" display="Перейти"/>
    <hyperlink ref="E1184" r:id="rId_hyperlink_1183" tooltip="Перейти" display="Перейти"/>
    <hyperlink ref="E1185" r:id="rId_hyperlink_1184" tooltip="Перейти" display="Перейти"/>
    <hyperlink ref="E1186" r:id="rId_hyperlink_1185" tooltip="Перейти" display="Перейти"/>
    <hyperlink ref="E1187" r:id="rId_hyperlink_1186" tooltip="Перейти" display="Перейти"/>
    <hyperlink ref="E1188" r:id="rId_hyperlink_1187" tooltip="Перейти" display="Перейти"/>
    <hyperlink ref="E1189" r:id="rId_hyperlink_1188" tooltip="Перейти" display="Перейти"/>
    <hyperlink ref="E1190" r:id="rId_hyperlink_1189" tooltip="Перейти" display="Перейти"/>
    <hyperlink ref="E1191" r:id="rId_hyperlink_1190" tooltip="Перейти" display="Перейти"/>
    <hyperlink ref="E1192" r:id="rId_hyperlink_1191" tooltip="Перейти" display="Перейти"/>
    <hyperlink ref="E1193" r:id="rId_hyperlink_1192" tooltip="Перейти" display="Перейти"/>
    <hyperlink ref="E1194" r:id="rId_hyperlink_1193" tooltip="Перейти" display="Перейти"/>
    <hyperlink ref="E1195" r:id="rId_hyperlink_1194" tooltip="Перейти" display="Перейти"/>
    <hyperlink ref="E1196" r:id="rId_hyperlink_1195" tooltip="Перейти" display="Перейти"/>
    <hyperlink ref="E1197" r:id="rId_hyperlink_1196" tooltip="Перейти" display="Перейти"/>
    <hyperlink ref="E1198" r:id="rId_hyperlink_1197" tooltip="Перейти" display="Перейти"/>
    <hyperlink ref="E1199" r:id="rId_hyperlink_1198" tooltip="Перейти" display="Перейти"/>
    <hyperlink ref="E1200" r:id="rId_hyperlink_1199" tooltip="Перейти" display="Перейти"/>
    <hyperlink ref="E1201" r:id="rId_hyperlink_1200" tooltip="Перейти" display="Перейти"/>
    <hyperlink ref="E1202" r:id="rId_hyperlink_1201" tooltip="Перейти" display="Перейти"/>
    <hyperlink ref="E1203" r:id="rId_hyperlink_1202" tooltip="Перейти" display="Перейти"/>
    <hyperlink ref="E1204" r:id="rId_hyperlink_1203" tooltip="Перейти" display="Перейти"/>
    <hyperlink ref="E1205" r:id="rId_hyperlink_1204" tooltip="Перейти" display="Перейти"/>
    <hyperlink ref="E1206" r:id="rId_hyperlink_1205" tooltip="Перейти" display="Перейти"/>
    <hyperlink ref="E1207" r:id="rId_hyperlink_1206" tooltip="Перейти" display="Перейти"/>
    <hyperlink ref="E1208" r:id="rId_hyperlink_1207" tooltip="Перейти" display="Перейти"/>
    <hyperlink ref="E1209" r:id="rId_hyperlink_1208" tooltip="Перейти" display="Перейти"/>
    <hyperlink ref="E1210" r:id="rId_hyperlink_1209" tooltip="Перейти" display="Перейти"/>
    <hyperlink ref="E1211" r:id="rId_hyperlink_1210" tooltip="Перейти" display="Перейти"/>
    <hyperlink ref="E1212" r:id="rId_hyperlink_1211" tooltip="Перейти" display="Перейти"/>
    <hyperlink ref="E1213" r:id="rId_hyperlink_1212" tooltip="Перейти" display="Перейти"/>
    <hyperlink ref="E1214" r:id="rId_hyperlink_1213" tooltip="Перейти" display="Перейти"/>
    <hyperlink ref="E1215" r:id="rId_hyperlink_1214" tooltip="Перейти" display="Перейти"/>
    <hyperlink ref="E1216" r:id="rId_hyperlink_1215" tooltip="Перейти" display="Перейти"/>
    <hyperlink ref="E1217" r:id="rId_hyperlink_1216" tooltip="Перейти" display="Перейти"/>
    <hyperlink ref="E1218" r:id="rId_hyperlink_1217" tooltip="Перейти" display="Перейти"/>
    <hyperlink ref="E1219" r:id="rId_hyperlink_1218" tooltip="Перейти" display="Перейти"/>
    <hyperlink ref="E1220" r:id="rId_hyperlink_1219" tooltip="Перейти" display="Перейти"/>
    <hyperlink ref="E1221" r:id="rId_hyperlink_1220" tooltip="Перейти" display="Перейти"/>
    <hyperlink ref="E1222" r:id="rId_hyperlink_1221" tooltip="Перейти" display="Перейти"/>
    <hyperlink ref="E1223" r:id="rId_hyperlink_1222" tooltip="Перейти" display="Перейти"/>
    <hyperlink ref="E1224" r:id="rId_hyperlink_1223" tooltip="Перейти" display="Перейти"/>
    <hyperlink ref="E1225" r:id="rId_hyperlink_1224" tooltip="Перейти" display="Перейти"/>
    <hyperlink ref="E1226" r:id="rId_hyperlink_1225" tooltip="Перейти" display="Перейти"/>
    <hyperlink ref="E1227" r:id="rId_hyperlink_1226" tooltip="Перейти" display="Перейти"/>
    <hyperlink ref="E1228" r:id="rId_hyperlink_1227" tooltip="Перейти" display="Перейти"/>
    <hyperlink ref="E1229" r:id="rId_hyperlink_1228" tooltip="Перейти" display="Перейти"/>
    <hyperlink ref="E1230" r:id="rId_hyperlink_1229" tooltip="Перейти" display="Перейти"/>
    <hyperlink ref="E1231" r:id="rId_hyperlink_1230" tooltip="Перейти" display="Перейти"/>
    <hyperlink ref="E1232" r:id="rId_hyperlink_1231" tooltip="Перейти" display="Перейти"/>
    <hyperlink ref="E1233" r:id="rId_hyperlink_1232" tooltip="Перейти" display="Перейти"/>
    <hyperlink ref="E1234" r:id="rId_hyperlink_1233" tooltip="Перейти" display="Перейти"/>
    <hyperlink ref="E1235" r:id="rId_hyperlink_1234" tooltip="Перейти" display="Перейти"/>
    <hyperlink ref="E1236" r:id="rId_hyperlink_1235" tooltip="Перейти" display="Перейти"/>
    <hyperlink ref="E1237" r:id="rId_hyperlink_1236" tooltip="Перейти" display="Перейти"/>
    <hyperlink ref="E1238" r:id="rId_hyperlink_1237" tooltip="Перейти" display="Перейти"/>
    <hyperlink ref="E1239" r:id="rId_hyperlink_1238" tooltip="Перейти" display="Перейти"/>
    <hyperlink ref="E1240" r:id="rId_hyperlink_1239" tooltip="Перейти" display="Перейти"/>
    <hyperlink ref="E1241" r:id="rId_hyperlink_1240" tooltip="Перейти" display="Перейти"/>
    <hyperlink ref="E1242" r:id="rId_hyperlink_1241" tooltip="Перейти" display="Перейти"/>
    <hyperlink ref="E1243" r:id="rId_hyperlink_1242" tooltip="Перейти" display="Перейти"/>
    <hyperlink ref="E1244" r:id="rId_hyperlink_1243" tooltip="Перейти" display="Перейти"/>
    <hyperlink ref="E1245" r:id="rId_hyperlink_1244" tooltip="Перейти" display="Перейти"/>
    <hyperlink ref="E1246" r:id="rId_hyperlink_1245" tooltip="Перейти" display="Перейти"/>
    <hyperlink ref="E1247" r:id="rId_hyperlink_1246" tooltip="Перейти" display="Перейти"/>
    <hyperlink ref="E1248" r:id="rId_hyperlink_1247" tooltip="Перейти" display="Перейти"/>
    <hyperlink ref="E1249" r:id="rId_hyperlink_1248" tooltip="Перейти" display="Перейти"/>
    <hyperlink ref="E1250" r:id="rId_hyperlink_1249" tooltip="Перейти" display="Перейти"/>
    <hyperlink ref="E1251" r:id="rId_hyperlink_1250" tooltip="Перейти" display="Перейти"/>
    <hyperlink ref="E1252" r:id="rId_hyperlink_1251" tooltip="Перейти" display="Перейти"/>
    <hyperlink ref="E1253" r:id="rId_hyperlink_1252" tooltip="Перейти" display="Перейти"/>
    <hyperlink ref="E1254" r:id="rId_hyperlink_1253" tooltip="Перейти" display="Перейти"/>
    <hyperlink ref="E1255" r:id="rId_hyperlink_1254" tooltip="Перейти" display="Перейти"/>
    <hyperlink ref="E1256" r:id="rId_hyperlink_1255" tooltip="Перейти" display="Перейти"/>
    <hyperlink ref="E1257" r:id="rId_hyperlink_1256" tooltip="Перейти" display="Перейти"/>
    <hyperlink ref="E1258" r:id="rId_hyperlink_1257" tooltip="Перейти" display="Перейти"/>
    <hyperlink ref="E1259" r:id="rId_hyperlink_1258" tooltip="Перейти" display="Перейти"/>
    <hyperlink ref="E1260" r:id="rId_hyperlink_1259" tooltip="Перейти" display="Перейти"/>
    <hyperlink ref="E1261" r:id="rId_hyperlink_1260" tooltip="Перейти" display="Перейти"/>
    <hyperlink ref="E1262" r:id="rId_hyperlink_1261" tooltip="Перейти" display="Перейти"/>
    <hyperlink ref="E1263" r:id="rId_hyperlink_1262" tooltip="Перейти" display="Перейти"/>
    <hyperlink ref="E1264" r:id="rId_hyperlink_1263" tooltip="Перейти" display="Перейти"/>
    <hyperlink ref="E1265" r:id="rId_hyperlink_1264" tooltip="Перейти" display="Перейти"/>
    <hyperlink ref="E1266" r:id="rId_hyperlink_1265" tooltip="Перейти" display="Перейти"/>
    <hyperlink ref="E1267" r:id="rId_hyperlink_1266" tooltip="Перейти" display="Перейти"/>
    <hyperlink ref="E1268" r:id="rId_hyperlink_1267" tooltip="Перейти" display="Перейти"/>
    <hyperlink ref="E1269" r:id="rId_hyperlink_1268" tooltip="Перейти" display="Перейти"/>
    <hyperlink ref="E1270" r:id="rId_hyperlink_1269" tooltip="Перейти" display="Перейти"/>
    <hyperlink ref="E1271" r:id="rId_hyperlink_1270" tooltip="Перейти" display="Перейти"/>
    <hyperlink ref="E1272" r:id="rId_hyperlink_1271" tooltip="Перейти" display="Перейти"/>
    <hyperlink ref="E1273" r:id="rId_hyperlink_1272" tooltip="Перейти" display="Перейти"/>
    <hyperlink ref="E1274" r:id="rId_hyperlink_1273" tooltip="Перейти" display="Перейти"/>
    <hyperlink ref="E1275" r:id="rId_hyperlink_1274" tooltip="Перейти" display="Перейти"/>
    <hyperlink ref="E1276" r:id="rId_hyperlink_1275" tooltip="Перейти" display="Перейти"/>
    <hyperlink ref="E1277" r:id="rId_hyperlink_1276" tooltip="Перейти" display="Перейти"/>
    <hyperlink ref="E1278" r:id="rId_hyperlink_1277" tooltip="Перейти" display="Перейти"/>
    <hyperlink ref="E1279" r:id="rId_hyperlink_1278" tooltip="Перейти" display="Перейти"/>
    <hyperlink ref="E1280" r:id="rId_hyperlink_1279" tooltip="Перейти" display="Перейти"/>
    <hyperlink ref="E1281" r:id="rId_hyperlink_1280" tooltip="Перейти" display="Перейти"/>
    <hyperlink ref="E1282" r:id="rId_hyperlink_1281" tooltip="Перейти" display="Перейти"/>
    <hyperlink ref="E1283" r:id="rId_hyperlink_1282" tooltip="Перейти" display="Перейти"/>
    <hyperlink ref="E1284" r:id="rId_hyperlink_1283" tooltip="Перейти" display="Перейти"/>
    <hyperlink ref="E1285" r:id="rId_hyperlink_1284" tooltip="Перейти" display="Перейти"/>
    <hyperlink ref="E1286" r:id="rId_hyperlink_1285" tooltip="Перейти" display="Перейти"/>
    <hyperlink ref="E1287" r:id="rId_hyperlink_1286" tooltip="Перейти" display="Перейти"/>
    <hyperlink ref="E1288" r:id="rId_hyperlink_1287" tooltip="Перейти" display="Перейти"/>
    <hyperlink ref="E1289" r:id="rId_hyperlink_1288" tooltip="Перейти" display="Перейти"/>
    <hyperlink ref="E1290" r:id="rId_hyperlink_1289" tooltip="Перейти" display="Перейти"/>
    <hyperlink ref="E1291" r:id="rId_hyperlink_1290" tooltip="Перейти" display="Перейти"/>
    <hyperlink ref="E1292" r:id="rId_hyperlink_1291" tooltip="Перейти" display="Перейти"/>
    <hyperlink ref="E1293" r:id="rId_hyperlink_1292" tooltip="Перейти" display="Перейти"/>
    <hyperlink ref="E1294" r:id="rId_hyperlink_1293" tooltip="Перейти" display="Перейти"/>
    <hyperlink ref="E1295" r:id="rId_hyperlink_1294" tooltip="Перейти" display="Перейти"/>
    <hyperlink ref="E1296" r:id="rId_hyperlink_1295" tooltip="Перейти" display="Перейти"/>
    <hyperlink ref="E1297" r:id="rId_hyperlink_1296" tooltip="Перейти" display="Перейти"/>
    <hyperlink ref="E1298" r:id="rId_hyperlink_1297" tooltip="Перейти" display="Перейти"/>
    <hyperlink ref="E1299" r:id="rId_hyperlink_1298" tooltip="Перейти" display="Перейти"/>
    <hyperlink ref="E1300" r:id="rId_hyperlink_1299" tooltip="Перейти" display="Перейти"/>
    <hyperlink ref="E1301" r:id="rId_hyperlink_1300" tooltip="Перейти" display="Перейти"/>
    <hyperlink ref="E1302" r:id="rId_hyperlink_1301" tooltip="Перейти" display="Перейти"/>
    <hyperlink ref="E1303" r:id="rId_hyperlink_1302" tooltip="Перейти" display="Перейти"/>
    <hyperlink ref="E1304" r:id="rId_hyperlink_1303" tooltip="Перейти" display="Перейти"/>
    <hyperlink ref="E1305" r:id="rId_hyperlink_1304" tooltip="Перейти" display="Перейти"/>
    <hyperlink ref="E1306" r:id="rId_hyperlink_1305" tooltip="Перейти" display="Перейти"/>
    <hyperlink ref="E1307" r:id="rId_hyperlink_1306" tooltip="Перейти" display="Перейти"/>
    <hyperlink ref="E1308" r:id="rId_hyperlink_1307" tooltip="Перейти" display="Перейти"/>
    <hyperlink ref="E1309" r:id="rId_hyperlink_1308" tooltip="Перейти" display="Перейти"/>
    <hyperlink ref="E1310" r:id="rId_hyperlink_1309" tooltip="Перейти" display="Перейти"/>
    <hyperlink ref="E1311" r:id="rId_hyperlink_1310" tooltip="Перейти" display="Перейти"/>
    <hyperlink ref="E1312" r:id="rId_hyperlink_1311" tooltip="Перейти" display="Перейти"/>
    <hyperlink ref="E1313" r:id="rId_hyperlink_1312" tooltip="Перейти" display="Перейти"/>
    <hyperlink ref="E1314" r:id="rId_hyperlink_1313" tooltip="Перейти" display="Перейти"/>
    <hyperlink ref="E1315" r:id="rId_hyperlink_1314" tooltip="Перейти" display="Перейти"/>
    <hyperlink ref="E1316" r:id="rId_hyperlink_1315" tooltip="Перейти" display="Перейти"/>
    <hyperlink ref="E1317" r:id="rId_hyperlink_1316" tooltip="Перейти" display="Перейти"/>
    <hyperlink ref="E1318" r:id="rId_hyperlink_1317" tooltip="Перейти" display="Перейти"/>
    <hyperlink ref="E1319" r:id="rId_hyperlink_1318" tooltip="Перейти" display="Перейти"/>
    <hyperlink ref="E1320" r:id="rId_hyperlink_1319" tooltip="Перейти" display="Перейти"/>
    <hyperlink ref="E1321" r:id="rId_hyperlink_1320" tooltip="Перейти" display="Перейти"/>
    <hyperlink ref="E1322" r:id="rId_hyperlink_1321" tooltip="Перейти" display="Перейти"/>
    <hyperlink ref="E1323" r:id="rId_hyperlink_1322" tooltip="Перейти" display="Перейти"/>
    <hyperlink ref="E1324" r:id="rId_hyperlink_1323" tooltip="Перейти" display="Перейти"/>
    <hyperlink ref="E1325" r:id="rId_hyperlink_1324" tooltip="Перейти" display="Перейти"/>
    <hyperlink ref="E1326" r:id="rId_hyperlink_1325" tooltip="Перейти" display="Перейти"/>
    <hyperlink ref="E1327" r:id="rId_hyperlink_1326" tooltip="Перейти" display="Перейти"/>
    <hyperlink ref="E1328" r:id="rId_hyperlink_1327" tooltip="Перейти" display="Перейти"/>
    <hyperlink ref="E1329" r:id="rId_hyperlink_1328" tooltip="Перейти" display="Перейти"/>
    <hyperlink ref="E1330" r:id="rId_hyperlink_1329" tooltip="Перейти" display="Перейти"/>
    <hyperlink ref="E1331" r:id="rId_hyperlink_1330" tooltip="Перейти" display="Перейти"/>
    <hyperlink ref="E1332" r:id="rId_hyperlink_1331" tooltip="Перейти" display="Перейти"/>
    <hyperlink ref="E1333" r:id="rId_hyperlink_1332" tooltip="Перейти" display="Перейти"/>
    <hyperlink ref="E1334" r:id="rId_hyperlink_1333" tooltip="Перейти" display="Перейти"/>
    <hyperlink ref="E1335" r:id="rId_hyperlink_1334" tooltip="Перейти" display="Перейти"/>
    <hyperlink ref="E1336" r:id="rId_hyperlink_1335" tooltip="Перейти" display="Перейти"/>
    <hyperlink ref="E1337" r:id="rId_hyperlink_1336" tooltip="Перейти" display="Перейти"/>
    <hyperlink ref="E1338" r:id="rId_hyperlink_1337" tooltip="Перейти" display="Перейти"/>
    <hyperlink ref="E1339" r:id="rId_hyperlink_1338" tooltip="Перейти" display="Перейти"/>
    <hyperlink ref="E1340" r:id="rId_hyperlink_1339" tooltip="Перейти" display="Перейти"/>
    <hyperlink ref="E1341" r:id="rId_hyperlink_1340" tooltip="Перейти" display="Перейти"/>
    <hyperlink ref="E1342" r:id="rId_hyperlink_1341" tooltip="Перейти" display="Перейти"/>
    <hyperlink ref="E1343" r:id="rId_hyperlink_1342" tooltip="Перейти" display="Перейти"/>
    <hyperlink ref="E1344" r:id="rId_hyperlink_1343" tooltip="Перейти" display="Перейти"/>
    <hyperlink ref="E1345" r:id="rId_hyperlink_1344" tooltip="Перейти" display="Перейти"/>
    <hyperlink ref="E1346" r:id="rId_hyperlink_1345" tooltip="Перейти" display="Перейти"/>
    <hyperlink ref="E1347" r:id="rId_hyperlink_1346" tooltip="Перейти" display="Перейти"/>
    <hyperlink ref="E1348" r:id="rId_hyperlink_1347" tooltip="Перейти" display="Перейти"/>
    <hyperlink ref="E1349" r:id="rId_hyperlink_1348" tooltip="Перейти" display="Перейти"/>
    <hyperlink ref="E1350" r:id="rId_hyperlink_1349" tooltip="Перейти" display="Перейти"/>
    <hyperlink ref="E1351" r:id="rId_hyperlink_1350" tooltip="Перейти" display="Перейти"/>
    <hyperlink ref="E1352" r:id="rId_hyperlink_1351" tooltip="Перейти" display="Перейти"/>
    <hyperlink ref="E1353" r:id="rId_hyperlink_1352" tooltip="Перейти" display="Перейти"/>
    <hyperlink ref="E1354" r:id="rId_hyperlink_1353" tooltip="Перейти" display="Перейти"/>
    <hyperlink ref="E1355" r:id="rId_hyperlink_1354" tooltip="Перейти" display="Перейти"/>
    <hyperlink ref="E1356" r:id="rId_hyperlink_1355" tooltip="Перейти" display="Перейти"/>
    <hyperlink ref="E1357" r:id="rId_hyperlink_1356" tooltip="Перейти" display="Перейти"/>
    <hyperlink ref="E1358" r:id="rId_hyperlink_1357" tooltip="Перейти" display="Перейти"/>
    <hyperlink ref="E1359" r:id="rId_hyperlink_1358" tooltip="Перейти" display="Перейти"/>
    <hyperlink ref="E1360" r:id="rId_hyperlink_1359" tooltip="Перейти" display="Перейти"/>
    <hyperlink ref="E1361" r:id="rId_hyperlink_1360" tooltip="Перейти" display="Перейти"/>
    <hyperlink ref="E1362" r:id="rId_hyperlink_1361" tooltip="Перейти" display="Перейти"/>
    <hyperlink ref="E1363" r:id="rId_hyperlink_1362" tooltip="Перейти" display="Перейти"/>
    <hyperlink ref="E1364" r:id="rId_hyperlink_1363" tooltip="Перейти" display="Перейти"/>
    <hyperlink ref="E1365" r:id="rId_hyperlink_1364" tooltip="Перейти" display="Перейти"/>
    <hyperlink ref="E1366" r:id="rId_hyperlink_1365" tooltip="Перейти" display="Перейти"/>
    <hyperlink ref="E1367" r:id="rId_hyperlink_1366" tooltip="Перейти" display="Перейти"/>
    <hyperlink ref="E1368" r:id="rId_hyperlink_1367" tooltip="Перейти" display="Перейти"/>
    <hyperlink ref="E1369" r:id="rId_hyperlink_1368" tooltip="Перейти" display="Перейти"/>
    <hyperlink ref="E1370" r:id="rId_hyperlink_1369" tooltip="Перейти" display="Перейти"/>
    <hyperlink ref="E1371" r:id="rId_hyperlink_1370" tooltip="Перейти" display="Перейти"/>
    <hyperlink ref="E1372" r:id="rId_hyperlink_1371" tooltip="Перейти" display="Перейти"/>
    <hyperlink ref="E1373" r:id="rId_hyperlink_1372" tooltip="Перейти" display="Перейти"/>
    <hyperlink ref="E1374" r:id="rId_hyperlink_1373" tooltip="Перейти" display="Перейти"/>
    <hyperlink ref="E1375" r:id="rId_hyperlink_1374" tooltip="Перейти" display="Перейти"/>
    <hyperlink ref="E1376" r:id="rId_hyperlink_1375" tooltip="Перейти" display="Перейти"/>
    <hyperlink ref="E1377" r:id="rId_hyperlink_1376" tooltip="Перейти" display="Перейти"/>
    <hyperlink ref="E1378" r:id="rId_hyperlink_1377" tooltip="Перейти" display="Перейти"/>
    <hyperlink ref="E1379" r:id="rId_hyperlink_1378" tooltip="Перейти" display="Перейти"/>
    <hyperlink ref="E1380" r:id="rId_hyperlink_1379" tooltip="Перейти" display="Перейти"/>
    <hyperlink ref="E1381" r:id="rId_hyperlink_1380" tooltip="Перейти" display="Перейти"/>
    <hyperlink ref="E1382" r:id="rId_hyperlink_1381" tooltip="Перейти" display="Перейти"/>
    <hyperlink ref="E1383" r:id="rId_hyperlink_1382" tooltip="Перейти" display="Перейти"/>
    <hyperlink ref="E1384" r:id="rId_hyperlink_1383" tooltip="Перейти" display="Перейти"/>
    <hyperlink ref="E1385" r:id="rId_hyperlink_1384" tooltip="Перейти" display="Перейти"/>
    <hyperlink ref="E1386" r:id="rId_hyperlink_1385" tooltip="Перейти" display="Перейти"/>
    <hyperlink ref="E1387" r:id="rId_hyperlink_1386" tooltip="Перейти" display="Перейти"/>
    <hyperlink ref="E1388" r:id="rId_hyperlink_1387" tooltip="Перейти" display="Перейти"/>
    <hyperlink ref="E1389" r:id="rId_hyperlink_1388" tooltip="Перейти" display="Перейти"/>
    <hyperlink ref="E1390" r:id="rId_hyperlink_1389" tooltip="Перейти" display="Перейти"/>
    <hyperlink ref="E1391" r:id="rId_hyperlink_1390" tooltip="Перейти" display="Перейти"/>
    <hyperlink ref="E1392" r:id="rId_hyperlink_1391" tooltip="Перейти" display="Перейти"/>
    <hyperlink ref="E1393" r:id="rId_hyperlink_1392" tooltip="Перейти" display="Перейти"/>
    <hyperlink ref="E1394" r:id="rId_hyperlink_1393" tooltip="Перейти" display="Перейти"/>
    <hyperlink ref="E1395" r:id="rId_hyperlink_1394" tooltip="Перейти" display="Перейти"/>
    <hyperlink ref="E1396" r:id="rId_hyperlink_1395" tooltip="Перейти" display="Перейти"/>
    <hyperlink ref="E1397" r:id="rId_hyperlink_1396" tooltip="Перейти" display="Перейти"/>
    <hyperlink ref="E1398" r:id="rId_hyperlink_1397" tooltip="Перейти" display="Перейти"/>
    <hyperlink ref="E1399" r:id="rId_hyperlink_1398" tooltip="Перейти" display="Перейти"/>
    <hyperlink ref="E1400" r:id="rId_hyperlink_1399" tooltip="Перейти" display="Перейти"/>
    <hyperlink ref="E1401" r:id="rId_hyperlink_1400" tooltip="Перейти" display="Перейти"/>
    <hyperlink ref="E1402" r:id="rId_hyperlink_1401" tooltip="Перейти" display="Перейти"/>
    <hyperlink ref="E1403" r:id="rId_hyperlink_1402" tooltip="Перейти" display="Перейти"/>
    <hyperlink ref="E1404" r:id="rId_hyperlink_1403" tooltip="Перейти" display="Перейти"/>
    <hyperlink ref="E1405" r:id="rId_hyperlink_1404" tooltip="Перейти" display="Перейти"/>
    <hyperlink ref="E1406" r:id="rId_hyperlink_1405" tooltip="Перейти" display="Перейти"/>
    <hyperlink ref="E1407" r:id="rId_hyperlink_1406" tooltip="Перейти" display="Перейти"/>
    <hyperlink ref="E1408" r:id="rId_hyperlink_1407" tooltip="Перейти" display="Перейти"/>
    <hyperlink ref="E1409" r:id="rId_hyperlink_1408" tooltip="Перейти" display="Перейти"/>
    <hyperlink ref="E1410" r:id="rId_hyperlink_1409" tooltip="Перейти" display="Перейти"/>
    <hyperlink ref="E1411" r:id="rId_hyperlink_1410" tooltip="Перейти" display="Перейти"/>
    <hyperlink ref="E1412" r:id="rId_hyperlink_1411" tooltip="Перейти" display="Перейти"/>
    <hyperlink ref="E1413" r:id="rId_hyperlink_1412" tooltip="Перейти" display="Перейти"/>
    <hyperlink ref="E1414" r:id="rId_hyperlink_1413" tooltip="Перейти" display="Перейти"/>
    <hyperlink ref="E1415" r:id="rId_hyperlink_1414" tooltip="Перейти" display="Перейти"/>
    <hyperlink ref="E1416" r:id="rId_hyperlink_1415" tooltip="Перейти" display="Перейти"/>
    <hyperlink ref="E1417" r:id="rId_hyperlink_1416" tooltip="Перейти" display="Перейти"/>
    <hyperlink ref="E1418" r:id="rId_hyperlink_1417" tooltip="Перейти" display="Перейти"/>
    <hyperlink ref="E1419" r:id="rId_hyperlink_1418" tooltip="Перейти" display="Перейти"/>
    <hyperlink ref="E1420" r:id="rId_hyperlink_1419" tooltip="Перейти" display="Перейти"/>
    <hyperlink ref="E1421" r:id="rId_hyperlink_1420" tooltip="Перейти" display="Перейти"/>
    <hyperlink ref="E1422" r:id="rId_hyperlink_1421" tooltip="Перейти" display="Перейти"/>
    <hyperlink ref="E1423" r:id="rId_hyperlink_1422" tooltip="Перейти" display="Перейти"/>
    <hyperlink ref="E1424" r:id="rId_hyperlink_1423" tooltip="Перейти" display="Перейти"/>
    <hyperlink ref="E1425" r:id="rId_hyperlink_1424" tooltip="Перейти" display="Перейти"/>
    <hyperlink ref="E1426" r:id="rId_hyperlink_1425" tooltip="Перейти" display="Перейти"/>
    <hyperlink ref="E1427" r:id="rId_hyperlink_1426" tooltip="Перейти" display="Перейти"/>
    <hyperlink ref="E1428" r:id="rId_hyperlink_1427" tooltip="Перейти" display="Перейти"/>
    <hyperlink ref="E1429" r:id="rId_hyperlink_1428" tooltip="Перейти" display="Перейти"/>
    <hyperlink ref="E1430" r:id="rId_hyperlink_1429" tooltip="Перейти" display="Перейти"/>
    <hyperlink ref="E1431" r:id="rId_hyperlink_1430" tooltip="Перейти" display="Перейти"/>
    <hyperlink ref="E1432" r:id="rId_hyperlink_1431" tooltip="Перейти" display="Перейти"/>
    <hyperlink ref="E1433" r:id="rId_hyperlink_1432" tooltip="Перейти" display="Перейти"/>
    <hyperlink ref="E1434" r:id="rId_hyperlink_1433" tooltip="Перейти" display="Перейти"/>
    <hyperlink ref="E1435" r:id="rId_hyperlink_1434" tooltip="Перейти" display="Перейти"/>
    <hyperlink ref="E1436" r:id="rId_hyperlink_1435" tooltip="Перейти" display="Перейти"/>
    <hyperlink ref="E1437" r:id="rId_hyperlink_1436" tooltip="Перейти" display="Перейти"/>
    <hyperlink ref="E1438" r:id="rId_hyperlink_1437" tooltip="Перейти" display="Перейти"/>
    <hyperlink ref="E1439" r:id="rId_hyperlink_1438" tooltip="Перейти" display="Перейти"/>
    <hyperlink ref="E1440" r:id="rId_hyperlink_1439" tooltip="Перейти" display="Перейти"/>
    <hyperlink ref="E1441" r:id="rId_hyperlink_1440" tooltip="Перейти" display="Перейти"/>
    <hyperlink ref="E1442" r:id="rId_hyperlink_1441" tooltip="Перейти" display="Перейти"/>
    <hyperlink ref="E1443" r:id="rId_hyperlink_1442" tooltip="Перейти" display="Перейти"/>
    <hyperlink ref="E1444" r:id="rId_hyperlink_1443" tooltip="Перейти" display="Перейти"/>
    <hyperlink ref="E1445" r:id="rId_hyperlink_1444" tooltip="Перейти" display="Перейти"/>
    <hyperlink ref="E1446" r:id="rId_hyperlink_1445" tooltip="Перейти" display="Перейти"/>
    <hyperlink ref="E1447" r:id="rId_hyperlink_1446" tooltip="Перейти" display="Перейти"/>
    <hyperlink ref="E1448" r:id="rId_hyperlink_1447" tooltip="Перейти" display="Перейти"/>
    <hyperlink ref="E1449" r:id="rId_hyperlink_1448" tooltip="Перейти" display="Перейти"/>
    <hyperlink ref="E1450" r:id="rId_hyperlink_1449" tooltip="Перейти" display="Перейти"/>
    <hyperlink ref="E1451" r:id="rId_hyperlink_1450" tooltip="Перейти" display="Перейти"/>
    <hyperlink ref="E1452" r:id="rId_hyperlink_1451" tooltip="Перейти" display="Перейти"/>
    <hyperlink ref="E1453" r:id="rId_hyperlink_1452" tooltip="Перейти" display="Перейти"/>
    <hyperlink ref="E1454" r:id="rId_hyperlink_1453" tooltip="Перейти" display="Перейти"/>
    <hyperlink ref="E1455" r:id="rId_hyperlink_1454" tooltip="Перейти" display="Перейти"/>
    <hyperlink ref="E1456" r:id="rId_hyperlink_1455" tooltip="Перейти" display="Перейти"/>
    <hyperlink ref="E1457" r:id="rId_hyperlink_1456" tooltip="Перейти" display="Перейти"/>
    <hyperlink ref="E1458" r:id="rId_hyperlink_1457" tooltip="Перейти" display="Перейти"/>
    <hyperlink ref="E1459" r:id="rId_hyperlink_1458" tooltip="Перейти" display="Перейти"/>
    <hyperlink ref="E1460" r:id="rId_hyperlink_1459" tooltip="Перейти" display="Перейти"/>
    <hyperlink ref="E1461" r:id="rId_hyperlink_1460" tooltip="Перейти" display="Перейти"/>
    <hyperlink ref="E1462" r:id="rId_hyperlink_1461" tooltip="Перейти" display="Перейти"/>
    <hyperlink ref="E1463" r:id="rId_hyperlink_1462" tooltip="Перейти" display="Перейти"/>
    <hyperlink ref="E1464" r:id="rId_hyperlink_1463" tooltip="Перейти" display="Перейти"/>
    <hyperlink ref="E1465" r:id="rId_hyperlink_1464" tooltip="Перейти" display="Перейти"/>
    <hyperlink ref="E1466" r:id="rId_hyperlink_1465" tooltip="Перейти" display="Перейти"/>
    <hyperlink ref="E1467" r:id="rId_hyperlink_1466" tooltip="Перейти" display="Перейти"/>
    <hyperlink ref="E1468" r:id="rId_hyperlink_1467" tooltip="Перейти" display="Перейти"/>
    <hyperlink ref="E1469" r:id="rId_hyperlink_1468" tooltip="Перейти" display="Перейти"/>
    <hyperlink ref="E1470" r:id="rId_hyperlink_1469" tooltip="Перейти" display="Перейти"/>
    <hyperlink ref="E1471" r:id="rId_hyperlink_1470" tooltip="Перейти" display="Перейти"/>
    <hyperlink ref="E1472" r:id="rId_hyperlink_1471" tooltip="Перейти" display="Перейти"/>
    <hyperlink ref="E1473" r:id="rId_hyperlink_1472" tooltip="Перейти" display="Перейти"/>
    <hyperlink ref="E1474" r:id="rId_hyperlink_1473" tooltip="Перейти" display="Перейти"/>
    <hyperlink ref="E1475" r:id="rId_hyperlink_1474" tooltip="Перейти" display="Перейти"/>
    <hyperlink ref="E1476" r:id="rId_hyperlink_1475" tooltip="Перейти" display="Перейти"/>
    <hyperlink ref="E1477" r:id="rId_hyperlink_1476" tooltip="Перейти" display="Перейти"/>
    <hyperlink ref="E1478" r:id="rId_hyperlink_1477" tooltip="Перейти" display="Перейти"/>
    <hyperlink ref="E1479" r:id="rId_hyperlink_1478" tooltip="Перейти" display="Перейти"/>
    <hyperlink ref="E1480" r:id="rId_hyperlink_1479" tooltip="Перейти" display="Перейти"/>
    <hyperlink ref="E1481" r:id="rId_hyperlink_1480" tooltip="Перейти" display="Перейти"/>
    <hyperlink ref="E1482" r:id="rId_hyperlink_1481" tooltip="Перейти" display="Перейти"/>
    <hyperlink ref="E1483" r:id="rId_hyperlink_1482" tooltip="Перейти" display="Перейти"/>
    <hyperlink ref="E1484" r:id="rId_hyperlink_1483" tooltip="Перейти" display="Перейти"/>
    <hyperlink ref="E1485" r:id="rId_hyperlink_1484" tooltip="Перейти" display="Перейти"/>
    <hyperlink ref="E1486" r:id="rId_hyperlink_1485" tooltip="Перейти" display="Перейти"/>
    <hyperlink ref="E1487" r:id="rId_hyperlink_1486" tooltip="Перейти" display="Перейти"/>
    <hyperlink ref="E1488" r:id="rId_hyperlink_1487" tooltip="Перейти" display="Перейти"/>
    <hyperlink ref="E1489" r:id="rId_hyperlink_1488" tooltip="Перейти" display="Перейти"/>
    <hyperlink ref="E1490" r:id="rId_hyperlink_1489" tooltip="Перейти" display="Перейти"/>
    <hyperlink ref="E1491" r:id="rId_hyperlink_1490" tooltip="Перейти" display="Перейти"/>
    <hyperlink ref="E1492" r:id="rId_hyperlink_1491" tooltip="Перейти" display="Перейти"/>
    <hyperlink ref="E1493" r:id="rId_hyperlink_1492" tooltip="Перейти" display="Перейти"/>
    <hyperlink ref="E1494" r:id="rId_hyperlink_1493" tooltip="Перейти" display="Перейти"/>
    <hyperlink ref="E1495" r:id="rId_hyperlink_1494" tooltip="Перейти" display="Перейти"/>
    <hyperlink ref="E1496" r:id="rId_hyperlink_1495" tooltip="Перейти" display="Перейти"/>
    <hyperlink ref="E1497" r:id="rId_hyperlink_1496" tooltip="Перейти" display="Перейти"/>
    <hyperlink ref="E1498" r:id="rId_hyperlink_1497" tooltip="Перейти" display="Перейти"/>
    <hyperlink ref="E1499" r:id="rId_hyperlink_1498" tooltip="Перейти" display="Перейти"/>
    <hyperlink ref="E1500" r:id="rId_hyperlink_1499" tooltip="Перейти" display="Перейти"/>
    <hyperlink ref="E1501" r:id="rId_hyperlink_1500" tooltip="Перейти" display="Перейти"/>
    <hyperlink ref="E1502" r:id="rId_hyperlink_1501" tooltip="Перейти" display="Перейти"/>
    <hyperlink ref="E1503" r:id="rId_hyperlink_1502" tooltip="Перейти" display="Перейти"/>
    <hyperlink ref="E1504" r:id="rId_hyperlink_1503" tooltip="Перейти" display="Перейти"/>
    <hyperlink ref="E1505" r:id="rId_hyperlink_1504" tooltip="Перейти" display="Перейти"/>
    <hyperlink ref="E1506" r:id="rId_hyperlink_1505" tooltip="Перейти" display="Перейти"/>
    <hyperlink ref="E1507" r:id="rId_hyperlink_1506" tooltip="Перейти" display="Перейти"/>
    <hyperlink ref="E1508" r:id="rId_hyperlink_1507" tooltip="Перейти" display="Перейти"/>
    <hyperlink ref="E1509" r:id="rId_hyperlink_1508" tooltip="Перейти" display="Перейти"/>
    <hyperlink ref="E1510" r:id="rId_hyperlink_1509" tooltip="Перейти" display="Перейти"/>
    <hyperlink ref="E1511" r:id="rId_hyperlink_1510" tooltip="Перейти" display="Перейти"/>
    <hyperlink ref="E1512" r:id="rId_hyperlink_1511" tooltip="Перейти" display="Перейти"/>
    <hyperlink ref="E1513" r:id="rId_hyperlink_1512" tooltip="Перейти" display="Перейти"/>
    <hyperlink ref="E1514" r:id="rId_hyperlink_1513" tooltip="Перейти" display="Перейти"/>
    <hyperlink ref="E1515" r:id="rId_hyperlink_1514" tooltip="Перейти" display="Перейти"/>
    <hyperlink ref="E1516" r:id="rId_hyperlink_1515" tooltip="Перейти" display="Перейти"/>
    <hyperlink ref="E1517" r:id="rId_hyperlink_1516" tooltip="Перейти" display="Перейти"/>
    <hyperlink ref="E1518" r:id="rId_hyperlink_1517" tooltip="Перейти" display="Перейти"/>
    <hyperlink ref="E1519" r:id="rId_hyperlink_1518" tooltip="Перейти" display="Перейти"/>
    <hyperlink ref="E1520" r:id="rId_hyperlink_1519" tooltip="Перейти" display="Перейти"/>
    <hyperlink ref="E1521" r:id="rId_hyperlink_1520" tooltip="Перейти" display="Перейти"/>
    <hyperlink ref="E1522" r:id="rId_hyperlink_1521" tooltip="Перейти" display="Перейти"/>
    <hyperlink ref="E1523" r:id="rId_hyperlink_1522" tooltip="Перейти" display="Перейти"/>
    <hyperlink ref="E1524" r:id="rId_hyperlink_1523" tooltip="Перейти" display="Перейти"/>
    <hyperlink ref="E1525" r:id="rId_hyperlink_1524" tooltip="Перейти" display="Перейти"/>
    <hyperlink ref="E1526" r:id="rId_hyperlink_1525" tooltip="Перейти" display="Перейти"/>
    <hyperlink ref="E1527" r:id="rId_hyperlink_1526" tooltip="Перейти" display="Перейти"/>
    <hyperlink ref="E1528" r:id="rId_hyperlink_1527" tooltip="Перейти" display="Перейти"/>
    <hyperlink ref="E1529" r:id="rId_hyperlink_1528" tooltip="Перейти" display="Перейти"/>
    <hyperlink ref="E1530" r:id="rId_hyperlink_1529" tooltip="Перейти" display="Перейти"/>
    <hyperlink ref="E1531" r:id="rId_hyperlink_1530" tooltip="Перейти" display="Перейти"/>
    <hyperlink ref="E1532" r:id="rId_hyperlink_1531" tooltip="Перейти" display="Перейти"/>
    <hyperlink ref="E1533" r:id="rId_hyperlink_1532" tooltip="Перейти" display="Перейти"/>
    <hyperlink ref="E1534" r:id="rId_hyperlink_1533" tooltip="Перейти" display="Перейти"/>
    <hyperlink ref="E1535" r:id="rId_hyperlink_1534" tooltip="Перейти" display="Перейти"/>
    <hyperlink ref="E1536" r:id="rId_hyperlink_1535" tooltip="Перейти" display="Перейти"/>
    <hyperlink ref="E1537" r:id="rId_hyperlink_1536" tooltip="Перейти" display="Перейти"/>
    <hyperlink ref="E1538" r:id="rId_hyperlink_1537" tooltip="Перейти" display="Перейти"/>
    <hyperlink ref="E1539" r:id="rId_hyperlink_1538" tooltip="Перейти" display="Перейти"/>
    <hyperlink ref="E1540" r:id="rId_hyperlink_1539" tooltip="Перейти" display="Перейти"/>
    <hyperlink ref="E1541" r:id="rId_hyperlink_1540" tooltip="Перейти" display="Перейти"/>
    <hyperlink ref="E1542" r:id="rId_hyperlink_1541" tooltip="Перейти" display="Перейти"/>
    <hyperlink ref="E1543" r:id="rId_hyperlink_1542" tooltip="Перейти" display="Перейти"/>
    <hyperlink ref="E1544" r:id="rId_hyperlink_1543" tooltip="Перейти" display="Перейти"/>
    <hyperlink ref="E1545" r:id="rId_hyperlink_1544" tooltip="Перейти" display="Перейти"/>
    <hyperlink ref="E1546" r:id="rId_hyperlink_1545" tooltip="Перейти" display="Перейти"/>
    <hyperlink ref="E1547" r:id="rId_hyperlink_1546" tooltip="Перейти" display="Перейти"/>
    <hyperlink ref="E1548" r:id="rId_hyperlink_1547" tooltip="Перейти" display="Перейти"/>
    <hyperlink ref="E1549" r:id="rId_hyperlink_1548" tooltip="Перейти" display="Перейти"/>
    <hyperlink ref="E1550" r:id="rId_hyperlink_1549" tooltip="Перейти" display="Перейти"/>
    <hyperlink ref="E1551" r:id="rId_hyperlink_1550" tooltip="Перейти" display="Перейти"/>
    <hyperlink ref="E1552" r:id="rId_hyperlink_1551" tooltip="Перейти" display="Перейти"/>
    <hyperlink ref="E1553" r:id="rId_hyperlink_1552" tooltip="Перейти" display="Перейти"/>
    <hyperlink ref="E1554" r:id="rId_hyperlink_1553" tooltip="Перейти" display="Перейти"/>
    <hyperlink ref="E1555" r:id="rId_hyperlink_1554" tooltip="Перейти" display="Перейти"/>
    <hyperlink ref="E1556" r:id="rId_hyperlink_1555" tooltip="Перейти" display="Перейти"/>
    <hyperlink ref="E1557" r:id="rId_hyperlink_1556" tooltip="Перейти" display="Перейти"/>
    <hyperlink ref="E1558" r:id="rId_hyperlink_1557" tooltip="Перейти" display="Перейти"/>
    <hyperlink ref="E1559" r:id="rId_hyperlink_1558" tooltip="Перейти" display="Перейти"/>
    <hyperlink ref="E1560" r:id="rId_hyperlink_1559" tooltip="Перейти" display="Перейти"/>
    <hyperlink ref="E1561" r:id="rId_hyperlink_1560" tooltip="Перейти" display="Перейти"/>
    <hyperlink ref="E1562" r:id="rId_hyperlink_1561" tooltip="Перейти" display="Перейти"/>
    <hyperlink ref="E1563" r:id="rId_hyperlink_1562" tooltip="Перейти" display="Перейти"/>
    <hyperlink ref="E1564" r:id="rId_hyperlink_1563" tooltip="Перейти" display="Перейти"/>
    <hyperlink ref="E1565" r:id="rId_hyperlink_1564" tooltip="Перейти" display="Перейти"/>
    <hyperlink ref="E1566" r:id="rId_hyperlink_1565" tooltip="Перейти" display="Перейти"/>
    <hyperlink ref="E1567" r:id="rId_hyperlink_1566" tooltip="Перейти" display="Перейти"/>
    <hyperlink ref="E1568" r:id="rId_hyperlink_1567" tooltip="Перейти" display="Перейти"/>
    <hyperlink ref="E1569" r:id="rId_hyperlink_1568" tooltip="Перейти" display="Перейти"/>
    <hyperlink ref="E1570" r:id="rId_hyperlink_1569" tooltip="Перейти" display="Перейти"/>
    <hyperlink ref="E1571" r:id="rId_hyperlink_1570" tooltip="Перейти" display="Перейти"/>
    <hyperlink ref="E1572" r:id="rId_hyperlink_1571" tooltip="Перейти" display="Перейти"/>
    <hyperlink ref="E1573" r:id="rId_hyperlink_1572" tooltip="Перейти" display="Перейти"/>
    <hyperlink ref="E1574" r:id="rId_hyperlink_1573" tooltip="Перейти" display="Перейти"/>
    <hyperlink ref="E1575" r:id="rId_hyperlink_1574" tooltip="Перейти" display="Перейти"/>
    <hyperlink ref="E1576" r:id="rId_hyperlink_1575" tooltip="Перейти" display="Перейти"/>
    <hyperlink ref="E1577" r:id="rId_hyperlink_1576" tooltip="Перейти" display="Перейти"/>
    <hyperlink ref="E1578" r:id="rId_hyperlink_1577" tooltip="Перейти" display="Перейти"/>
    <hyperlink ref="E1579" r:id="rId_hyperlink_1578" tooltip="Перейти" display="Перейти"/>
    <hyperlink ref="E1580" r:id="rId_hyperlink_1579" tooltip="Перейти" display="Перейти"/>
    <hyperlink ref="E1581" r:id="rId_hyperlink_1580" tooltip="Перейти" display="Перейти"/>
    <hyperlink ref="E1582" r:id="rId_hyperlink_1581" tooltip="Перейти" display="Перейти"/>
    <hyperlink ref="E1583" r:id="rId_hyperlink_1582" tooltip="Перейти" display="Перейти"/>
    <hyperlink ref="E1584" r:id="rId_hyperlink_1583" tooltip="Перейти" display="Перейти"/>
    <hyperlink ref="E1585" r:id="rId_hyperlink_1584" tooltip="Перейти" display="Перейти"/>
    <hyperlink ref="E1586" r:id="rId_hyperlink_1585" tooltip="Перейти" display="Перейти"/>
    <hyperlink ref="E1587" r:id="rId_hyperlink_1586" tooltip="Перейти" display="Перейти"/>
    <hyperlink ref="E1588" r:id="rId_hyperlink_1587" tooltip="Перейти" display="Перейти"/>
    <hyperlink ref="E1589" r:id="rId_hyperlink_1588" tooltip="Перейти" display="Перейти"/>
    <hyperlink ref="E1590" r:id="rId_hyperlink_1589" tooltip="Перейти" display="Перейти"/>
    <hyperlink ref="E1591" r:id="rId_hyperlink_1590" tooltip="Перейти" display="Перейти"/>
    <hyperlink ref="E1592" r:id="rId_hyperlink_1591" tooltip="Перейти" display="Перейти"/>
    <hyperlink ref="E1593" r:id="rId_hyperlink_1592" tooltip="Перейти" display="Перейти"/>
    <hyperlink ref="E1594" r:id="rId_hyperlink_1593" tooltip="Перейти" display="Перейти"/>
    <hyperlink ref="E1595" r:id="rId_hyperlink_1594" tooltip="Перейти" display="Перейти"/>
    <hyperlink ref="E1596" r:id="rId_hyperlink_1595" tooltip="Перейти" display="Перейти"/>
    <hyperlink ref="E1597" r:id="rId_hyperlink_1596" tooltip="Перейти" display="Перейти"/>
    <hyperlink ref="E1598" r:id="rId_hyperlink_1597" tooltip="Перейти" display="Перейти"/>
    <hyperlink ref="E1599" r:id="rId_hyperlink_1598" tooltip="Перейти" display="Перейти"/>
    <hyperlink ref="E1600" r:id="rId_hyperlink_1599" tooltip="Перейти" display="Перейти"/>
    <hyperlink ref="E1601" r:id="rId_hyperlink_1600" tooltip="Перейти" display="Перейти"/>
    <hyperlink ref="E1602" r:id="rId_hyperlink_1601" tooltip="Перейти" display="Перейти"/>
    <hyperlink ref="E1603" r:id="rId_hyperlink_1602" tooltip="Перейти" display="Перейти"/>
    <hyperlink ref="E1604" r:id="rId_hyperlink_1603" tooltip="Перейти" display="Перейти"/>
    <hyperlink ref="E1605" r:id="rId_hyperlink_1604" tooltip="Перейти" display="Перейти"/>
    <hyperlink ref="E1606" r:id="rId_hyperlink_1605" tooltip="Перейти" display="Перейти"/>
    <hyperlink ref="E1607" r:id="rId_hyperlink_1606" tooltip="Перейти" display="Перейти"/>
    <hyperlink ref="E1608" r:id="rId_hyperlink_1607" tooltip="Перейти" display="Перейти"/>
    <hyperlink ref="E1609" r:id="rId_hyperlink_1608" tooltip="Перейти" display="Перейти"/>
    <hyperlink ref="E1610" r:id="rId_hyperlink_1609" tooltip="Перейти" display="Перейти"/>
    <hyperlink ref="E1611" r:id="rId_hyperlink_1610" tooltip="Перейти" display="Перейти"/>
    <hyperlink ref="E1612" r:id="rId_hyperlink_1611" tooltip="Перейти" display="Перейти"/>
    <hyperlink ref="E1613" r:id="rId_hyperlink_1612" tooltip="Перейти" display="Перейти"/>
    <hyperlink ref="E1614" r:id="rId_hyperlink_1613" tooltip="Перейти" display="Перейти"/>
    <hyperlink ref="E1615" r:id="rId_hyperlink_1614" tooltip="Перейти" display="Перейти"/>
    <hyperlink ref="E1616" r:id="rId_hyperlink_1615" tooltip="Перейти" display="Перейти"/>
    <hyperlink ref="E1617" r:id="rId_hyperlink_1616" tooltip="Перейти" display="Перейти"/>
    <hyperlink ref="E1618" r:id="rId_hyperlink_1617" tooltip="Перейти" display="Перейти"/>
    <hyperlink ref="E1619" r:id="rId_hyperlink_1618" tooltip="Перейти" display="Перейти"/>
    <hyperlink ref="E1620" r:id="rId_hyperlink_1619" tooltip="Перейти" display="Перейти"/>
    <hyperlink ref="E1621" r:id="rId_hyperlink_1620" tooltip="Перейти" display="Перейти"/>
    <hyperlink ref="E1622" r:id="rId_hyperlink_1621" tooltip="Перейти" display="Перейти"/>
    <hyperlink ref="E1623" r:id="rId_hyperlink_1622" tooltip="Перейти" display="Перейти"/>
    <hyperlink ref="E1624" r:id="rId_hyperlink_1623" tooltip="Перейти" display="Перейти"/>
    <hyperlink ref="E1625" r:id="rId_hyperlink_1624" tooltip="Перейти" display="Перейти"/>
    <hyperlink ref="E1626" r:id="rId_hyperlink_1625" tooltip="Перейти" display="Перейти"/>
    <hyperlink ref="E1627" r:id="rId_hyperlink_1626" tooltip="Перейти" display="Перейти"/>
    <hyperlink ref="E1628" r:id="rId_hyperlink_1627" tooltip="Перейти" display="Перейти"/>
    <hyperlink ref="E1629" r:id="rId_hyperlink_1628" tooltip="Перейти" display="Перейти"/>
    <hyperlink ref="E1630" r:id="rId_hyperlink_1629" tooltip="Перейти" display="Перейти"/>
    <hyperlink ref="E1631" r:id="rId_hyperlink_1630" tooltip="Перейти" display="Перейти"/>
    <hyperlink ref="E1632" r:id="rId_hyperlink_1631" tooltip="Перейти" display="Перейти"/>
    <hyperlink ref="E1633" r:id="rId_hyperlink_1632" tooltip="Перейти" display="Перейти"/>
    <hyperlink ref="E1634" r:id="rId_hyperlink_1633" tooltip="Перейти" display="Перейти"/>
    <hyperlink ref="E1635" r:id="rId_hyperlink_1634" tooltip="Перейти" display="Перейти"/>
    <hyperlink ref="E1636" r:id="rId_hyperlink_1635" tooltip="Перейти" display="Перейти"/>
    <hyperlink ref="E1637" r:id="rId_hyperlink_1636" tooltip="Перейти" display="Перейти"/>
    <hyperlink ref="E1638" r:id="rId_hyperlink_1637" tooltip="Перейти" display="Перейти"/>
    <hyperlink ref="E1639" r:id="rId_hyperlink_1638" tooltip="Перейти" display="Перейти"/>
    <hyperlink ref="E1640" r:id="rId_hyperlink_1639" tooltip="Перейти" display="Перейти"/>
    <hyperlink ref="E1641" r:id="rId_hyperlink_1640" tooltip="Перейти" display="Перейти"/>
    <hyperlink ref="E1642" r:id="rId_hyperlink_1641" tooltip="Перейти" display="Перейти"/>
    <hyperlink ref="E1643" r:id="rId_hyperlink_1642" tooltip="Перейти" display="Перейти"/>
    <hyperlink ref="E1644" r:id="rId_hyperlink_1643" tooltip="Перейти" display="Перейти"/>
    <hyperlink ref="E1645" r:id="rId_hyperlink_1644" tooltip="Перейти" display="Перейти"/>
    <hyperlink ref="E1646" r:id="rId_hyperlink_1645" tooltip="Перейти" display="Перейти"/>
    <hyperlink ref="E1647" r:id="rId_hyperlink_1646" tooltip="Перейти" display="Перейти"/>
    <hyperlink ref="E1648" r:id="rId_hyperlink_1647" tooltip="Перейти" display="Перейти"/>
    <hyperlink ref="E1649" r:id="rId_hyperlink_1648" tooltip="Перейти" display="Перейти"/>
    <hyperlink ref="E1650" r:id="rId_hyperlink_1649" tooltip="Перейти" display="Перейти"/>
    <hyperlink ref="E1651" r:id="rId_hyperlink_1650" tooltip="Перейти" display="Перейти"/>
    <hyperlink ref="E1652" r:id="rId_hyperlink_1651" tooltip="Перейти" display="Перейти"/>
    <hyperlink ref="E1653" r:id="rId_hyperlink_1652" tooltip="Перейти" display="Перейти"/>
    <hyperlink ref="E1654" r:id="rId_hyperlink_1653" tooltip="Перейти" display="Перейти"/>
    <hyperlink ref="E1655" r:id="rId_hyperlink_1654" tooltip="Перейти" display="Перейти"/>
    <hyperlink ref="E1656" r:id="rId_hyperlink_1655" tooltip="Перейти" display="Перейти"/>
    <hyperlink ref="E1657" r:id="rId_hyperlink_1656" tooltip="Перейти" display="Перейти"/>
    <hyperlink ref="E1658" r:id="rId_hyperlink_1657" tooltip="Перейти" display="Перейти"/>
    <hyperlink ref="E1659" r:id="rId_hyperlink_1658" tooltip="Перейти" display="Перейти"/>
    <hyperlink ref="E1660" r:id="rId_hyperlink_1659" tooltip="Перейти" display="Перейти"/>
    <hyperlink ref="E1661" r:id="rId_hyperlink_1660" tooltip="Перейти" display="Перейти"/>
    <hyperlink ref="E1662" r:id="rId_hyperlink_1661" tooltip="Перейти" display="Перейти"/>
    <hyperlink ref="E1663" r:id="rId_hyperlink_1662" tooltip="Перейти" display="Перейти"/>
    <hyperlink ref="E1664" r:id="rId_hyperlink_1663" tooltip="Перейти" display="Перейти"/>
    <hyperlink ref="E1665" r:id="rId_hyperlink_1664" tooltip="Перейти" display="Перейти"/>
    <hyperlink ref="E1666" r:id="rId_hyperlink_1665" tooltip="Перейти" display="Перейти"/>
    <hyperlink ref="E1667" r:id="rId_hyperlink_1666" tooltip="Перейти" display="Перейти"/>
    <hyperlink ref="E1668" r:id="rId_hyperlink_1667" tooltip="Перейти" display="Перейти"/>
    <hyperlink ref="E1669" r:id="rId_hyperlink_1668" tooltip="Перейти" display="Перейти"/>
    <hyperlink ref="E1670" r:id="rId_hyperlink_1669" tooltip="Перейти" display="Перейти"/>
    <hyperlink ref="E1671" r:id="rId_hyperlink_1670" tooltip="Перейти" display="Перейти"/>
    <hyperlink ref="E1672" r:id="rId_hyperlink_1671" tooltip="Перейти" display="Перейти"/>
    <hyperlink ref="E1673" r:id="rId_hyperlink_1672" tooltip="Перейти" display="Перейти"/>
    <hyperlink ref="E1674" r:id="rId_hyperlink_1673" tooltip="Перейти" display="Перейти"/>
    <hyperlink ref="E1675" r:id="rId_hyperlink_1674" tooltip="Перейти" display="Перейти"/>
    <hyperlink ref="E1676" r:id="rId_hyperlink_1675" tooltip="Перейти" display="Перейти"/>
    <hyperlink ref="E1677" r:id="rId_hyperlink_1676" tooltip="Перейти" display="Перейти"/>
    <hyperlink ref="E1678" r:id="rId_hyperlink_1677" tooltip="Перейти" display="Перейти"/>
    <hyperlink ref="E1679" r:id="rId_hyperlink_1678" tooltip="Перейти" display="Перейти"/>
    <hyperlink ref="E1680" r:id="rId_hyperlink_1679" tooltip="Перейти" display="Перейти"/>
    <hyperlink ref="E1681" r:id="rId_hyperlink_1680" tooltip="Перейти" display="Перейти"/>
    <hyperlink ref="E1682" r:id="rId_hyperlink_1681" tooltip="Перейти" display="Перейти"/>
    <hyperlink ref="E1683" r:id="rId_hyperlink_1682" tooltip="Перейти" display="Перейти"/>
    <hyperlink ref="E1684" r:id="rId_hyperlink_1683" tooltip="Перейти" display="Перейти"/>
    <hyperlink ref="E1685" r:id="rId_hyperlink_1684" tooltip="Перейти" display="Перейти"/>
    <hyperlink ref="E1686" r:id="rId_hyperlink_1685" tooltip="Перейти" display="Перейти"/>
    <hyperlink ref="E1687" r:id="rId_hyperlink_1686" tooltip="Перейти" display="Перейти"/>
    <hyperlink ref="E1688" r:id="rId_hyperlink_1687" tooltip="Перейти" display="Перейти"/>
    <hyperlink ref="E1689" r:id="rId_hyperlink_1688" tooltip="Перейти" display="Перейти"/>
    <hyperlink ref="E1690" r:id="rId_hyperlink_1689" tooltip="Перейти" display="Перейти"/>
    <hyperlink ref="E1691" r:id="rId_hyperlink_1690" tooltip="Перейти" display="Перейти"/>
    <hyperlink ref="E1692" r:id="rId_hyperlink_1691" tooltip="Перейти" display="Перейти"/>
    <hyperlink ref="E1693" r:id="rId_hyperlink_1692" tooltip="Перейти" display="Перейти"/>
    <hyperlink ref="E1694" r:id="rId_hyperlink_1693" tooltip="Перейти" display="Перейти"/>
    <hyperlink ref="E1695" r:id="rId_hyperlink_1694" tooltip="Перейти" display="Перейти"/>
    <hyperlink ref="E1696" r:id="rId_hyperlink_1695" tooltip="Перейти" display="Перейти"/>
    <hyperlink ref="E1697" r:id="rId_hyperlink_1696" tooltip="Перейти" display="Перейти"/>
    <hyperlink ref="E1698" r:id="rId_hyperlink_1697" tooltip="Перейти" display="Перейти"/>
    <hyperlink ref="E1699" r:id="rId_hyperlink_1698" tooltip="Перейти" display="Перейти"/>
    <hyperlink ref="E1700" r:id="rId_hyperlink_1699" tooltip="Перейти" display="Перейти"/>
    <hyperlink ref="E1701" r:id="rId_hyperlink_1700" tooltip="Перейти" display="Перейти"/>
    <hyperlink ref="E1702" r:id="rId_hyperlink_1701" tooltip="Перейти" display="Перейти"/>
    <hyperlink ref="E1703" r:id="rId_hyperlink_1702" tooltip="Перейти" display="Перейти"/>
    <hyperlink ref="E1704" r:id="rId_hyperlink_1703" tooltip="Перейти" display="Перейти"/>
    <hyperlink ref="E1705" r:id="rId_hyperlink_1704" tooltip="Перейти" display="Перейти"/>
    <hyperlink ref="E1706" r:id="rId_hyperlink_1705" tooltip="Перейти" display="Перейти"/>
    <hyperlink ref="E1707" r:id="rId_hyperlink_1706" tooltip="Перейти" display="Перейти"/>
    <hyperlink ref="E1708" r:id="rId_hyperlink_1707" tooltip="Перейти" display="Перейти"/>
    <hyperlink ref="E1709" r:id="rId_hyperlink_1708" tooltip="Перейти" display="Перейти"/>
    <hyperlink ref="E1710" r:id="rId_hyperlink_1709" tooltip="Перейти" display="Перейти"/>
    <hyperlink ref="E1711" r:id="rId_hyperlink_1710" tooltip="Перейти" display="Перейти"/>
    <hyperlink ref="E1712" r:id="rId_hyperlink_1711" tooltip="Перейти" display="Перейти"/>
    <hyperlink ref="E1713" r:id="rId_hyperlink_1712" tooltip="Перейти" display="Перейти"/>
    <hyperlink ref="E1714" r:id="rId_hyperlink_1713" tooltip="Перейти" display="Перейти"/>
    <hyperlink ref="E1715" r:id="rId_hyperlink_1714" tooltip="Перейти" display="Перейти"/>
    <hyperlink ref="E1716" r:id="rId_hyperlink_1715" tooltip="Перейти" display="Перейти"/>
    <hyperlink ref="E1717" r:id="rId_hyperlink_1716" tooltip="Перейти" display="Перейти"/>
    <hyperlink ref="E1718" r:id="rId_hyperlink_1717" tooltip="Перейти" display="Перейти"/>
    <hyperlink ref="E1719" r:id="rId_hyperlink_1718" tooltip="Перейти" display="Перейти"/>
    <hyperlink ref="E1720" r:id="rId_hyperlink_1719" tooltip="Перейти" display="Перейти"/>
    <hyperlink ref="E1721" r:id="rId_hyperlink_1720" tooltip="Перейти" display="Перейти"/>
    <hyperlink ref="E1722" r:id="rId_hyperlink_1721" tooltip="Перейти" display="Перейти"/>
    <hyperlink ref="E1723" r:id="rId_hyperlink_1722" tooltip="Перейти" display="Перейти"/>
    <hyperlink ref="E1724" r:id="rId_hyperlink_1723" tooltip="Перейти" display="Перейти"/>
    <hyperlink ref="E1725" r:id="rId_hyperlink_1724" tooltip="Перейти" display="Перейти"/>
    <hyperlink ref="E1726" r:id="rId_hyperlink_1725" tooltip="Перейти" display="Перейти"/>
    <hyperlink ref="E1727" r:id="rId_hyperlink_1726" tooltip="Перейти" display="Перейти"/>
    <hyperlink ref="E1728" r:id="rId_hyperlink_1727" tooltip="Перейти" display="Перейти"/>
    <hyperlink ref="E1729" r:id="rId_hyperlink_1728" tooltip="Перейти" display="Перейти"/>
    <hyperlink ref="E1730" r:id="rId_hyperlink_1729" tooltip="Перейти" display="Перейти"/>
    <hyperlink ref="E1731" r:id="rId_hyperlink_1730" tooltip="Перейти" display="Перейти"/>
    <hyperlink ref="E1732" r:id="rId_hyperlink_1731" tooltip="Перейти" display="Перейти"/>
    <hyperlink ref="E1733" r:id="rId_hyperlink_1732" tooltip="Перейти" display="Перейти"/>
    <hyperlink ref="E1734" r:id="rId_hyperlink_1733" tooltip="Перейти" display="Перейти"/>
    <hyperlink ref="E1735" r:id="rId_hyperlink_1734" tooltip="Перейти" display="Перейти"/>
    <hyperlink ref="E1736" r:id="rId_hyperlink_1735" tooltip="Перейти" display="Перейти"/>
    <hyperlink ref="E1737" r:id="rId_hyperlink_1736" tooltip="Перейти" display="Перейти"/>
    <hyperlink ref="E1738" r:id="rId_hyperlink_1737" tooltip="Перейти" display="Перейти"/>
    <hyperlink ref="E1739" r:id="rId_hyperlink_1738" tooltip="Перейти" display="Перейти"/>
    <hyperlink ref="E1740" r:id="rId_hyperlink_1739" tooltip="Перейти" display="Перейти"/>
    <hyperlink ref="E1741" r:id="rId_hyperlink_1740" tooltip="Перейти" display="Перейти"/>
    <hyperlink ref="E1742" r:id="rId_hyperlink_1741" tooltip="Перейти" display="Перейти"/>
    <hyperlink ref="E1743" r:id="rId_hyperlink_1742" tooltip="Перейти" display="Перейти"/>
    <hyperlink ref="E1744" r:id="rId_hyperlink_1743" tooltip="Перейти" display="Перейти"/>
    <hyperlink ref="E1745" r:id="rId_hyperlink_1744" tooltip="Перейти" display="Перейти"/>
    <hyperlink ref="E1746" r:id="rId_hyperlink_1745" tooltip="Перейти" display="Перейти"/>
    <hyperlink ref="E1747" r:id="rId_hyperlink_1746" tooltip="Перейти" display="Перейти"/>
    <hyperlink ref="E1748" r:id="rId_hyperlink_1747" tooltip="Перейти" display="Перейти"/>
    <hyperlink ref="E1749" r:id="rId_hyperlink_1748" tooltip="Перейти" display="Перейти"/>
    <hyperlink ref="E1750" r:id="rId_hyperlink_1749" tooltip="Перейти" display="Перейти"/>
    <hyperlink ref="E1751" r:id="rId_hyperlink_1750" tooltip="Перейти" display="Перейти"/>
    <hyperlink ref="E1752" r:id="rId_hyperlink_1751" tooltip="Перейти" display="Перейти"/>
    <hyperlink ref="E1753" r:id="rId_hyperlink_1752" tooltip="Перейти" display="Перейти"/>
    <hyperlink ref="E1754" r:id="rId_hyperlink_1753" tooltip="Перейти" display="Перейти"/>
    <hyperlink ref="E1755" r:id="rId_hyperlink_1754" tooltip="Перейти" display="Перейти"/>
    <hyperlink ref="E1756" r:id="rId_hyperlink_1755" tooltip="Перейти" display="Перейти"/>
    <hyperlink ref="E1757" r:id="rId_hyperlink_1756" tooltip="Перейти" display="Перейти"/>
    <hyperlink ref="E1758" r:id="rId_hyperlink_1757" tooltip="Перейти" display="Перейти"/>
    <hyperlink ref="E1759" r:id="rId_hyperlink_1758" tooltip="Перейти" display="Перейти"/>
    <hyperlink ref="E1760" r:id="rId_hyperlink_1759" tooltip="Перейти" display="Перейти"/>
    <hyperlink ref="E1761" r:id="rId_hyperlink_1760" tooltip="Перейти" display="Перейти"/>
    <hyperlink ref="E1762" r:id="rId_hyperlink_1761" tooltip="Перейти" display="Перейти"/>
    <hyperlink ref="E1763" r:id="rId_hyperlink_1762" tooltip="Перейти" display="Перейти"/>
    <hyperlink ref="E1764" r:id="rId_hyperlink_1763" tooltip="Перейти" display="Перейти"/>
    <hyperlink ref="E1765" r:id="rId_hyperlink_1764" tooltip="Перейти" display="Перейти"/>
    <hyperlink ref="E1766" r:id="rId_hyperlink_1765" tooltip="Перейти" display="Перейти"/>
    <hyperlink ref="E1767" r:id="rId_hyperlink_1766" tooltip="Перейти" display="Перейти"/>
    <hyperlink ref="E1768" r:id="rId_hyperlink_1767" tooltip="Перейти" display="Перейти"/>
    <hyperlink ref="E1769" r:id="rId_hyperlink_1768" tooltip="Перейти" display="Перейти"/>
    <hyperlink ref="E1770" r:id="rId_hyperlink_1769" tooltip="Перейти" display="Перейти"/>
    <hyperlink ref="E1771" r:id="rId_hyperlink_1770" tooltip="Перейти" display="Перейти"/>
    <hyperlink ref="E1772" r:id="rId_hyperlink_1771" tooltip="Перейти" display="Перейти"/>
    <hyperlink ref="E1773" r:id="rId_hyperlink_1772" tooltip="Перейти" display="Перейти"/>
    <hyperlink ref="E1774" r:id="rId_hyperlink_1773" tooltip="Перейти" display="Перейти"/>
    <hyperlink ref="E1775" r:id="rId_hyperlink_1774" tooltip="Перейти" display="Перейти"/>
    <hyperlink ref="E1776" r:id="rId_hyperlink_1775" tooltip="Перейти" display="Перейти"/>
    <hyperlink ref="E1777" r:id="rId_hyperlink_1776" tooltip="Перейти" display="Перейти"/>
    <hyperlink ref="E1778" r:id="rId_hyperlink_1777" tooltip="Перейти" display="Перейти"/>
    <hyperlink ref="E1779" r:id="rId_hyperlink_1778" tooltip="Перейти" display="Перейти"/>
    <hyperlink ref="E1780" r:id="rId_hyperlink_1779" tooltip="Перейти" display="Перейти"/>
    <hyperlink ref="E1781" r:id="rId_hyperlink_1780" tooltip="Перейти" display="Перейти"/>
    <hyperlink ref="E1782" r:id="rId_hyperlink_1781" tooltip="Перейти" display="Перейти"/>
    <hyperlink ref="E1783" r:id="rId_hyperlink_1782" tooltip="Перейти" display="Перейти"/>
    <hyperlink ref="E1784" r:id="rId_hyperlink_1783" tooltip="Перейти" display="Перейти"/>
    <hyperlink ref="E1785" r:id="rId_hyperlink_1784" tooltip="Перейти" display="Перейти"/>
    <hyperlink ref="E1786" r:id="rId_hyperlink_1785" tooltip="Перейти" display="Перейти"/>
    <hyperlink ref="E1787" r:id="rId_hyperlink_1786" tooltip="Перейти" display="Перейти"/>
    <hyperlink ref="E1788" r:id="rId_hyperlink_1787" tooltip="Перейти" display="Перейти"/>
    <hyperlink ref="E1789" r:id="rId_hyperlink_1788" tooltip="Перейти" display="Перейти"/>
    <hyperlink ref="E1790" r:id="rId_hyperlink_1789" tooltip="Перейти" display="Перейти"/>
    <hyperlink ref="E1791" r:id="rId_hyperlink_1790" tooltip="Перейти" display="Перейти"/>
    <hyperlink ref="E1792" r:id="rId_hyperlink_1791" tooltip="Перейти" display="Перейти"/>
    <hyperlink ref="E1793" r:id="rId_hyperlink_1792" tooltip="Перейти" display="Перейти"/>
    <hyperlink ref="E1794" r:id="rId_hyperlink_1793" tooltip="Перейти" display="Перейти"/>
    <hyperlink ref="E1795" r:id="rId_hyperlink_1794" tooltip="Перейти" display="Перейти"/>
    <hyperlink ref="E1796" r:id="rId_hyperlink_1795" tooltip="Перейти" display="Перейти"/>
    <hyperlink ref="E1797" r:id="rId_hyperlink_1796" tooltip="Перейти" display="Перейти"/>
    <hyperlink ref="E1798" r:id="rId_hyperlink_1797" tooltip="Перейти" display="Перейти"/>
    <hyperlink ref="E1799" r:id="rId_hyperlink_1798" tooltip="Перейти" display="Перейти"/>
    <hyperlink ref="E1800" r:id="rId_hyperlink_1799" tooltip="Перейти" display="Перейти"/>
    <hyperlink ref="E1801" r:id="rId_hyperlink_1800" tooltip="Перейти" display="Перейти"/>
    <hyperlink ref="E1802" r:id="rId_hyperlink_1801" tooltip="Перейти" display="Перейти"/>
    <hyperlink ref="E1803" r:id="rId_hyperlink_1802" tooltip="Перейти" display="Перейти"/>
    <hyperlink ref="E1804" r:id="rId_hyperlink_1803" tooltip="Перейти" display="Перейти"/>
    <hyperlink ref="E1805" r:id="rId_hyperlink_1804" tooltip="Перейти" display="Перейти"/>
    <hyperlink ref="E1806" r:id="rId_hyperlink_1805" tooltip="Перейти" display="Перейти"/>
    <hyperlink ref="E1807" r:id="rId_hyperlink_1806" tooltip="Перейти" display="Перейти"/>
    <hyperlink ref="E1808" r:id="rId_hyperlink_1807" tooltip="Перейти" display="Перейти"/>
    <hyperlink ref="E1809" r:id="rId_hyperlink_1808" tooltip="Перейти" display="Перейти"/>
    <hyperlink ref="E1810" r:id="rId_hyperlink_1809" tooltip="Перейти" display="Перейти"/>
    <hyperlink ref="E1811" r:id="rId_hyperlink_1810" tooltip="Перейти" display="Перейти"/>
    <hyperlink ref="E1812" r:id="rId_hyperlink_1811" tooltip="Перейти" display="Перейти"/>
    <hyperlink ref="E1813" r:id="rId_hyperlink_1812" tooltip="Перейти" display="Перейти"/>
    <hyperlink ref="E1814" r:id="rId_hyperlink_1813" tooltip="Перейти" display="Перейти"/>
    <hyperlink ref="E1815" r:id="rId_hyperlink_1814" tooltip="Перейти" display="Перейти"/>
    <hyperlink ref="E1816" r:id="rId_hyperlink_1815" tooltip="Перейти" display="Перейти"/>
    <hyperlink ref="E1817" r:id="rId_hyperlink_1816" tooltip="Перейти" display="Перейти"/>
    <hyperlink ref="E1818" r:id="rId_hyperlink_1817" tooltip="Перейти" display="Перейти"/>
    <hyperlink ref="E1819" r:id="rId_hyperlink_1818" tooltip="Перейти" display="Перейти"/>
    <hyperlink ref="E1820" r:id="rId_hyperlink_1819" tooltip="Перейти" display="Перейти"/>
    <hyperlink ref="E1821" r:id="rId_hyperlink_1820" tooltip="Перейти" display="Перейти"/>
    <hyperlink ref="E1822" r:id="rId_hyperlink_1821" tooltip="Перейти" display="Перейти"/>
    <hyperlink ref="E1823" r:id="rId_hyperlink_1822" tooltip="Перейти" display="Перейти"/>
    <hyperlink ref="E1824" r:id="rId_hyperlink_1823" tooltip="Перейти" display="Перейти"/>
    <hyperlink ref="E1825" r:id="rId_hyperlink_1824" tooltip="Перейти" display="Перейти"/>
    <hyperlink ref="E1826" r:id="rId_hyperlink_1825" tooltip="Перейти" display="Перейти"/>
    <hyperlink ref="E1827" r:id="rId_hyperlink_1826" tooltip="Перейти" display="Перейти"/>
    <hyperlink ref="E1828" r:id="rId_hyperlink_1827" tooltip="Перейти" display="Перейти"/>
    <hyperlink ref="E1829" r:id="rId_hyperlink_1828" tooltip="Перейти" display="Перейти"/>
    <hyperlink ref="E1830" r:id="rId_hyperlink_1829" tooltip="Перейти" display="Перейти"/>
    <hyperlink ref="E1831" r:id="rId_hyperlink_1830" tooltip="Перейти" display="Перейти"/>
    <hyperlink ref="E1832" r:id="rId_hyperlink_1831" tooltip="Перейти" display="Перейти"/>
    <hyperlink ref="E1833" r:id="rId_hyperlink_1832" tooltip="Перейти" display="Перейти"/>
    <hyperlink ref="E1834" r:id="rId_hyperlink_1833" tooltip="Перейти" display="Перейти"/>
    <hyperlink ref="E1835" r:id="rId_hyperlink_1834" tooltip="Перейти" display="Перейти"/>
    <hyperlink ref="E1836" r:id="rId_hyperlink_1835" tooltip="Перейти" display="Перейти"/>
    <hyperlink ref="E1837" r:id="rId_hyperlink_1836" tooltip="Перейти" display="Перейти"/>
    <hyperlink ref="E1838" r:id="rId_hyperlink_1837" tooltip="Перейти" display="Перейти"/>
    <hyperlink ref="E1839" r:id="rId_hyperlink_1838" tooltip="Перейти" display="Перейти"/>
    <hyperlink ref="E1840" r:id="rId_hyperlink_1839" tooltip="Перейти" display="Перейти"/>
    <hyperlink ref="E1841" r:id="rId_hyperlink_1840" tooltip="Перейти" display="Перейти"/>
    <hyperlink ref="E1842" r:id="rId_hyperlink_1841" tooltip="Перейти" display="Перейти"/>
    <hyperlink ref="E1843" r:id="rId_hyperlink_1842" tooltip="Перейти" display="Перейти"/>
    <hyperlink ref="E1844" r:id="rId_hyperlink_1843" tooltip="Перейти" display="Перейти"/>
    <hyperlink ref="E1845" r:id="rId_hyperlink_1844" tooltip="Перейти" display="Перейти"/>
    <hyperlink ref="E1846" r:id="rId_hyperlink_1845" tooltip="Перейти" display="Перейти"/>
    <hyperlink ref="E1847" r:id="rId_hyperlink_1846" tooltip="Перейти" display="Перейти"/>
    <hyperlink ref="E1848" r:id="rId_hyperlink_1847" tooltip="Перейти" display="Перейти"/>
    <hyperlink ref="E1849" r:id="rId_hyperlink_1848" tooltip="Перейти" display="Перейти"/>
    <hyperlink ref="E1850" r:id="rId_hyperlink_1849" tooltip="Перейти" display="Перейти"/>
    <hyperlink ref="E1851" r:id="rId_hyperlink_1850" tooltip="Перейти" display="Перейти"/>
    <hyperlink ref="E1852" r:id="rId_hyperlink_1851" tooltip="Перейти" display="Перейти"/>
    <hyperlink ref="E1853" r:id="rId_hyperlink_1852" tooltip="Перейти" display="Перейти"/>
    <hyperlink ref="E1854" r:id="rId_hyperlink_1853" tooltip="Перейти" display="Перейти"/>
    <hyperlink ref="E1855" r:id="rId_hyperlink_1854" tooltip="Перейти" display="Перейти"/>
    <hyperlink ref="E1856" r:id="rId_hyperlink_1855" tooltip="Перейти" display="Перейти"/>
    <hyperlink ref="E1857" r:id="rId_hyperlink_1856" tooltip="Перейти" display="Перейти"/>
    <hyperlink ref="E1858" r:id="rId_hyperlink_1857" tooltip="Перейти" display="Перейти"/>
    <hyperlink ref="E1859" r:id="rId_hyperlink_1858" tooltip="Перейти" display="Перейти"/>
    <hyperlink ref="E1860" r:id="rId_hyperlink_1859" tooltip="Перейти" display="Перейти"/>
    <hyperlink ref="E1861" r:id="rId_hyperlink_1860" tooltip="Перейти" display="Перейти"/>
    <hyperlink ref="E1862" r:id="rId_hyperlink_1861" tooltip="Перейти" display="Перейти"/>
    <hyperlink ref="E1863" r:id="rId_hyperlink_1862" tooltip="Перейти" display="Перейти"/>
    <hyperlink ref="E1864" r:id="rId_hyperlink_1863" tooltip="Перейти" display="Перейти"/>
    <hyperlink ref="E1865" r:id="rId_hyperlink_1864" tooltip="Перейти" display="Перейти"/>
    <hyperlink ref="E1866" r:id="rId_hyperlink_1865" tooltip="Перейти" display="Перейти"/>
    <hyperlink ref="E1867" r:id="rId_hyperlink_1866" tooltip="Перейти" display="Перейти"/>
    <hyperlink ref="E1868" r:id="rId_hyperlink_1867" tooltip="Перейти" display="Перейти"/>
    <hyperlink ref="E1869" r:id="rId_hyperlink_1868" tooltip="Перейти" display="Перейти"/>
    <hyperlink ref="E1870" r:id="rId_hyperlink_1869" tooltip="Перейти" display="Перейти"/>
    <hyperlink ref="E1871" r:id="rId_hyperlink_1870" tooltip="Перейти" display="Перейти"/>
    <hyperlink ref="E1872" r:id="rId_hyperlink_1871" tooltip="Перейти" display="Перейти"/>
    <hyperlink ref="E1873" r:id="rId_hyperlink_1872" tooltip="Перейти" display="Перейти"/>
    <hyperlink ref="E1874" r:id="rId_hyperlink_1873" tooltip="Перейти" display="Перейти"/>
    <hyperlink ref="E1875" r:id="rId_hyperlink_1874" tooltip="Перейти" display="Перейти"/>
    <hyperlink ref="E1876" r:id="rId_hyperlink_1875" tooltip="Перейти" display="Перейти"/>
    <hyperlink ref="E1877" r:id="rId_hyperlink_1876" tooltip="Перейти" display="Перейти"/>
    <hyperlink ref="E1878" r:id="rId_hyperlink_1877" tooltip="Перейти" display="Перейти"/>
    <hyperlink ref="E1879" r:id="rId_hyperlink_1878" tooltip="Перейти" display="Перейти"/>
    <hyperlink ref="E1880" r:id="rId_hyperlink_1879" tooltip="Перейти" display="Перейти"/>
    <hyperlink ref="E1881" r:id="rId_hyperlink_1880" tooltip="Перейти" display="Перейти"/>
    <hyperlink ref="E1882" r:id="rId_hyperlink_1881" tooltip="Перейти" display="Перейти"/>
    <hyperlink ref="E1883" r:id="rId_hyperlink_1882" tooltip="Перейти" display="Перейти"/>
    <hyperlink ref="E1884" r:id="rId_hyperlink_1883" tooltip="Перейти" display="Перейти"/>
    <hyperlink ref="E1885" r:id="rId_hyperlink_1884" tooltip="Перейти" display="Перейти"/>
    <hyperlink ref="E1886" r:id="rId_hyperlink_1885" tooltip="Перейти" display="Перейти"/>
    <hyperlink ref="E1887" r:id="rId_hyperlink_1886" tooltip="Перейти" display="Перейти"/>
    <hyperlink ref="E1888" r:id="rId_hyperlink_1887" tooltip="Перейти" display="Перейти"/>
    <hyperlink ref="E1889" r:id="rId_hyperlink_1888" tooltip="Перейти" display="Перейти"/>
    <hyperlink ref="E1890" r:id="rId_hyperlink_1889" tooltip="Перейти" display="Перейти"/>
    <hyperlink ref="E1891" r:id="rId_hyperlink_1890" tooltip="Перейти" display="Перейти"/>
    <hyperlink ref="E1892" r:id="rId_hyperlink_1891" tooltip="Перейти" display="Перейти"/>
    <hyperlink ref="E1893" r:id="rId_hyperlink_1892" tooltip="Перейти" display="Перейти"/>
    <hyperlink ref="E1894" r:id="rId_hyperlink_1893" tooltip="Перейти" display="Перейти"/>
    <hyperlink ref="E1895" r:id="rId_hyperlink_1894" tooltip="Перейти" display="Перейти"/>
    <hyperlink ref="E1896" r:id="rId_hyperlink_1895" tooltip="Перейти" display="Перейти"/>
    <hyperlink ref="E1897" r:id="rId_hyperlink_1896" tooltip="Перейти" display="Перейти"/>
    <hyperlink ref="E1898" r:id="rId_hyperlink_1897" tooltip="Перейти" display="Перейти"/>
    <hyperlink ref="E1899" r:id="rId_hyperlink_1898" tooltip="Перейти" display="Перейти"/>
    <hyperlink ref="E1900" r:id="rId_hyperlink_1899" tooltip="Перейти" display="Перейти"/>
    <hyperlink ref="E1901" r:id="rId_hyperlink_1900" tooltip="Перейти" display="Перейти"/>
    <hyperlink ref="E1902" r:id="rId_hyperlink_1901" tooltip="Перейти" display="Перейти"/>
    <hyperlink ref="E1903" r:id="rId_hyperlink_1902" tooltip="Перейти" display="Перейти"/>
    <hyperlink ref="E1904" r:id="rId_hyperlink_1903" tooltip="Перейти" display="Перейти"/>
    <hyperlink ref="E1905" r:id="rId_hyperlink_1904" tooltip="Перейти" display="Перейти"/>
    <hyperlink ref="E1906" r:id="rId_hyperlink_1905" tooltip="Перейти" display="Перейти"/>
    <hyperlink ref="E1907" r:id="rId_hyperlink_1906" tooltip="Перейти" display="Перейти"/>
    <hyperlink ref="E1908" r:id="rId_hyperlink_1907" tooltip="Перейти" display="Перейти"/>
    <hyperlink ref="E1909" r:id="rId_hyperlink_1908" tooltip="Перейти" display="Перейти"/>
    <hyperlink ref="E1910" r:id="rId_hyperlink_1909" tooltip="Перейти" display="Перейти"/>
    <hyperlink ref="E1911" r:id="rId_hyperlink_1910" tooltip="Перейти" display="Перейти"/>
    <hyperlink ref="E1912" r:id="rId_hyperlink_1911" tooltip="Перейти" display="Перейти"/>
    <hyperlink ref="E1913" r:id="rId_hyperlink_1912" tooltip="Перейти" display="Перейти"/>
    <hyperlink ref="E1914" r:id="rId_hyperlink_1913" tooltip="Перейти" display="Перейти"/>
    <hyperlink ref="E1915" r:id="rId_hyperlink_1914" tooltip="Перейти" display="Перейти"/>
    <hyperlink ref="E1916" r:id="rId_hyperlink_1915" tooltip="Перейти" display="Перейти"/>
    <hyperlink ref="E1917" r:id="rId_hyperlink_1916" tooltip="Перейти" display="Перейти"/>
    <hyperlink ref="E1918" r:id="rId_hyperlink_1917" tooltip="Перейти" display="Перейти"/>
    <hyperlink ref="E1919" r:id="rId_hyperlink_1918" tooltip="Перейти" display="Перейти"/>
    <hyperlink ref="E1920" r:id="rId_hyperlink_1919" tooltip="Перейти" display="Перейти"/>
    <hyperlink ref="E1921" r:id="rId_hyperlink_1920" tooltip="Перейти" display="Перейти"/>
    <hyperlink ref="E1922" r:id="rId_hyperlink_1921" tooltip="Перейти" display="Перейти"/>
    <hyperlink ref="E1923" r:id="rId_hyperlink_1922" tooltip="Перейти" display="Перейти"/>
    <hyperlink ref="E1924" r:id="rId_hyperlink_1923" tooltip="Перейти" display="Перейти"/>
    <hyperlink ref="E1925" r:id="rId_hyperlink_1924" tooltip="Перейти" display="Перейти"/>
    <hyperlink ref="E1926" r:id="rId_hyperlink_1925" tooltip="Перейти" display="Перейти"/>
    <hyperlink ref="E1927" r:id="rId_hyperlink_1926" tooltip="Перейти" display="Перейти"/>
    <hyperlink ref="E1928" r:id="rId_hyperlink_1927" tooltip="Перейти" display="Перейти"/>
    <hyperlink ref="E1929" r:id="rId_hyperlink_1928" tooltip="Перейти" display="Перейти"/>
    <hyperlink ref="E1930" r:id="rId_hyperlink_1929" tooltip="Перейти" display="Перейти"/>
    <hyperlink ref="E1931" r:id="rId_hyperlink_1930" tooltip="Перейти" display="Перейти"/>
    <hyperlink ref="E1932" r:id="rId_hyperlink_1931" tooltip="Перейти" display="Перейти"/>
    <hyperlink ref="E1933" r:id="rId_hyperlink_1932" tooltip="Перейти" display="Перейти"/>
    <hyperlink ref="E1934" r:id="rId_hyperlink_1933" tooltip="Перейти" display="Перейти"/>
    <hyperlink ref="E1935" r:id="rId_hyperlink_1934" tooltip="Перейти" display="Перейти"/>
    <hyperlink ref="E1936" r:id="rId_hyperlink_1935" tooltip="Перейти" display="Перейти"/>
    <hyperlink ref="E1937" r:id="rId_hyperlink_1936" tooltip="Перейти" display="Перейти"/>
    <hyperlink ref="E1938" r:id="rId_hyperlink_1937" tooltip="Перейти" display="Перейти"/>
    <hyperlink ref="E1939" r:id="rId_hyperlink_1938" tooltip="Перейти" display="Перейти"/>
    <hyperlink ref="E1940" r:id="rId_hyperlink_1939" tooltip="Перейти" display="Перейти"/>
    <hyperlink ref="E1941" r:id="rId_hyperlink_1940" tooltip="Перейти" display="Перейти"/>
    <hyperlink ref="E1942" r:id="rId_hyperlink_1941" tooltip="Перейти" display="Перейти"/>
    <hyperlink ref="E1943" r:id="rId_hyperlink_1942" tooltip="Перейти" display="Перейти"/>
    <hyperlink ref="E1944" r:id="rId_hyperlink_1943" tooltip="Перейти" display="Перейти"/>
    <hyperlink ref="E1945" r:id="rId_hyperlink_1944" tooltip="Перейти" display="Перейти"/>
    <hyperlink ref="E1946" r:id="rId_hyperlink_1945" tooltip="Перейти" display="Перейти"/>
    <hyperlink ref="E1947" r:id="rId_hyperlink_1946" tooltip="Перейти" display="Перейти"/>
    <hyperlink ref="E1948" r:id="rId_hyperlink_1947" tooltip="Перейти" display="Перейти"/>
    <hyperlink ref="E1949" r:id="rId_hyperlink_1948" tooltip="Перейти" display="Перейти"/>
    <hyperlink ref="E1950" r:id="rId_hyperlink_1949" tooltip="Перейти" display="Перейти"/>
    <hyperlink ref="E1951" r:id="rId_hyperlink_1950" tooltip="Перейти" display="Перейти"/>
    <hyperlink ref="E1952" r:id="rId_hyperlink_1951" tooltip="Перейти" display="Перейти"/>
    <hyperlink ref="E1953" r:id="rId_hyperlink_1952" tooltip="Перейти" display="Перейти"/>
    <hyperlink ref="E1954" r:id="rId_hyperlink_1953" tooltip="Перейти" display="Перейти"/>
    <hyperlink ref="E1955" r:id="rId_hyperlink_1954" tooltip="Перейти" display="Перейти"/>
    <hyperlink ref="E1956" r:id="rId_hyperlink_1955" tooltip="Перейти" display="Перейти"/>
    <hyperlink ref="E1957" r:id="rId_hyperlink_1956" tooltip="Перейти" display="Перейти"/>
    <hyperlink ref="E1958" r:id="rId_hyperlink_1957" tooltip="Перейти" display="Перейти"/>
    <hyperlink ref="E1959" r:id="rId_hyperlink_1958" tooltip="Перейти" display="Перейти"/>
    <hyperlink ref="E1960" r:id="rId_hyperlink_1959" tooltip="Перейти" display="Перейти"/>
    <hyperlink ref="E1961" r:id="rId_hyperlink_1960" tooltip="Перейти" display="Перейти"/>
    <hyperlink ref="E1962" r:id="rId_hyperlink_1961" tooltip="Перейти" display="Перейти"/>
    <hyperlink ref="E1963" r:id="rId_hyperlink_1962" tooltip="Перейти" display="Перейти"/>
    <hyperlink ref="E1964" r:id="rId_hyperlink_1963" tooltip="Перейти" display="Перейти"/>
    <hyperlink ref="E1965" r:id="rId_hyperlink_1964" tooltip="Перейти" display="Перейти"/>
    <hyperlink ref="E1966" r:id="rId_hyperlink_1965" tooltip="Перейти" display="Перейти"/>
    <hyperlink ref="E1967" r:id="rId_hyperlink_1966" tooltip="Перейти" display="Перейти"/>
    <hyperlink ref="E1968" r:id="rId_hyperlink_1967" tooltip="Перейти" display="Перейти"/>
    <hyperlink ref="E1969" r:id="rId_hyperlink_1968" tooltip="Перейти" display="Перейти"/>
    <hyperlink ref="E1970" r:id="rId_hyperlink_1969" tooltip="Перейти" display="Перейти"/>
    <hyperlink ref="E1971" r:id="rId_hyperlink_1970" tooltip="Перейти" display="Перейти"/>
    <hyperlink ref="E1972" r:id="rId_hyperlink_1971" tooltip="Перейти" display="Перейти"/>
    <hyperlink ref="E1973" r:id="rId_hyperlink_1972" tooltip="Перейти" display="Перейти"/>
    <hyperlink ref="E1974" r:id="rId_hyperlink_1973" tooltip="Перейти" display="Перейти"/>
    <hyperlink ref="E1975" r:id="rId_hyperlink_1974" tooltip="Перейти" display="Перейти"/>
    <hyperlink ref="E1976" r:id="rId_hyperlink_1975" tooltip="Перейти" display="Перейти"/>
    <hyperlink ref="E1977" r:id="rId_hyperlink_1976" tooltip="Перейти" display="Перейти"/>
    <hyperlink ref="E1978" r:id="rId_hyperlink_1977" tooltip="Перейти" display="Перейти"/>
    <hyperlink ref="E1979" r:id="rId_hyperlink_1978" tooltip="Перейти" display="Перейти"/>
    <hyperlink ref="E1980" r:id="rId_hyperlink_1979" tooltip="Перейти" display="Перейти"/>
    <hyperlink ref="E1981" r:id="rId_hyperlink_1980" tooltip="Перейти" display="Перейти"/>
    <hyperlink ref="E1982" r:id="rId_hyperlink_1981" tooltip="Перейти" display="Перейти"/>
    <hyperlink ref="E1983" r:id="rId_hyperlink_1982" tooltip="Перейти" display="Перейти"/>
    <hyperlink ref="E1984" r:id="rId_hyperlink_1983" tooltip="Перейти" display="Перейти"/>
    <hyperlink ref="E1985" r:id="rId_hyperlink_1984" tooltip="Перейти" display="Перейти"/>
    <hyperlink ref="E1986" r:id="rId_hyperlink_1985" tooltip="Перейти" display="Перейти"/>
    <hyperlink ref="E1987" r:id="rId_hyperlink_1986" tooltip="Перейти" display="Перейти"/>
    <hyperlink ref="E1988" r:id="rId_hyperlink_1987" tooltip="Перейти" display="Перейти"/>
    <hyperlink ref="E1989" r:id="rId_hyperlink_1988" tooltip="Перейти" display="Перейти"/>
    <hyperlink ref="E1990" r:id="rId_hyperlink_1989" tooltip="Перейти" display="Перейти"/>
    <hyperlink ref="E1991" r:id="rId_hyperlink_1990" tooltip="Перейти" display="Перейти"/>
    <hyperlink ref="E1992" r:id="rId_hyperlink_1991" tooltip="Перейти" display="Перейти"/>
    <hyperlink ref="E1993" r:id="rId_hyperlink_1992" tooltip="Перейти" display="Перейти"/>
    <hyperlink ref="E1994" r:id="rId_hyperlink_1993" tooltip="Перейти" display="Перейти"/>
    <hyperlink ref="E1995" r:id="rId_hyperlink_1994" tooltip="Перейти" display="Перейти"/>
    <hyperlink ref="E1996" r:id="rId_hyperlink_1995" tooltip="Перейти" display="Перейти"/>
    <hyperlink ref="E1997" r:id="rId_hyperlink_1996" tooltip="Перейти" display="Перейти"/>
    <hyperlink ref="E1998" r:id="rId_hyperlink_1997" tooltip="Перейти" display="Перейти"/>
    <hyperlink ref="E1999" r:id="rId_hyperlink_1998" tooltip="Перейти" display="Перейти"/>
    <hyperlink ref="E2000" r:id="rId_hyperlink_1999" tooltip="Перейти" display="Перейти"/>
    <hyperlink ref="E2001" r:id="rId_hyperlink_2000" tooltip="Перейти" display="Перейти"/>
    <hyperlink ref="E2002" r:id="rId_hyperlink_2001" tooltip="Перейти" display="Перейти"/>
    <hyperlink ref="E2003" r:id="rId_hyperlink_2002" tooltip="Перейти" display="Перейти"/>
    <hyperlink ref="E2004" r:id="rId_hyperlink_2003" tooltip="Перейти" display="Перейти"/>
    <hyperlink ref="E2005" r:id="rId_hyperlink_2004" tooltip="Перейти" display="Перейти"/>
    <hyperlink ref="E2006" r:id="rId_hyperlink_2005" tooltip="Перейти" display="Перейти"/>
    <hyperlink ref="E2007" r:id="rId_hyperlink_2006" tooltip="Перейти" display="Перейти"/>
    <hyperlink ref="E2008" r:id="rId_hyperlink_2007" tooltip="Перейти" display="Перейти"/>
    <hyperlink ref="E2009" r:id="rId_hyperlink_2008" tooltip="Перейти" display="Перейти"/>
    <hyperlink ref="E2010" r:id="rId_hyperlink_2009" tooltip="Перейти" display="Перейти"/>
    <hyperlink ref="E2011" r:id="rId_hyperlink_2010" tooltip="Перейти" display="Перейти"/>
    <hyperlink ref="E2012" r:id="rId_hyperlink_2011" tooltip="Перейти" display="Перейти"/>
    <hyperlink ref="E2013" r:id="rId_hyperlink_2012" tooltip="Перейти" display="Перейти"/>
    <hyperlink ref="E2014" r:id="rId_hyperlink_2013" tooltip="Перейти" display="Перейти"/>
    <hyperlink ref="E2015" r:id="rId_hyperlink_2014" tooltip="Перейти" display="Перейти"/>
    <hyperlink ref="E2016" r:id="rId_hyperlink_2015" tooltip="Перейти" display="Перейти"/>
    <hyperlink ref="E2017" r:id="rId_hyperlink_2016" tooltip="Перейти" display="Перейти"/>
    <hyperlink ref="E2018" r:id="rId_hyperlink_2017" tooltip="Перейти" display="Перейти"/>
    <hyperlink ref="E2019" r:id="rId_hyperlink_2018" tooltip="Перейти" display="Перейти"/>
    <hyperlink ref="E2020" r:id="rId_hyperlink_2019" tooltip="Перейти" display="Перейти"/>
    <hyperlink ref="E2021" r:id="rId_hyperlink_2020" tooltip="Перейти" display="Перейти"/>
    <hyperlink ref="E2022" r:id="rId_hyperlink_2021" tooltip="Перейти" display="Перейти"/>
    <hyperlink ref="E2023" r:id="rId_hyperlink_2022" tooltip="Перейти" display="Перейти"/>
    <hyperlink ref="E2024" r:id="rId_hyperlink_2023" tooltip="Перейти" display="Перейти"/>
    <hyperlink ref="E2025" r:id="rId_hyperlink_2024" tooltip="Перейти" display="Перейти"/>
    <hyperlink ref="E2026" r:id="rId_hyperlink_2025" tooltip="Перейти" display="Перейти"/>
    <hyperlink ref="E2027" r:id="rId_hyperlink_2026" tooltip="Перейти" display="Перейти"/>
    <hyperlink ref="E2028" r:id="rId_hyperlink_2027" tooltip="Перейти" display="Перейти"/>
    <hyperlink ref="E2029" r:id="rId_hyperlink_2028" tooltip="Перейти" display="Перейти"/>
    <hyperlink ref="E2030" r:id="rId_hyperlink_2029" tooltip="Перейти" display="Перейти"/>
    <hyperlink ref="E2031" r:id="rId_hyperlink_2030" tooltip="Перейти" display="Перейти"/>
    <hyperlink ref="E2032" r:id="rId_hyperlink_2031" tooltip="Перейти" display="Перейти"/>
    <hyperlink ref="E2033" r:id="rId_hyperlink_2032" tooltip="Перейти" display="Перейти"/>
    <hyperlink ref="E2034" r:id="rId_hyperlink_2033" tooltip="Перейти" display="Перейти"/>
    <hyperlink ref="E2035" r:id="rId_hyperlink_2034" tooltip="Перейти" display="Перейти"/>
    <hyperlink ref="E2036" r:id="rId_hyperlink_2035" tooltip="Перейти" display="Перейти"/>
    <hyperlink ref="E2037" r:id="rId_hyperlink_2036" tooltip="Перейти" display="Перейти"/>
    <hyperlink ref="E2038" r:id="rId_hyperlink_2037" tooltip="Перейти" display="Перейти"/>
    <hyperlink ref="E2039" r:id="rId_hyperlink_2038" tooltip="Перейти" display="Перейти"/>
    <hyperlink ref="E2040" r:id="rId_hyperlink_2039" tooltip="Перейти" display="Перейти"/>
    <hyperlink ref="E2041" r:id="rId_hyperlink_2040" tooltip="Перейти" display="Перейти"/>
    <hyperlink ref="E2042" r:id="rId_hyperlink_2041" tooltip="Перейти" display="Перейти"/>
    <hyperlink ref="E2043" r:id="rId_hyperlink_2042" tooltip="Перейти" display="Перейти"/>
    <hyperlink ref="E2044" r:id="rId_hyperlink_2043" tooltip="Перейти" display="Перейти"/>
    <hyperlink ref="E2045" r:id="rId_hyperlink_2044" tooltip="Перейти" display="Перейти"/>
    <hyperlink ref="E2046" r:id="rId_hyperlink_2045" tooltip="Перейти" display="Перейти"/>
    <hyperlink ref="E2047" r:id="rId_hyperlink_2046" tooltip="Перейти" display="Перейти"/>
    <hyperlink ref="E2048" r:id="rId_hyperlink_2047" tooltip="Перейти" display="Перейти"/>
    <hyperlink ref="E2049" r:id="rId_hyperlink_2048" tooltip="Перейти" display="Перейти"/>
    <hyperlink ref="E2050" r:id="rId_hyperlink_2049" tooltip="Перейти" display="Перейти"/>
    <hyperlink ref="E2051" r:id="rId_hyperlink_2050" tooltip="Перейти" display="Перейти"/>
    <hyperlink ref="E2052" r:id="rId_hyperlink_2051" tooltip="Перейти" display="Перейти"/>
    <hyperlink ref="E2053" r:id="rId_hyperlink_2052" tooltip="Перейти" display="Перейти"/>
    <hyperlink ref="E2054" r:id="rId_hyperlink_2053" tooltip="Перейти" display="Перейти"/>
    <hyperlink ref="E2055" r:id="rId_hyperlink_2054" tooltip="Перейти" display="Перейти"/>
    <hyperlink ref="E2056" r:id="rId_hyperlink_2055" tooltip="Перейти" display="Перейти"/>
    <hyperlink ref="E2057" r:id="rId_hyperlink_2056" tooltip="Перейти" display="Перейти"/>
    <hyperlink ref="E2058" r:id="rId_hyperlink_2057" tooltip="Перейти" display="Перейти"/>
    <hyperlink ref="E2059" r:id="rId_hyperlink_2058" tooltip="Перейти" display="Перейти"/>
    <hyperlink ref="E2060" r:id="rId_hyperlink_2059" tooltip="Перейти" display="Перейти"/>
    <hyperlink ref="E2061" r:id="rId_hyperlink_2060" tooltip="Перейти" display="Перейти"/>
    <hyperlink ref="E2062" r:id="rId_hyperlink_2061" tooltip="Перейти" display="Перейти"/>
    <hyperlink ref="E2063" r:id="rId_hyperlink_2062" tooltip="Перейти" display="Перейти"/>
    <hyperlink ref="E2064" r:id="rId_hyperlink_2063" tooltip="Перейти" display="Перейти"/>
    <hyperlink ref="E2065" r:id="rId_hyperlink_2064" tooltip="Перейти" display="Перейти"/>
    <hyperlink ref="E2066" r:id="rId_hyperlink_2065" tooltip="Перейти" display="Перейти"/>
    <hyperlink ref="E2067" r:id="rId_hyperlink_2066" tooltip="Перейти" display="Перейти"/>
    <hyperlink ref="E2068" r:id="rId_hyperlink_2067" tooltip="Перейти" display="Перейти"/>
    <hyperlink ref="E2069" r:id="rId_hyperlink_2068" tooltip="Перейти" display="Перейти"/>
    <hyperlink ref="E2070" r:id="rId_hyperlink_2069" tooltip="Перейти" display="Перейти"/>
    <hyperlink ref="E2071" r:id="rId_hyperlink_2070" tooltip="Перейти" display="Перейти"/>
    <hyperlink ref="E2072" r:id="rId_hyperlink_2071" tooltip="Перейти" display="Перейти"/>
    <hyperlink ref="E2073" r:id="rId_hyperlink_2072" tooltip="Перейти" display="Перейти"/>
    <hyperlink ref="E2074" r:id="rId_hyperlink_2073" tooltip="Перейти" display="Перейти"/>
    <hyperlink ref="E2075" r:id="rId_hyperlink_2074" tooltip="Перейти" display="Перейти"/>
    <hyperlink ref="E2076" r:id="rId_hyperlink_2075" tooltip="Перейти" display="Перейти"/>
    <hyperlink ref="E2077" r:id="rId_hyperlink_2076" tooltip="Перейти" display="Перейти"/>
    <hyperlink ref="E2078" r:id="rId_hyperlink_2077" tooltip="Перейти" display="Перейти"/>
    <hyperlink ref="E2079" r:id="rId_hyperlink_2078" tooltip="Перейти" display="Перейти"/>
    <hyperlink ref="E2080" r:id="rId_hyperlink_2079" tooltip="Перейти" display="Перейти"/>
    <hyperlink ref="E2081" r:id="rId_hyperlink_2080" tooltip="Перейти" display="Перейти"/>
    <hyperlink ref="E2082" r:id="rId_hyperlink_2081" tooltip="Перейти" display="Перейти"/>
    <hyperlink ref="E2083" r:id="rId_hyperlink_2082" tooltip="Перейти" display="Перейти"/>
    <hyperlink ref="E2084" r:id="rId_hyperlink_2083" tooltip="Перейти" display="Перейти"/>
    <hyperlink ref="E2085" r:id="rId_hyperlink_2084" tooltip="Перейти" display="Перейти"/>
    <hyperlink ref="E2086" r:id="rId_hyperlink_2085" tooltip="Перейти" display="Перейти"/>
    <hyperlink ref="E2087" r:id="rId_hyperlink_2086" tooltip="Перейти" display="Перейти"/>
    <hyperlink ref="E2088" r:id="rId_hyperlink_2087" tooltip="Перейти" display="Перейти"/>
    <hyperlink ref="E2089" r:id="rId_hyperlink_2088" tooltip="Перейти" display="Перейти"/>
    <hyperlink ref="E2090" r:id="rId_hyperlink_2089" tooltip="Перейти" display="Перейти"/>
    <hyperlink ref="E2091" r:id="rId_hyperlink_2090" tooltip="Перейти" display="Перейти"/>
    <hyperlink ref="E2092" r:id="rId_hyperlink_2091" tooltip="Перейти" display="Перейти"/>
    <hyperlink ref="E2093" r:id="rId_hyperlink_2092" tooltip="Перейти" display="Перейти"/>
    <hyperlink ref="E2094" r:id="rId_hyperlink_2093" tooltip="Перейти" display="Перейти"/>
    <hyperlink ref="E2095" r:id="rId_hyperlink_2094" tooltip="Перейти" display="Перейти"/>
    <hyperlink ref="E2096" r:id="rId_hyperlink_2095" tooltip="Перейти" display="Перейти"/>
    <hyperlink ref="E2097" r:id="rId_hyperlink_2096" tooltip="Перейти" display="Перейти"/>
    <hyperlink ref="E2098" r:id="rId_hyperlink_2097" tooltip="Перейти" display="Перейти"/>
    <hyperlink ref="E2099" r:id="rId_hyperlink_2098" tooltip="Перейти" display="Перейти"/>
    <hyperlink ref="E2100" r:id="rId_hyperlink_2099" tooltip="Перейти" display="Перейти"/>
    <hyperlink ref="E2101" r:id="rId_hyperlink_2100" tooltip="Перейти" display="Перейти"/>
    <hyperlink ref="E2102" r:id="rId_hyperlink_2101" tooltip="Перейти" display="Перейти"/>
    <hyperlink ref="E2103" r:id="rId_hyperlink_2102" tooltip="Перейти" display="Перейти"/>
    <hyperlink ref="E2104" r:id="rId_hyperlink_2103" tooltip="Перейти" display="Перейти"/>
    <hyperlink ref="E2105" r:id="rId_hyperlink_2104" tooltip="Перейти" display="Перейти"/>
    <hyperlink ref="E2106" r:id="rId_hyperlink_2105" tooltip="Перейти" display="Перейти"/>
    <hyperlink ref="E2107" r:id="rId_hyperlink_2106" tooltip="Перейти" display="Перейти"/>
    <hyperlink ref="E2108" r:id="rId_hyperlink_2107" tooltip="Перейти" display="Перейти"/>
    <hyperlink ref="E2109" r:id="rId_hyperlink_2108" tooltip="Перейти" display="Перейти"/>
    <hyperlink ref="E2110" r:id="rId_hyperlink_2109" tooltip="Перейти" display="Перейти"/>
    <hyperlink ref="E2111" r:id="rId_hyperlink_2110" tooltip="Перейти" display="Перейти"/>
    <hyperlink ref="E2112" r:id="rId_hyperlink_2111" tooltip="Перейти" display="Перейти"/>
    <hyperlink ref="E2113" r:id="rId_hyperlink_2112" tooltip="Перейти" display="Перейти"/>
    <hyperlink ref="E2114" r:id="rId_hyperlink_2113" tooltip="Перейти" display="Перейти"/>
    <hyperlink ref="E2115" r:id="rId_hyperlink_2114" tooltip="Перейти" display="Перейти"/>
    <hyperlink ref="E2116" r:id="rId_hyperlink_2115" tooltip="Перейти" display="Перейти"/>
    <hyperlink ref="E2117" r:id="rId_hyperlink_2116" tooltip="Перейти" display="Перейти"/>
    <hyperlink ref="E2118" r:id="rId_hyperlink_2117" tooltip="Перейти" display="Перейти"/>
    <hyperlink ref="E2119" r:id="rId_hyperlink_2118" tooltip="Перейти" display="Перейти"/>
    <hyperlink ref="E2120" r:id="rId_hyperlink_2119" tooltip="Перейти" display="Перейти"/>
    <hyperlink ref="E2121" r:id="rId_hyperlink_2120" tooltip="Перейти" display="Перейти"/>
    <hyperlink ref="E2122" r:id="rId_hyperlink_2121" tooltip="Перейти" display="Перейти"/>
    <hyperlink ref="E2123" r:id="rId_hyperlink_2122" tooltip="Перейти" display="Перейти"/>
    <hyperlink ref="E2124" r:id="rId_hyperlink_2123" tooltip="Перейти" display="Перейти"/>
    <hyperlink ref="E2125" r:id="rId_hyperlink_2124" tooltip="Перейти" display="Перейти"/>
    <hyperlink ref="E2126" r:id="rId_hyperlink_2125" tooltip="Перейти" display="Перейти"/>
    <hyperlink ref="E2127" r:id="rId_hyperlink_2126" tooltip="Перейти" display="Перейти"/>
    <hyperlink ref="E2128" r:id="rId_hyperlink_2127" tooltip="Перейти" display="Перейти"/>
    <hyperlink ref="E2129" r:id="rId_hyperlink_2128" tooltip="Перейти" display="Перейти"/>
    <hyperlink ref="E2130" r:id="rId_hyperlink_2129" tooltip="Перейти" display="Перейти"/>
    <hyperlink ref="E2131" r:id="rId_hyperlink_2130" tooltip="Перейти" display="Перейти"/>
    <hyperlink ref="E2132" r:id="rId_hyperlink_2131" tooltip="Перейти" display="Перейти"/>
    <hyperlink ref="E2133" r:id="rId_hyperlink_2132" tooltip="Перейти" display="Перейти"/>
    <hyperlink ref="E2134" r:id="rId_hyperlink_2133" tooltip="Перейти" display="Перейти"/>
    <hyperlink ref="E2135" r:id="rId_hyperlink_2134" tooltip="Перейти" display="Перейти"/>
    <hyperlink ref="E2136" r:id="rId_hyperlink_2135" tooltip="Перейти" display="Перейти"/>
    <hyperlink ref="E2137" r:id="rId_hyperlink_2136" tooltip="Перейти" display="Перейти"/>
    <hyperlink ref="E2138" r:id="rId_hyperlink_2137" tooltip="Перейти" display="Перейти"/>
    <hyperlink ref="E2139" r:id="rId_hyperlink_2138" tooltip="Перейти" display="Перейти"/>
    <hyperlink ref="E2140" r:id="rId_hyperlink_2139" tooltip="Перейти" display="Перейти"/>
    <hyperlink ref="E2141" r:id="rId_hyperlink_2140" tooltip="Перейти" display="Перейти"/>
    <hyperlink ref="E2142" r:id="rId_hyperlink_2141" tooltip="Перейти" display="Перейти"/>
    <hyperlink ref="E2143" r:id="rId_hyperlink_2142" tooltip="Перейти" display="Перейти"/>
    <hyperlink ref="E2144" r:id="rId_hyperlink_2143" tooltip="Перейти" display="Перейти"/>
    <hyperlink ref="E2145" r:id="rId_hyperlink_2144" tooltip="Перейти" display="Перейти"/>
    <hyperlink ref="E2146" r:id="rId_hyperlink_2145" tooltip="Перейти" display="Перейти"/>
    <hyperlink ref="E2147" r:id="rId_hyperlink_2146" tooltip="Перейти" display="Перейти"/>
    <hyperlink ref="E2148" r:id="rId_hyperlink_2147" tooltip="Перейти" display="Перейти"/>
    <hyperlink ref="E2149" r:id="rId_hyperlink_2148" tooltip="Перейти" display="Перейти"/>
    <hyperlink ref="E2150" r:id="rId_hyperlink_2149" tooltip="Перейти" display="Перейти"/>
    <hyperlink ref="E2151" r:id="rId_hyperlink_2150" tooltip="Перейти" display="Перейти"/>
    <hyperlink ref="E2152" r:id="rId_hyperlink_2151" tooltip="Перейти" display="Перейти"/>
    <hyperlink ref="E2153" r:id="rId_hyperlink_2152" tooltip="Перейти" display="Перейти"/>
    <hyperlink ref="E2154" r:id="rId_hyperlink_2153" tooltip="Перейти" display="Перейти"/>
    <hyperlink ref="E2155" r:id="rId_hyperlink_2154" tooltip="Перейти" display="Перейти"/>
    <hyperlink ref="E2156" r:id="rId_hyperlink_2155" tooltip="Перейти" display="Перейти"/>
    <hyperlink ref="E2157" r:id="rId_hyperlink_2156" tooltip="Перейти" display="Перейти"/>
    <hyperlink ref="E2158" r:id="rId_hyperlink_2157" tooltip="Перейти" display="Перейти"/>
    <hyperlink ref="E2159" r:id="rId_hyperlink_2158" tooltip="Перейти" display="Перейти"/>
    <hyperlink ref="E2160" r:id="rId_hyperlink_2159" tooltip="Перейти" display="Перейти"/>
    <hyperlink ref="E2161" r:id="rId_hyperlink_2160" tooltip="Перейти" display="Перейти"/>
    <hyperlink ref="E2162" r:id="rId_hyperlink_2161" tooltip="Перейти" display="Перейти"/>
    <hyperlink ref="E2163" r:id="rId_hyperlink_2162" tooltip="Перейти" display="Перейти"/>
    <hyperlink ref="E2164" r:id="rId_hyperlink_2163" tooltip="Перейти" display="Перейти"/>
    <hyperlink ref="E2165" r:id="rId_hyperlink_2164" tooltip="Перейти" display="Перейти"/>
    <hyperlink ref="E2166" r:id="rId_hyperlink_2165" tooltip="Перейти" display="Перейти"/>
    <hyperlink ref="E2167" r:id="rId_hyperlink_2166" tooltip="Перейти" display="Перейти"/>
    <hyperlink ref="E2168" r:id="rId_hyperlink_2167" tooltip="Перейти" display="Перейти"/>
    <hyperlink ref="E2169" r:id="rId_hyperlink_2168" tooltip="Перейти" display="Перейти"/>
    <hyperlink ref="E2170" r:id="rId_hyperlink_2169" tooltip="Перейти" display="Перейти"/>
    <hyperlink ref="E2171" r:id="rId_hyperlink_2170" tooltip="Перейти" display="Перейти"/>
    <hyperlink ref="E2172" r:id="rId_hyperlink_2171" tooltip="Перейти" display="Перейти"/>
    <hyperlink ref="E2173" r:id="rId_hyperlink_2172" tooltip="Перейти" display="Перейти"/>
    <hyperlink ref="E2174" r:id="rId_hyperlink_2173" tooltip="Перейти" display="Перейти"/>
    <hyperlink ref="E2175" r:id="rId_hyperlink_2174" tooltip="Перейти" display="Перейти"/>
    <hyperlink ref="E2176" r:id="rId_hyperlink_2175" tooltip="Перейти" display="Перейти"/>
    <hyperlink ref="E2177" r:id="rId_hyperlink_2176" tooltip="Перейти" display="Перейти"/>
    <hyperlink ref="E2178" r:id="rId_hyperlink_2177" tooltip="Перейти" display="Перейти"/>
    <hyperlink ref="E2179" r:id="rId_hyperlink_2178" tooltip="Перейти" display="Перейти"/>
    <hyperlink ref="E2180" r:id="rId_hyperlink_2179" tooltip="Перейти" display="Перейти"/>
    <hyperlink ref="E2181" r:id="rId_hyperlink_2180" tooltip="Перейти" display="Перейти"/>
    <hyperlink ref="E2182" r:id="rId_hyperlink_2181" tooltip="Перейти" display="Перейти"/>
    <hyperlink ref="E2183" r:id="rId_hyperlink_2182" tooltip="Перейти" display="Перейти"/>
    <hyperlink ref="E2184" r:id="rId_hyperlink_2183" tooltip="Перейти" display="Перейти"/>
    <hyperlink ref="E2185" r:id="rId_hyperlink_2184" tooltip="Перейти" display="Перейти"/>
    <hyperlink ref="E2186" r:id="rId_hyperlink_2185" tooltip="Перейти" display="Перейти"/>
    <hyperlink ref="E2187" r:id="rId_hyperlink_2186" tooltip="Перейти" display="Перейти"/>
    <hyperlink ref="E2188" r:id="rId_hyperlink_2187" tooltip="Перейти" display="Перейти"/>
    <hyperlink ref="E2189" r:id="rId_hyperlink_2188" tooltip="Перейти" display="Перейти"/>
    <hyperlink ref="E2190" r:id="rId_hyperlink_2189" tooltip="Перейти" display="Перейти"/>
    <hyperlink ref="E2191" r:id="rId_hyperlink_2190" tooltip="Перейти" display="Перейти"/>
    <hyperlink ref="E2192" r:id="rId_hyperlink_2191" tooltip="Перейти" display="Перейти"/>
    <hyperlink ref="E2193" r:id="rId_hyperlink_2192" tooltip="Перейти" display="Перейти"/>
    <hyperlink ref="E2194" r:id="rId_hyperlink_2193" tooltip="Перейти" display="Перейти"/>
    <hyperlink ref="E2195" r:id="rId_hyperlink_2194" tooltip="Перейти" display="Перейти"/>
    <hyperlink ref="E2196" r:id="rId_hyperlink_2195" tooltip="Перейти" display="Перейти"/>
    <hyperlink ref="E2197" r:id="rId_hyperlink_2196" tooltip="Перейти" display="Перейти"/>
    <hyperlink ref="E2198" r:id="rId_hyperlink_2197" tooltip="Перейти" display="Перейти"/>
    <hyperlink ref="E2199" r:id="rId_hyperlink_2198" tooltip="Перейти" display="Перейти"/>
    <hyperlink ref="E2200" r:id="rId_hyperlink_2199" tooltip="Перейти" display="Перейти"/>
    <hyperlink ref="E2201" r:id="rId_hyperlink_2200" tooltip="Перейти" display="Перейти"/>
    <hyperlink ref="E2202" r:id="rId_hyperlink_2201" tooltip="Перейти" display="Перейти"/>
    <hyperlink ref="E2203" r:id="rId_hyperlink_2202" tooltip="Перейти" display="Перейти"/>
    <hyperlink ref="E2204" r:id="rId_hyperlink_2203" tooltip="Перейти" display="Перейти"/>
    <hyperlink ref="E2205" r:id="rId_hyperlink_2204" tooltip="Перейти" display="Перейти"/>
    <hyperlink ref="E2206" r:id="rId_hyperlink_2205" tooltip="Перейти" display="Перейти"/>
    <hyperlink ref="E2207" r:id="rId_hyperlink_2206" tooltip="Перейти" display="Перейти"/>
    <hyperlink ref="E2208" r:id="rId_hyperlink_2207" tooltip="Перейти" display="Перейти"/>
    <hyperlink ref="E2209" r:id="rId_hyperlink_2208" tooltip="Перейти" display="Перейти"/>
    <hyperlink ref="E2210" r:id="rId_hyperlink_2209" tooltip="Перейти" display="Перейти"/>
    <hyperlink ref="E2211" r:id="rId_hyperlink_2210" tooltip="Перейти" display="Перейти"/>
    <hyperlink ref="E2212" r:id="rId_hyperlink_2211" tooltip="Перейти" display="Перейти"/>
    <hyperlink ref="E2213" r:id="rId_hyperlink_2212" tooltip="Перейти" display="Перейти"/>
    <hyperlink ref="E2214" r:id="rId_hyperlink_2213" tooltip="Перейти" display="Перейти"/>
    <hyperlink ref="E2215" r:id="rId_hyperlink_2214" tooltip="Перейти" display="Перейти"/>
    <hyperlink ref="E2216" r:id="rId_hyperlink_2215" tooltip="Перейти" display="Перейти"/>
    <hyperlink ref="E2217" r:id="rId_hyperlink_2216" tooltip="Перейти" display="Перейти"/>
    <hyperlink ref="E2218" r:id="rId_hyperlink_2217" tooltip="Перейти" display="Перейти"/>
    <hyperlink ref="E2219" r:id="rId_hyperlink_2218" tooltip="Перейти" display="Перейти"/>
    <hyperlink ref="E2220" r:id="rId_hyperlink_2219" tooltip="Перейти" display="Перейти"/>
    <hyperlink ref="E2221" r:id="rId_hyperlink_2220" tooltip="Перейти" display="Перейти"/>
    <hyperlink ref="E2222" r:id="rId_hyperlink_2221" tooltip="Перейти" display="Перейти"/>
    <hyperlink ref="E2223" r:id="rId_hyperlink_2222" tooltip="Перейти" display="Перейти"/>
    <hyperlink ref="E2224" r:id="rId_hyperlink_2223" tooltip="Перейти" display="Перейти"/>
    <hyperlink ref="E2225" r:id="rId_hyperlink_2224" tooltip="Перейти" display="Перейти"/>
    <hyperlink ref="E2226" r:id="rId_hyperlink_2225" tooltip="Перейти" display="Перейти"/>
    <hyperlink ref="E2227" r:id="rId_hyperlink_2226" tooltip="Перейти" display="Перейти"/>
    <hyperlink ref="E2228" r:id="rId_hyperlink_2227" tooltip="Перейти" display="Перейти"/>
    <hyperlink ref="E2229" r:id="rId_hyperlink_2228" tooltip="Перейти" display="Перейти"/>
    <hyperlink ref="E2230" r:id="rId_hyperlink_2229" tooltip="Перейти" display="Перейти"/>
    <hyperlink ref="E2231" r:id="rId_hyperlink_2230" tooltip="Перейти" display="Перейти"/>
    <hyperlink ref="E2232" r:id="rId_hyperlink_2231" tooltip="Перейти" display="Перейти"/>
    <hyperlink ref="E2233" r:id="rId_hyperlink_2232" tooltip="Перейти" display="Перейти"/>
    <hyperlink ref="E2234" r:id="rId_hyperlink_2233" tooltip="Перейти" display="Перейти"/>
    <hyperlink ref="E2235" r:id="rId_hyperlink_2234" tooltip="Перейти" display="Перейти"/>
    <hyperlink ref="E2236" r:id="rId_hyperlink_2235" tooltip="Перейти" display="Перейти"/>
    <hyperlink ref="E2237" r:id="rId_hyperlink_2236" tooltip="Перейти" display="Перейти"/>
    <hyperlink ref="E2238" r:id="rId_hyperlink_2237" tooltip="Перейти" display="Перейти"/>
    <hyperlink ref="E2239" r:id="rId_hyperlink_2238" tooltip="Перейти" display="Перейти"/>
    <hyperlink ref="E2240" r:id="rId_hyperlink_2239" tooltip="Перейти" display="Перейти"/>
    <hyperlink ref="E2241" r:id="rId_hyperlink_2240" tooltip="Перейти" display="Перейти"/>
    <hyperlink ref="E2242" r:id="rId_hyperlink_2241" tooltip="Перейти" display="Перейти"/>
    <hyperlink ref="E2243" r:id="rId_hyperlink_2242" tooltip="Перейти" display="Перейти"/>
    <hyperlink ref="E2244" r:id="rId_hyperlink_2243" tooltip="Перейти" display="Перейти"/>
    <hyperlink ref="E2245" r:id="rId_hyperlink_2244" tooltip="Перейти" display="Перейти"/>
    <hyperlink ref="E2246" r:id="rId_hyperlink_2245" tooltip="Перейти" display="Перейти"/>
    <hyperlink ref="E2247" r:id="rId_hyperlink_2246" tooltip="Перейти" display="Перейти"/>
    <hyperlink ref="E2248" r:id="rId_hyperlink_2247" tooltip="Перейти" display="Перейти"/>
    <hyperlink ref="E2249" r:id="rId_hyperlink_2248" tooltip="Перейти" display="Перейти"/>
    <hyperlink ref="E2250" r:id="rId_hyperlink_2249" tooltip="Перейти" display="Перейти"/>
    <hyperlink ref="E2251" r:id="rId_hyperlink_2250" tooltip="Перейти" display="Перейти"/>
    <hyperlink ref="E2252" r:id="rId_hyperlink_2251" tooltip="Перейти" display="Перейти"/>
    <hyperlink ref="E2253" r:id="rId_hyperlink_2252" tooltip="Перейти" display="Перейти"/>
    <hyperlink ref="E2254" r:id="rId_hyperlink_2253" tooltip="Перейти" display="Перейти"/>
    <hyperlink ref="E2255" r:id="rId_hyperlink_2254" tooltip="Перейти" display="Перейти"/>
    <hyperlink ref="E2256" r:id="rId_hyperlink_2255" tooltip="Перейти" display="Перейти"/>
    <hyperlink ref="E2257" r:id="rId_hyperlink_2256" tooltip="Перейти" display="Перейти"/>
    <hyperlink ref="E2258" r:id="rId_hyperlink_2257" tooltip="Перейти" display="Перейти"/>
    <hyperlink ref="E2259" r:id="rId_hyperlink_2258" tooltip="Перейти" display="Перейти"/>
    <hyperlink ref="E2260" r:id="rId_hyperlink_2259" tooltip="Перейти" display="Перейти"/>
    <hyperlink ref="E2261" r:id="rId_hyperlink_2260" tooltip="Перейти" display="Перейти"/>
    <hyperlink ref="E2262" r:id="rId_hyperlink_2261" tooltip="Перейти" display="Перейти"/>
    <hyperlink ref="E2263" r:id="rId_hyperlink_2262" tooltip="Перейти" display="Перейти"/>
    <hyperlink ref="E2264" r:id="rId_hyperlink_2263" tooltip="Перейти" display="Перейти"/>
    <hyperlink ref="E2265" r:id="rId_hyperlink_2264" tooltip="Перейти" display="Перейти"/>
    <hyperlink ref="E2266" r:id="rId_hyperlink_2265" tooltip="Перейти" display="Перейти"/>
    <hyperlink ref="E2267" r:id="rId_hyperlink_2266" tooltip="Перейти" display="Перейти"/>
    <hyperlink ref="E2268" r:id="rId_hyperlink_2267" tooltip="Перейти" display="Перейти"/>
    <hyperlink ref="E2269" r:id="rId_hyperlink_2268" tooltip="Перейти" display="Перейти"/>
    <hyperlink ref="E2270" r:id="rId_hyperlink_2269" tooltip="Перейти" display="Перейти"/>
    <hyperlink ref="E2271" r:id="rId_hyperlink_2270" tooltip="Перейти" display="Перейти"/>
    <hyperlink ref="E2272" r:id="rId_hyperlink_2271" tooltip="Перейти" display="Перейти"/>
    <hyperlink ref="E2273" r:id="rId_hyperlink_2272" tooltip="Перейти" display="Перейти"/>
    <hyperlink ref="E2274" r:id="rId_hyperlink_2273" tooltip="Перейти" display="Перейти"/>
    <hyperlink ref="E2275" r:id="rId_hyperlink_2274" tooltip="Перейти" display="Перейти"/>
    <hyperlink ref="E2276" r:id="rId_hyperlink_2275" tooltip="Перейти" display="Перейти"/>
    <hyperlink ref="E2277" r:id="rId_hyperlink_2276" tooltip="Перейти" display="Перейти"/>
    <hyperlink ref="E2278" r:id="rId_hyperlink_2277" tooltip="Перейти" display="Перейти"/>
    <hyperlink ref="E2279" r:id="rId_hyperlink_2278" tooltip="Перейти" display="Перейти"/>
    <hyperlink ref="E2280" r:id="rId_hyperlink_2279" tooltip="Перейти" display="Перейти"/>
    <hyperlink ref="E2281" r:id="rId_hyperlink_2280" tooltip="Перейти" display="Перейти"/>
    <hyperlink ref="E2282" r:id="rId_hyperlink_2281" tooltip="Перейти" display="Перейти"/>
    <hyperlink ref="E2283" r:id="rId_hyperlink_2282" tooltip="Перейти" display="Перейти"/>
    <hyperlink ref="E2284" r:id="rId_hyperlink_2283" tooltip="Перейти" display="Перейти"/>
    <hyperlink ref="E2285" r:id="rId_hyperlink_2284" tooltip="Перейти" display="Перейти"/>
    <hyperlink ref="E2286" r:id="rId_hyperlink_2285" tooltip="Перейти" display="Перейти"/>
    <hyperlink ref="E2287" r:id="rId_hyperlink_2286" tooltip="Перейти" display="Перейти"/>
    <hyperlink ref="E2288" r:id="rId_hyperlink_2287" tooltip="Перейти" display="Перейти"/>
    <hyperlink ref="E2289" r:id="rId_hyperlink_2288" tooltip="Перейти" display="Перейти"/>
    <hyperlink ref="E2290" r:id="rId_hyperlink_2289" tooltip="Перейти" display="Перейти"/>
    <hyperlink ref="E2291" r:id="rId_hyperlink_2290" tooltip="Перейти" display="Перейти"/>
    <hyperlink ref="E2292" r:id="rId_hyperlink_2291" tooltip="Перейти" display="Перейти"/>
    <hyperlink ref="E2293" r:id="rId_hyperlink_2292" tooltip="Перейти" display="Перейти"/>
    <hyperlink ref="E2294" r:id="rId_hyperlink_2293" tooltip="Перейти" display="Перейти"/>
    <hyperlink ref="E2295" r:id="rId_hyperlink_2294" tooltip="Перейти" display="Перейти"/>
    <hyperlink ref="E2296" r:id="rId_hyperlink_2295" tooltip="Перейти" display="Перейти"/>
    <hyperlink ref="E2297" r:id="rId_hyperlink_2296" tooltip="Перейти" display="Перейти"/>
    <hyperlink ref="E2298" r:id="rId_hyperlink_2297" tooltip="Перейти" display="Перейти"/>
    <hyperlink ref="E2299" r:id="rId_hyperlink_2298" tooltip="Перейти" display="Перейти"/>
    <hyperlink ref="E2300" r:id="rId_hyperlink_2299" tooltip="Перейти" display="Перейти"/>
    <hyperlink ref="E2301" r:id="rId_hyperlink_2300" tooltip="Перейти" display="Перейти"/>
    <hyperlink ref="E2302" r:id="rId_hyperlink_2301" tooltip="Перейти" display="Перейти"/>
    <hyperlink ref="E2303" r:id="rId_hyperlink_2302" tooltip="Перейти" display="Перейти"/>
    <hyperlink ref="E2304" r:id="rId_hyperlink_2303" tooltip="Перейти" display="Перейти"/>
    <hyperlink ref="E2305" r:id="rId_hyperlink_2304" tooltip="Перейти" display="Перейти"/>
    <hyperlink ref="E2306" r:id="rId_hyperlink_2305" tooltip="Перейти" display="Перейти"/>
    <hyperlink ref="E2307" r:id="rId_hyperlink_2306" tooltip="Перейти" display="Перейти"/>
    <hyperlink ref="E2308" r:id="rId_hyperlink_2307" tooltip="Перейти" display="Перейти"/>
    <hyperlink ref="E2309" r:id="rId_hyperlink_2308" tooltip="Перейти" display="Перейти"/>
    <hyperlink ref="E2310" r:id="rId_hyperlink_2309" tooltip="Перейти" display="Перейти"/>
    <hyperlink ref="E2311" r:id="rId_hyperlink_2310" tooltip="Перейти" display="Перейти"/>
    <hyperlink ref="E2312" r:id="rId_hyperlink_2311" tooltip="Перейти" display="Перейти"/>
    <hyperlink ref="E2313" r:id="rId_hyperlink_2312" tooltip="Перейти" display="Перейти"/>
    <hyperlink ref="E2314" r:id="rId_hyperlink_2313" tooltip="Перейти" display="Перейти"/>
    <hyperlink ref="E2315" r:id="rId_hyperlink_2314" tooltip="Перейти" display="Перейти"/>
    <hyperlink ref="E2316" r:id="rId_hyperlink_2315" tooltip="Перейти" display="Перейти"/>
    <hyperlink ref="E2317" r:id="rId_hyperlink_2316" tooltip="Перейти" display="Перейти"/>
    <hyperlink ref="E2318" r:id="rId_hyperlink_2317" tooltip="Перейти" display="Перейти"/>
    <hyperlink ref="E2319" r:id="rId_hyperlink_2318" tooltip="Перейти" display="Перейти"/>
    <hyperlink ref="E2320" r:id="rId_hyperlink_2319" tooltip="Перейти" display="Перейти"/>
    <hyperlink ref="E2321" r:id="rId_hyperlink_2320" tooltip="Перейти" display="Перейти"/>
    <hyperlink ref="E2322" r:id="rId_hyperlink_2321" tooltip="Перейти" display="Перейти"/>
    <hyperlink ref="E2323" r:id="rId_hyperlink_2322" tooltip="Перейти" display="Перейти"/>
    <hyperlink ref="E2324" r:id="rId_hyperlink_2323" tooltip="Перейти" display="Перейти"/>
    <hyperlink ref="E2325" r:id="rId_hyperlink_2324" tooltip="Перейти" display="Перейти"/>
    <hyperlink ref="E2326" r:id="rId_hyperlink_2325" tooltip="Перейти" display="Перейти"/>
    <hyperlink ref="E2327" r:id="rId_hyperlink_2326" tooltip="Перейти" display="Перейти"/>
    <hyperlink ref="E2328" r:id="rId_hyperlink_2327" tooltip="Перейти" display="Перейти"/>
    <hyperlink ref="E2329" r:id="rId_hyperlink_2328" tooltip="Перейти" display="Перейти"/>
    <hyperlink ref="E2330" r:id="rId_hyperlink_2329" tooltip="Перейти" display="Перейти"/>
    <hyperlink ref="E2331" r:id="rId_hyperlink_2330" tooltip="Перейти" display="Перейти"/>
    <hyperlink ref="E2332" r:id="rId_hyperlink_2331" tooltip="Перейти" display="Перейти"/>
    <hyperlink ref="E2333" r:id="rId_hyperlink_2332" tooltip="Перейти" display="Перейти"/>
    <hyperlink ref="E2334" r:id="rId_hyperlink_2333" tooltip="Перейти" display="Перейти"/>
    <hyperlink ref="E2335" r:id="rId_hyperlink_2334" tooltip="Перейти" display="Перейти"/>
    <hyperlink ref="E2336" r:id="rId_hyperlink_2335" tooltip="Перейти" display="Перейти"/>
    <hyperlink ref="E2337" r:id="rId_hyperlink_2336" tooltip="Перейти" display="Перейти"/>
    <hyperlink ref="E2338" r:id="rId_hyperlink_2337" tooltip="Перейти" display="Перейти"/>
    <hyperlink ref="E2339" r:id="rId_hyperlink_2338" tooltip="Перейти" display="Перейти"/>
    <hyperlink ref="E2340" r:id="rId_hyperlink_2339" tooltip="Перейти" display="Перейти"/>
    <hyperlink ref="E2341" r:id="rId_hyperlink_2340" tooltip="Перейти" display="Перейти"/>
    <hyperlink ref="E2342" r:id="rId_hyperlink_2341" tooltip="Перейти" display="Перейти"/>
    <hyperlink ref="E2343" r:id="rId_hyperlink_2342" tooltip="Перейти" display="Перейти"/>
    <hyperlink ref="E2344" r:id="rId_hyperlink_2343" tooltip="Перейти" display="Перейти"/>
    <hyperlink ref="E2345" r:id="rId_hyperlink_2344" tooltip="Перейти" display="Перейти"/>
    <hyperlink ref="E2346" r:id="rId_hyperlink_2345" tooltip="Перейти" display="Перейти"/>
    <hyperlink ref="E2347" r:id="rId_hyperlink_2346" tooltip="Перейти" display="Перейти"/>
    <hyperlink ref="E2348" r:id="rId_hyperlink_2347" tooltip="Перейти" display="Перейти"/>
    <hyperlink ref="E2349" r:id="rId_hyperlink_2348" tooltip="Перейти" display="Перейти"/>
    <hyperlink ref="E2350" r:id="rId_hyperlink_2349" tooltip="Перейти" display="Перейти"/>
    <hyperlink ref="E2351" r:id="rId_hyperlink_2350" tooltip="Перейти" display="Перейти"/>
    <hyperlink ref="E2352" r:id="rId_hyperlink_2351" tooltip="Перейти" display="Перейти"/>
    <hyperlink ref="E2353" r:id="rId_hyperlink_2352" tooltip="Перейти" display="Перейти"/>
    <hyperlink ref="E2354" r:id="rId_hyperlink_2353" tooltip="Перейти" display="Перейти"/>
    <hyperlink ref="E2355" r:id="rId_hyperlink_2354" tooltip="Перейти" display="Перейти"/>
    <hyperlink ref="E2356" r:id="rId_hyperlink_2355" tooltip="Перейти" display="Перейти"/>
    <hyperlink ref="E2357" r:id="rId_hyperlink_2356" tooltip="Перейти" display="Перейти"/>
    <hyperlink ref="E2358" r:id="rId_hyperlink_2357" tooltip="Перейти" display="Перейти"/>
    <hyperlink ref="E2359" r:id="rId_hyperlink_2358" tooltip="Перейти" display="Перейти"/>
    <hyperlink ref="E2360" r:id="rId_hyperlink_2359" tooltip="Перейти" display="Перейти"/>
    <hyperlink ref="E2361" r:id="rId_hyperlink_2360" tooltip="Перейти" display="Перейти"/>
    <hyperlink ref="E2362" r:id="rId_hyperlink_2361" tooltip="Перейти" display="Перейти"/>
    <hyperlink ref="E2363" r:id="rId_hyperlink_2362" tooltip="Перейти" display="Перейти"/>
    <hyperlink ref="E2364" r:id="rId_hyperlink_2363" tooltip="Перейти" display="Перейти"/>
    <hyperlink ref="E2365" r:id="rId_hyperlink_2364" tooltip="Перейти" display="Перейти"/>
    <hyperlink ref="E2366" r:id="rId_hyperlink_2365" tooltip="Перейти" display="Перейти"/>
    <hyperlink ref="E2367" r:id="rId_hyperlink_2366" tooltip="Перейти" display="Перейти"/>
    <hyperlink ref="E2368" r:id="rId_hyperlink_2367" tooltip="Перейти" display="Перейти"/>
    <hyperlink ref="E2369" r:id="rId_hyperlink_2368" tooltip="Перейти" display="Перейти"/>
    <hyperlink ref="E2370" r:id="rId_hyperlink_2369" tooltip="Перейти" display="Перейти"/>
    <hyperlink ref="E2371" r:id="rId_hyperlink_2370" tooltip="Перейти" display="Перейти"/>
    <hyperlink ref="E2372" r:id="rId_hyperlink_2371" tooltip="Перейти" display="Перейти"/>
    <hyperlink ref="E2373" r:id="rId_hyperlink_2372" tooltip="Перейти" display="Перейти"/>
    <hyperlink ref="E2374" r:id="rId_hyperlink_2373" tooltip="Перейти" display="Перейти"/>
    <hyperlink ref="E2375" r:id="rId_hyperlink_2374" tooltip="Перейти" display="Перейти"/>
    <hyperlink ref="E2376" r:id="rId_hyperlink_2375" tooltip="Перейти" display="Перейти"/>
    <hyperlink ref="E2377" r:id="rId_hyperlink_2376" tooltip="Перейти" display="Перейти"/>
    <hyperlink ref="E2378" r:id="rId_hyperlink_2377" tooltip="Перейти" display="Перейти"/>
    <hyperlink ref="E2379" r:id="rId_hyperlink_2378" tooltip="Перейти" display="Перейти"/>
    <hyperlink ref="E2380" r:id="rId_hyperlink_2379" tooltip="Перейти" display="Перейти"/>
    <hyperlink ref="E2381" r:id="rId_hyperlink_2380" tooltip="Перейти" display="Перейти"/>
    <hyperlink ref="E2382" r:id="rId_hyperlink_2381" tooltip="Перейти" display="Перейти"/>
    <hyperlink ref="E2383" r:id="rId_hyperlink_2382" tooltip="Перейти" display="Перейти"/>
    <hyperlink ref="E2384" r:id="rId_hyperlink_2383" tooltip="Перейти" display="Перейти"/>
    <hyperlink ref="E2385" r:id="rId_hyperlink_2384" tooltip="Перейти" display="Перейти"/>
    <hyperlink ref="E2386" r:id="rId_hyperlink_2385" tooltip="Перейти" display="Перейти"/>
    <hyperlink ref="E2387" r:id="rId_hyperlink_2386" tooltip="Перейти" display="Перейти"/>
    <hyperlink ref="E2388" r:id="rId_hyperlink_2387" tooltip="Перейти" display="Перейти"/>
    <hyperlink ref="E2389" r:id="rId_hyperlink_2388" tooltip="Перейти" display="Перейти"/>
    <hyperlink ref="E2390" r:id="rId_hyperlink_2389" tooltip="Перейти" display="Перейти"/>
    <hyperlink ref="E2391" r:id="rId_hyperlink_2390" tooltip="Перейти" display="Перейти"/>
    <hyperlink ref="E2392" r:id="rId_hyperlink_2391" tooltip="Перейти" display="Перейти"/>
    <hyperlink ref="E2393" r:id="rId_hyperlink_2392" tooltip="Перейти" display="Перейти"/>
    <hyperlink ref="E2394" r:id="rId_hyperlink_2393" tooltip="Перейти" display="Перейти"/>
    <hyperlink ref="E2395" r:id="rId_hyperlink_2394" tooltip="Перейти" display="Перейти"/>
    <hyperlink ref="E2396" r:id="rId_hyperlink_2395" tooltip="Перейти" display="Перейти"/>
    <hyperlink ref="E2397" r:id="rId_hyperlink_2396" tooltip="Перейти" display="Перейти"/>
    <hyperlink ref="E2398" r:id="rId_hyperlink_2397" tooltip="Перейти" display="Перейти"/>
    <hyperlink ref="E2399" r:id="rId_hyperlink_2398" tooltip="Перейти" display="Перейти"/>
    <hyperlink ref="E2400" r:id="rId_hyperlink_2399" tooltip="Перейти" display="Перейти"/>
    <hyperlink ref="E2401" r:id="rId_hyperlink_2400" tooltip="Перейти" display="Перейти"/>
    <hyperlink ref="E2402" r:id="rId_hyperlink_2401" tooltip="Перейти" display="Перейти"/>
    <hyperlink ref="E2403" r:id="rId_hyperlink_2402" tooltip="Перейти" display="Перейти"/>
    <hyperlink ref="E2404" r:id="rId_hyperlink_2403" tooltip="Перейти" display="Перейти"/>
    <hyperlink ref="E2405" r:id="rId_hyperlink_2404" tooltip="Перейти" display="Перейти"/>
    <hyperlink ref="E2406" r:id="rId_hyperlink_2405" tooltip="Перейти" display="Перейти"/>
    <hyperlink ref="E2407" r:id="rId_hyperlink_2406" tooltip="Перейти" display="Перейти"/>
    <hyperlink ref="E2408" r:id="rId_hyperlink_2407" tooltip="Перейти" display="Перейти"/>
    <hyperlink ref="E2409" r:id="rId_hyperlink_2408" tooltip="Перейти" display="Перейти"/>
    <hyperlink ref="E2410" r:id="rId_hyperlink_2409" tooltip="Перейти" display="Перейти"/>
    <hyperlink ref="E2411" r:id="rId_hyperlink_2410" tooltip="Перейти" display="Перейти"/>
    <hyperlink ref="E2412" r:id="rId_hyperlink_2411" tooltip="Перейти" display="Перейти"/>
    <hyperlink ref="E2413" r:id="rId_hyperlink_2412" tooltip="Перейти" display="Перейти"/>
    <hyperlink ref="E2414" r:id="rId_hyperlink_2413" tooltip="Перейти" display="Перейти"/>
    <hyperlink ref="E2415" r:id="rId_hyperlink_2414" tooltip="Перейти" display="Перейти"/>
    <hyperlink ref="E2416" r:id="rId_hyperlink_2415" tooltip="Перейти" display="Перейти"/>
    <hyperlink ref="E2417" r:id="rId_hyperlink_2416" tooltip="Перейти" display="Перейти"/>
    <hyperlink ref="E2418" r:id="rId_hyperlink_2417" tooltip="Перейти" display="Перейти"/>
    <hyperlink ref="E2419" r:id="rId_hyperlink_2418" tooltip="Перейти" display="Перейти"/>
    <hyperlink ref="E2420" r:id="rId_hyperlink_2419" tooltip="Перейти" display="Перейти"/>
    <hyperlink ref="E2421" r:id="rId_hyperlink_2420" tooltip="Перейти" display="Перейти"/>
    <hyperlink ref="E2422" r:id="rId_hyperlink_2421" tooltip="Перейти" display="Перейти"/>
    <hyperlink ref="E2423" r:id="rId_hyperlink_2422" tooltip="Перейти" display="Перейти"/>
    <hyperlink ref="E2424" r:id="rId_hyperlink_2423" tooltip="Перейти" display="Перейти"/>
    <hyperlink ref="E2425" r:id="rId_hyperlink_2424" tooltip="Перейти" display="Перейти"/>
    <hyperlink ref="E2426" r:id="rId_hyperlink_2425" tooltip="Перейти" display="Перейти"/>
    <hyperlink ref="E2427" r:id="rId_hyperlink_2426" tooltip="Перейти" display="Перейти"/>
    <hyperlink ref="E2428" r:id="rId_hyperlink_2427" tooltip="Перейти" display="Перейти"/>
    <hyperlink ref="E2429" r:id="rId_hyperlink_2428" tooltip="Перейти" display="Перейти"/>
    <hyperlink ref="E2430" r:id="rId_hyperlink_2429" tooltip="Перейти" display="Перейти"/>
    <hyperlink ref="E2431" r:id="rId_hyperlink_2430" tooltip="Перейти" display="Перейти"/>
    <hyperlink ref="E2432" r:id="rId_hyperlink_2431" tooltip="Перейти" display="Перейти"/>
    <hyperlink ref="E2433" r:id="rId_hyperlink_2432" tooltip="Перейти" display="Перейти"/>
    <hyperlink ref="E2434" r:id="rId_hyperlink_2433" tooltip="Перейти" display="Перейти"/>
    <hyperlink ref="E2435" r:id="rId_hyperlink_2434" tooltip="Перейти" display="Перейти"/>
    <hyperlink ref="E2436" r:id="rId_hyperlink_2435" tooltip="Перейти" display="Перейти"/>
    <hyperlink ref="E2437" r:id="rId_hyperlink_2436" tooltip="Перейти" display="Перейти"/>
    <hyperlink ref="E2438" r:id="rId_hyperlink_2437" tooltip="Перейти" display="Перейти"/>
    <hyperlink ref="E2439" r:id="rId_hyperlink_2438" tooltip="Перейти" display="Перейти"/>
    <hyperlink ref="E2440" r:id="rId_hyperlink_2439" tooltip="Перейти" display="Перейти"/>
    <hyperlink ref="E2441" r:id="rId_hyperlink_2440" tooltip="Перейти" display="Перейти"/>
    <hyperlink ref="E2442" r:id="rId_hyperlink_2441" tooltip="Перейти" display="Перейти"/>
    <hyperlink ref="E2443" r:id="rId_hyperlink_2442" tooltip="Перейти" display="Перейти"/>
    <hyperlink ref="E2444" r:id="rId_hyperlink_2443" tooltip="Перейти" display="Перейти"/>
    <hyperlink ref="E2445" r:id="rId_hyperlink_2444" tooltip="Перейти" display="Перейти"/>
    <hyperlink ref="E2446" r:id="rId_hyperlink_2445" tooltip="Перейти" display="Перейти"/>
    <hyperlink ref="E2447" r:id="rId_hyperlink_2446" tooltip="Перейти" display="Перейти"/>
    <hyperlink ref="E2448" r:id="rId_hyperlink_2447" tooltip="Перейти" display="Перейти"/>
    <hyperlink ref="E2449" r:id="rId_hyperlink_2448" tooltip="Перейти" display="Перейти"/>
    <hyperlink ref="E2450" r:id="rId_hyperlink_2449" tooltip="Перейти" display="Перейти"/>
    <hyperlink ref="E2451" r:id="rId_hyperlink_2450" tooltip="Перейти" display="Перейти"/>
    <hyperlink ref="E2452" r:id="rId_hyperlink_2451" tooltip="Перейти" display="Перейти"/>
    <hyperlink ref="E2453" r:id="rId_hyperlink_2452" tooltip="Перейти" display="Перейти"/>
    <hyperlink ref="E2454" r:id="rId_hyperlink_2453" tooltip="Перейти" display="Перейти"/>
    <hyperlink ref="E2455" r:id="rId_hyperlink_2454" tooltip="Перейти" display="Перейти"/>
    <hyperlink ref="E2456" r:id="rId_hyperlink_2455" tooltip="Перейти" display="Перейти"/>
    <hyperlink ref="E2457" r:id="rId_hyperlink_2456" tooltip="Перейти" display="Перейти"/>
    <hyperlink ref="E2458" r:id="rId_hyperlink_2457" tooltip="Перейти" display="Перейти"/>
    <hyperlink ref="E2459" r:id="rId_hyperlink_2458" tooltip="Перейти" display="Перейти"/>
    <hyperlink ref="E2460" r:id="rId_hyperlink_2459" tooltip="Перейти" display="Перейти"/>
    <hyperlink ref="E2461" r:id="rId_hyperlink_2460" tooltip="Перейти" display="Перейти"/>
    <hyperlink ref="E2462" r:id="rId_hyperlink_2461" tooltip="Перейти" display="Перейти"/>
    <hyperlink ref="E2463" r:id="rId_hyperlink_2462" tooltip="Перейти" display="Перейти"/>
    <hyperlink ref="E2464" r:id="rId_hyperlink_2463" tooltip="Перейти" display="Перейти"/>
    <hyperlink ref="E2465" r:id="rId_hyperlink_2464" tooltip="Перейти" display="Перейти"/>
    <hyperlink ref="E2466" r:id="rId_hyperlink_2465" tooltip="Перейти" display="Перейти"/>
    <hyperlink ref="E2467" r:id="rId_hyperlink_2466" tooltip="Перейти" display="Перейти"/>
    <hyperlink ref="E2468" r:id="rId_hyperlink_2467" tooltip="Перейти" display="Перейти"/>
    <hyperlink ref="E2469" r:id="rId_hyperlink_2468" tooltip="Перейти" display="Перейти"/>
    <hyperlink ref="E2470" r:id="rId_hyperlink_2469" tooltip="Перейти" display="Перейти"/>
    <hyperlink ref="E2471" r:id="rId_hyperlink_2470" tooltip="Перейти" display="Перейти"/>
    <hyperlink ref="E2472" r:id="rId_hyperlink_2471" tooltip="Перейти" display="Перейти"/>
    <hyperlink ref="E2473" r:id="rId_hyperlink_2472" tooltip="Перейти" display="Перейти"/>
    <hyperlink ref="E2474" r:id="rId_hyperlink_2473" tooltip="Перейти" display="Перейти"/>
    <hyperlink ref="E2475" r:id="rId_hyperlink_2474" tooltip="Перейти" display="Перейти"/>
    <hyperlink ref="E2476" r:id="rId_hyperlink_2475" tooltip="Перейти" display="Перейти"/>
    <hyperlink ref="E2477" r:id="rId_hyperlink_2476" tooltip="Перейти" display="Перейти"/>
    <hyperlink ref="E2478" r:id="rId_hyperlink_2477" tooltip="Перейти" display="Перейти"/>
    <hyperlink ref="E2479" r:id="rId_hyperlink_2478" tooltip="Перейти" display="Перейти"/>
    <hyperlink ref="E2480" r:id="rId_hyperlink_2479" tooltip="Перейти" display="Перейти"/>
    <hyperlink ref="E2481" r:id="rId_hyperlink_2480" tooltip="Перейти" display="Перейти"/>
    <hyperlink ref="E2482" r:id="rId_hyperlink_2481" tooltip="Перейти" display="Перейти"/>
    <hyperlink ref="E2483" r:id="rId_hyperlink_2482" tooltip="Перейти" display="Перейти"/>
    <hyperlink ref="E2484" r:id="rId_hyperlink_2483" tooltip="Перейти" display="Перейти"/>
    <hyperlink ref="E2485" r:id="rId_hyperlink_2484" tooltip="Перейти" display="Перейти"/>
    <hyperlink ref="E2486" r:id="rId_hyperlink_2485" tooltip="Перейти" display="Перейти"/>
    <hyperlink ref="E2487" r:id="rId_hyperlink_2486" tooltip="Перейти" display="Перейти"/>
    <hyperlink ref="E2488" r:id="rId_hyperlink_2487" tooltip="Перейти" display="Перейти"/>
    <hyperlink ref="E2489" r:id="rId_hyperlink_2488" tooltip="Перейти" display="Перейти"/>
    <hyperlink ref="E2490" r:id="rId_hyperlink_2489" tooltip="Перейти" display="Перейти"/>
    <hyperlink ref="E2491" r:id="rId_hyperlink_2490" tooltip="Перейти" display="Перейти"/>
    <hyperlink ref="E2492" r:id="rId_hyperlink_2491" tooltip="Перейти" display="Перейти"/>
    <hyperlink ref="E2493" r:id="rId_hyperlink_2492" tooltip="Перейти" display="Перейти"/>
    <hyperlink ref="E2494" r:id="rId_hyperlink_2493" tooltip="Перейти" display="Перейти"/>
    <hyperlink ref="E2495" r:id="rId_hyperlink_2494" tooltip="Перейти" display="Перейти"/>
    <hyperlink ref="E2496" r:id="rId_hyperlink_2495" tooltip="Перейти" display="Перейти"/>
    <hyperlink ref="E2497" r:id="rId_hyperlink_2496" tooltip="Перейти" display="Перейти"/>
    <hyperlink ref="E2498" r:id="rId_hyperlink_2497" tooltip="Перейти" display="Перейти"/>
    <hyperlink ref="E2499" r:id="rId_hyperlink_2498" tooltip="Перейти" display="Перейти"/>
    <hyperlink ref="E2500" r:id="rId_hyperlink_2499" tooltip="Перейти" display="Перейти"/>
    <hyperlink ref="E2501" r:id="rId_hyperlink_2500" tooltip="Перейти" display="Перейти"/>
    <hyperlink ref="E2502" r:id="rId_hyperlink_2501" tooltip="Перейти" display="Перейти"/>
    <hyperlink ref="E2503" r:id="rId_hyperlink_2502" tooltip="Перейти" display="Перейти"/>
    <hyperlink ref="E2504" r:id="rId_hyperlink_2503" tooltip="Перейти" display="Перейти"/>
    <hyperlink ref="E2505" r:id="rId_hyperlink_2504" tooltip="Перейти" display="Перейти"/>
    <hyperlink ref="E2506" r:id="rId_hyperlink_2505" tooltip="Перейти" display="Перейти"/>
    <hyperlink ref="E2507" r:id="rId_hyperlink_2506" tooltip="Перейти" display="Перейти"/>
    <hyperlink ref="E2508" r:id="rId_hyperlink_2507" tooltip="Перейти" display="Перейти"/>
    <hyperlink ref="E2509" r:id="rId_hyperlink_2508" tooltip="Перейти" display="Перейти"/>
    <hyperlink ref="E2510" r:id="rId_hyperlink_2509" tooltip="Перейти" display="Перейти"/>
    <hyperlink ref="E2511" r:id="rId_hyperlink_2510" tooltip="Перейти" display="Перейти"/>
    <hyperlink ref="E2512" r:id="rId_hyperlink_2511" tooltip="Перейти" display="Перейти"/>
    <hyperlink ref="E2513" r:id="rId_hyperlink_2512" tooltip="Перейти" display="Перейти"/>
    <hyperlink ref="E2514" r:id="rId_hyperlink_2513" tooltip="Перейти" display="Перейти"/>
    <hyperlink ref="E2515" r:id="rId_hyperlink_2514" tooltip="Перейти" display="Перейти"/>
    <hyperlink ref="E2516" r:id="rId_hyperlink_2515" tooltip="Перейти" display="Перейти"/>
    <hyperlink ref="E2517" r:id="rId_hyperlink_2516" tooltip="Перейти" display="Перейти"/>
    <hyperlink ref="E2518" r:id="rId_hyperlink_2517" tooltip="Перейти" display="Перейти"/>
    <hyperlink ref="E2519" r:id="rId_hyperlink_2518" tooltip="Перейти" display="Перейти"/>
    <hyperlink ref="E2520" r:id="rId_hyperlink_2519" tooltip="Перейти" display="Перейти"/>
    <hyperlink ref="E2521" r:id="rId_hyperlink_2520" tooltip="Перейти" display="Перейти"/>
    <hyperlink ref="E2522" r:id="rId_hyperlink_2521" tooltip="Перейти" display="Перейти"/>
    <hyperlink ref="E2523" r:id="rId_hyperlink_2522" tooltip="Перейти" display="Перейти"/>
    <hyperlink ref="E2524" r:id="rId_hyperlink_2523" tooltip="Перейти" display="Перейти"/>
    <hyperlink ref="E2525" r:id="rId_hyperlink_2524" tooltip="Перейти" display="Перейти"/>
    <hyperlink ref="E2526" r:id="rId_hyperlink_2525" tooltip="Перейти" display="Перейти"/>
    <hyperlink ref="E2527" r:id="rId_hyperlink_2526" tooltip="Перейти" display="Перейти"/>
    <hyperlink ref="E2528" r:id="rId_hyperlink_2527" tooltip="Перейти" display="Перейти"/>
    <hyperlink ref="E2529" r:id="rId_hyperlink_2528" tooltip="Перейти" display="Перейти"/>
    <hyperlink ref="E2530" r:id="rId_hyperlink_2529" tooltip="Перейти" display="Перейти"/>
    <hyperlink ref="E2531" r:id="rId_hyperlink_2530" tooltip="Перейти" display="Перейти"/>
    <hyperlink ref="E2532" r:id="rId_hyperlink_2531" tooltip="Перейти" display="Перейти"/>
    <hyperlink ref="E2533" r:id="rId_hyperlink_2532" tooltip="Перейти" display="Перейти"/>
    <hyperlink ref="E2534" r:id="rId_hyperlink_2533" tooltip="Перейти" display="Перейти"/>
    <hyperlink ref="E2535" r:id="rId_hyperlink_2534" tooltip="Перейти" display="Перейти"/>
    <hyperlink ref="E2536" r:id="rId_hyperlink_2535" tooltip="Перейти" display="Перейти"/>
    <hyperlink ref="E2537" r:id="rId_hyperlink_2536" tooltip="Перейти" display="Перейти"/>
    <hyperlink ref="E2538" r:id="rId_hyperlink_2537" tooltip="Перейти" display="Перейти"/>
    <hyperlink ref="E2539" r:id="rId_hyperlink_2538" tooltip="Перейти" display="Перейти"/>
    <hyperlink ref="E2540" r:id="rId_hyperlink_2539" tooltip="Перейти" display="Перейти"/>
    <hyperlink ref="E2541" r:id="rId_hyperlink_2540" tooltip="Перейти" display="Перейти"/>
    <hyperlink ref="E2542" r:id="rId_hyperlink_2541" tooltip="Перейти" display="Перейти"/>
    <hyperlink ref="E2543" r:id="rId_hyperlink_2542" tooltip="Перейти" display="Перейти"/>
    <hyperlink ref="E2544" r:id="rId_hyperlink_2543" tooltip="Перейти" display="Перейти"/>
    <hyperlink ref="E2545" r:id="rId_hyperlink_2544" tooltip="Перейти" display="Перейти"/>
    <hyperlink ref="E2546" r:id="rId_hyperlink_2545" tooltip="Перейти" display="Перейти"/>
    <hyperlink ref="E2547" r:id="rId_hyperlink_2546" tooltip="Перейти" display="Перейти"/>
    <hyperlink ref="E2548" r:id="rId_hyperlink_2547" tooltip="Перейти" display="Перейти"/>
    <hyperlink ref="E2549" r:id="rId_hyperlink_2548" tooltip="Перейти" display="Перейти"/>
    <hyperlink ref="E2550" r:id="rId_hyperlink_2549" tooltip="Перейти" display="Перейти"/>
    <hyperlink ref="E2551" r:id="rId_hyperlink_2550" tooltip="Перейти" display="Перейти"/>
    <hyperlink ref="E2552" r:id="rId_hyperlink_2551" tooltip="Перейти" display="Перейти"/>
    <hyperlink ref="E2553" r:id="rId_hyperlink_2552" tooltip="Перейти" display="Перейти"/>
    <hyperlink ref="E2554" r:id="rId_hyperlink_2553" tooltip="Перейти" display="Перейти"/>
    <hyperlink ref="E2555" r:id="rId_hyperlink_2554" tooltip="Перейти" display="Перейти"/>
    <hyperlink ref="E2556" r:id="rId_hyperlink_2555" tooltip="Перейти" display="Перейти"/>
    <hyperlink ref="E2557" r:id="rId_hyperlink_2556" tooltip="Перейти" display="Перейти"/>
    <hyperlink ref="E2558" r:id="rId_hyperlink_2557" tooltip="Перейти" display="Перейти"/>
    <hyperlink ref="E2559" r:id="rId_hyperlink_2558" tooltip="Перейти" display="Перейти"/>
    <hyperlink ref="E2560" r:id="rId_hyperlink_2559" tooltip="Перейти" display="Перейти"/>
    <hyperlink ref="E2561" r:id="rId_hyperlink_2560" tooltip="Перейти" display="Перейти"/>
    <hyperlink ref="E2562" r:id="rId_hyperlink_2561" tooltip="Перейти" display="Перейти"/>
    <hyperlink ref="E2563" r:id="rId_hyperlink_2562" tooltip="Перейти" display="Перейти"/>
    <hyperlink ref="E2564" r:id="rId_hyperlink_2563" tooltip="Перейти" display="Перейти"/>
    <hyperlink ref="E2565" r:id="rId_hyperlink_2564" tooltip="Перейти" display="Перейти"/>
    <hyperlink ref="E2566" r:id="rId_hyperlink_2565" tooltip="Перейти" display="Перейти"/>
    <hyperlink ref="E2567" r:id="rId_hyperlink_2566" tooltip="Перейти" display="Перейти"/>
    <hyperlink ref="E2568" r:id="rId_hyperlink_2567" tooltip="Перейти" display="Перейти"/>
    <hyperlink ref="E2569" r:id="rId_hyperlink_2568" tooltip="Перейти" display="Перейти"/>
    <hyperlink ref="E2570" r:id="rId_hyperlink_2569" tooltip="Перейти" display="Перейти"/>
    <hyperlink ref="E2571" r:id="rId_hyperlink_2570" tooltip="Перейти" display="Перейти"/>
    <hyperlink ref="E2572" r:id="rId_hyperlink_2571" tooltip="Перейти" display="Перейти"/>
    <hyperlink ref="E2573" r:id="rId_hyperlink_2572" tooltip="Перейти" display="Перейти"/>
    <hyperlink ref="E2574" r:id="rId_hyperlink_2573" tooltip="Перейти" display="Перейти"/>
    <hyperlink ref="E2575" r:id="rId_hyperlink_2574" tooltip="Перейти" display="Перейти"/>
    <hyperlink ref="E2576" r:id="rId_hyperlink_2575" tooltip="Перейти" display="Перейти"/>
    <hyperlink ref="E2577" r:id="rId_hyperlink_2576" tooltip="Перейти" display="Перейти"/>
    <hyperlink ref="E2578" r:id="rId_hyperlink_2577" tooltip="Перейти" display="Перейти"/>
    <hyperlink ref="E2579" r:id="rId_hyperlink_2578" tooltip="Перейти" display="Перейти"/>
    <hyperlink ref="E2580" r:id="rId_hyperlink_2579" tooltip="Перейти" display="Перейти"/>
    <hyperlink ref="E2581" r:id="rId_hyperlink_2580" tooltip="Перейти" display="Перейти"/>
    <hyperlink ref="E2582" r:id="rId_hyperlink_2581" tooltip="Перейти" display="Перейти"/>
    <hyperlink ref="E2583" r:id="rId_hyperlink_2582" tooltip="Перейти" display="Перейти"/>
    <hyperlink ref="E2584" r:id="rId_hyperlink_2583" tooltip="Перейти" display="Перейти"/>
    <hyperlink ref="E2585" r:id="rId_hyperlink_2584" tooltip="Перейти" display="Перейти"/>
    <hyperlink ref="E2586" r:id="rId_hyperlink_2585" tooltip="Перейти" display="Перейти"/>
    <hyperlink ref="E2587" r:id="rId_hyperlink_2586" tooltip="Перейти" display="Перейти"/>
    <hyperlink ref="E2588" r:id="rId_hyperlink_2587" tooltip="Перейти" display="Перейти"/>
    <hyperlink ref="E2589" r:id="rId_hyperlink_2588" tooltip="Перейти" display="Перейти"/>
    <hyperlink ref="E2590" r:id="rId_hyperlink_2589" tooltip="Перейти" display="Перейти"/>
    <hyperlink ref="E2591" r:id="rId_hyperlink_2590" tooltip="Перейти" display="Перейти"/>
    <hyperlink ref="E2592" r:id="rId_hyperlink_2591" tooltip="Перейти" display="Перейти"/>
    <hyperlink ref="E2593" r:id="rId_hyperlink_2592" tooltip="Перейти" display="Перейти"/>
    <hyperlink ref="E2594" r:id="rId_hyperlink_2593" tooltip="Перейти" display="Перейти"/>
    <hyperlink ref="E2595" r:id="rId_hyperlink_2594" tooltip="Перейти" display="Перейти"/>
    <hyperlink ref="E2596" r:id="rId_hyperlink_2595" tooltip="Перейти" display="Перейти"/>
    <hyperlink ref="E2597" r:id="rId_hyperlink_2596" tooltip="Перейти" display="Перейти"/>
    <hyperlink ref="E2598" r:id="rId_hyperlink_2597" tooltip="Перейти" display="Перейти"/>
    <hyperlink ref="E2599" r:id="rId_hyperlink_2598" tooltip="Перейти" display="Перейти"/>
    <hyperlink ref="E2600" r:id="rId_hyperlink_2599" tooltip="Перейти" display="Перейти"/>
    <hyperlink ref="E2601" r:id="rId_hyperlink_2600" tooltip="Перейти" display="Перейти"/>
    <hyperlink ref="E2602" r:id="rId_hyperlink_2601" tooltip="Перейти" display="Перейти"/>
    <hyperlink ref="E2603" r:id="rId_hyperlink_2602" tooltip="Перейти" display="Перейти"/>
    <hyperlink ref="E2604" r:id="rId_hyperlink_2603" tooltip="Перейти" display="Перейти"/>
    <hyperlink ref="E2605" r:id="rId_hyperlink_2604" tooltip="Перейти" display="Перейти"/>
    <hyperlink ref="E2606" r:id="rId_hyperlink_2605" tooltip="Перейти" display="Перейти"/>
    <hyperlink ref="E2607" r:id="rId_hyperlink_2606" tooltip="Перейти" display="Перейти"/>
    <hyperlink ref="E2608" r:id="rId_hyperlink_2607" tooltip="Перейти" display="Перейти"/>
    <hyperlink ref="E2609" r:id="rId_hyperlink_2608" tooltip="Перейти" display="Перейти"/>
    <hyperlink ref="E2610" r:id="rId_hyperlink_2609" tooltip="Перейти" display="Перейти"/>
    <hyperlink ref="E2611" r:id="rId_hyperlink_2610" tooltip="Перейти" display="Перейти"/>
    <hyperlink ref="E2612" r:id="rId_hyperlink_2611" tooltip="Перейти" display="Перейти"/>
    <hyperlink ref="E2613" r:id="rId_hyperlink_2612" tooltip="Перейти" display="Перейти"/>
    <hyperlink ref="E2614" r:id="rId_hyperlink_2613" tooltip="Перейти" display="Перейти"/>
    <hyperlink ref="E2615" r:id="rId_hyperlink_2614" tooltip="Перейти" display="Перейти"/>
    <hyperlink ref="E2616" r:id="rId_hyperlink_2615" tooltip="Перейти" display="Перейти"/>
    <hyperlink ref="E2617" r:id="rId_hyperlink_2616" tooltip="Перейти" display="Перейти"/>
    <hyperlink ref="E2618" r:id="rId_hyperlink_2617" tooltip="Перейти" display="Перейти"/>
    <hyperlink ref="E2619" r:id="rId_hyperlink_2618" tooltip="Перейти" display="Перейти"/>
    <hyperlink ref="E2620" r:id="rId_hyperlink_2619" tooltip="Перейти" display="Перейти"/>
    <hyperlink ref="E2621" r:id="rId_hyperlink_2620" tooltip="Перейти" display="Перейти"/>
    <hyperlink ref="E2622" r:id="rId_hyperlink_2621" tooltip="Перейти" display="Перейти"/>
    <hyperlink ref="E2623" r:id="rId_hyperlink_2622" tooltip="Перейти" display="Перейти"/>
    <hyperlink ref="E2624" r:id="rId_hyperlink_2623" tooltip="Перейти" display="Перейти"/>
    <hyperlink ref="E2625" r:id="rId_hyperlink_2624" tooltip="Перейти" display="Перейти"/>
    <hyperlink ref="E2626" r:id="rId_hyperlink_2625" tooltip="Перейти" display="Перейти"/>
    <hyperlink ref="E2627" r:id="rId_hyperlink_2626" tooltip="Перейти" display="Перейти"/>
    <hyperlink ref="E2628" r:id="rId_hyperlink_2627" tooltip="Перейти" display="Перейти"/>
    <hyperlink ref="E2629" r:id="rId_hyperlink_2628" tooltip="Перейти" display="Перейти"/>
    <hyperlink ref="E2630" r:id="rId_hyperlink_2629" tooltip="Перейти" display="Перейти"/>
    <hyperlink ref="E2631" r:id="rId_hyperlink_2630" tooltip="Перейти" display="Перейти"/>
    <hyperlink ref="E2632" r:id="rId_hyperlink_2631" tooltip="Перейти" display="Перейти"/>
    <hyperlink ref="E2633" r:id="rId_hyperlink_2632" tooltip="Перейти" display="Перейти"/>
    <hyperlink ref="E2634" r:id="rId_hyperlink_2633" tooltip="Перейти" display="Перейти"/>
    <hyperlink ref="E2635" r:id="rId_hyperlink_2634" tooltip="Перейти" display="Перейти"/>
    <hyperlink ref="E2636" r:id="rId_hyperlink_2635" tooltip="Перейти" display="Перейти"/>
    <hyperlink ref="E2637" r:id="rId_hyperlink_2636" tooltip="Перейти" display="Перейти"/>
    <hyperlink ref="E2638" r:id="rId_hyperlink_2637" tooltip="Перейти" display="Перейти"/>
    <hyperlink ref="E2639" r:id="rId_hyperlink_2638" tooltip="Перейти" display="Перейти"/>
    <hyperlink ref="E2640" r:id="rId_hyperlink_2639" tooltip="Перейти" display="Перейти"/>
    <hyperlink ref="E2641" r:id="rId_hyperlink_2640" tooltip="Перейти" display="Перейти"/>
    <hyperlink ref="E2642" r:id="rId_hyperlink_2641" tooltip="Перейти" display="Перейти"/>
    <hyperlink ref="E2643" r:id="rId_hyperlink_2642" tooltip="Перейти" display="Перейти"/>
    <hyperlink ref="E2644" r:id="rId_hyperlink_2643" tooltip="Перейти" display="Перейти"/>
    <hyperlink ref="E2645" r:id="rId_hyperlink_2644" tooltip="Перейти" display="Перейти"/>
    <hyperlink ref="E2646" r:id="rId_hyperlink_2645" tooltip="Перейти" display="Перейти"/>
    <hyperlink ref="E2647" r:id="rId_hyperlink_2646" tooltip="Перейти" display="Перейти"/>
    <hyperlink ref="E2648" r:id="rId_hyperlink_2647" tooltip="Перейти" display="Перейти"/>
    <hyperlink ref="E2649" r:id="rId_hyperlink_2648" tooltip="Перейти" display="Перейти"/>
    <hyperlink ref="E2650" r:id="rId_hyperlink_2649" tooltip="Перейти" display="Перейти"/>
    <hyperlink ref="E2651" r:id="rId_hyperlink_2650" tooltip="Перейти" display="Перейти"/>
    <hyperlink ref="E2652" r:id="rId_hyperlink_2651" tooltip="Перейти" display="Перейти"/>
    <hyperlink ref="E2653" r:id="rId_hyperlink_2652" tooltip="Перейти" display="Перейти"/>
    <hyperlink ref="E2654" r:id="rId_hyperlink_2653" tooltip="Перейти" display="Перейти"/>
    <hyperlink ref="E2655" r:id="rId_hyperlink_2654" tooltip="Перейти" display="Перейти"/>
    <hyperlink ref="E2656" r:id="rId_hyperlink_2655" tooltip="Перейти" display="Перейти"/>
    <hyperlink ref="E2657" r:id="rId_hyperlink_2656" tooltip="Перейти" display="Перейти"/>
    <hyperlink ref="E2658" r:id="rId_hyperlink_2657" tooltip="Перейти" display="Перейти"/>
    <hyperlink ref="E2659" r:id="rId_hyperlink_2658" tooltip="Перейти" display="Перейти"/>
    <hyperlink ref="E2660" r:id="rId_hyperlink_2659" tooltip="Перейти" display="Перейти"/>
    <hyperlink ref="E2661" r:id="rId_hyperlink_2660" tooltip="Перейти" display="Перейти"/>
    <hyperlink ref="E2662" r:id="rId_hyperlink_2661" tooltip="Перейти" display="Перейти"/>
    <hyperlink ref="E2663" r:id="rId_hyperlink_2662" tooltip="Перейти" display="Перейти"/>
    <hyperlink ref="E2664" r:id="rId_hyperlink_2663" tooltip="Перейти" display="Перейти"/>
    <hyperlink ref="E2665" r:id="rId_hyperlink_2664" tooltip="Перейти" display="Перейти"/>
    <hyperlink ref="E2666" r:id="rId_hyperlink_2665" tooltip="Перейти" display="Перейти"/>
    <hyperlink ref="E2667" r:id="rId_hyperlink_2666" tooltip="Перейти" display="Перейти"/>
    <hyperlink ref="E2668" r:id="rId_hyperlink_2667" tooltip="Перейти" display="Перейти"/>
    <hyperlink ref="E2669" r:id="rId_hyperlink_2668" tooltip="Перейти" display="Перейти"/>
    <hyperlink ref="E2670" r:id="rId_hyperlink_2669" tooltip="Перейти" display="Перейти"/>
    <hyperlink ref="E2671" r:id="rId_hyperlink_2670" tooltip="Перейти" display="Перейти"/>
    <hyperlink ref="E2672" r:id="rId_hyperlink_2671" tooltip="Перейти" display="Перейти"/>
    <hyperlink ref="E2673" r:id="rId_hyperlink_2672" tooltip="Перейти" display="Перейти"/>
    <hyperlink ref="E2674" r:id="rId_hyperlink_2673" tooltip="Перейти" display="Перейти"/>
    <hyperlink ref="E2675" r:id="rId_hyperlink_2674" tooltip="Перейти" display="Перейти"/>
    <hyperlink ref="E2676" r:id="rId_hyperlink_2675" tooltip="Перейти" display="Перейти"/>
    <hyperlink ref="E2677" r:id="rId_hyperlink_2676" tooltip="Перейти" display="Перейти"/>
    <hyperlink ref="E2678" r:id="rId_hyperlink_2677" tooltip="Перейти" display="Перейти"/>
    <hyperlink ref="E2679" r:id="rId_hyperlink_2678" tooltip="Перейти" display="Перейти"/>
    <hyperlink ref="E2680" r:id="rId_hyperlink_2679" tooltip="Перейти" display="Перейти"/>
    <hyperlink ref="E2681" r:id="rId_hyperlink_2680" tooltip="Перейти" display="Перейти"/>
    <hyperlink ref="E2682" r:id="rId_hyperlink_2681" tooltip="Перейти" display="Перейти"/>
    <hyperlink ref="E2683" r:id="rId_hyperlink_2682" tooltip="Перейти" display="Перейти"/>
    <hyperlink ref="E2684" r:id="rId_hyperlink_2683" tooltip="Перейти" display="Перейти"/>
    <hyperlink ref="E2685" r:id="rId_hyperlink_2684" tooltip="Перейти" display="Перейти"/>
    <hyperlink ref="E2686" r:id="rId_hyperlink_2685" tooltip="Перейти" display="Перейти"/>
    <hyperlink ref="E2687" r:id="rId_hyperlink_2686" tooltip="Перейти" display="Перейти"/>
    <hyperlink ref="E2688" r:id="rId_hyperlink_2687" tooltip="Перейти" display="Перейти"/>
    <hyperlink ref="E2689" r:id="rId_hyperlink_2688" tooltip="Перейти" display="Перейти"/>
    <hyperlink ref="E2690" r:id="rId_hyperlink_2689" tooltip="Перейти" display="Перейти"/>
    <hyperlink ref="E2691" r:id="rId_hyperlink_2690" tooltip="Перейти" display="Перейти"/>
    <hyperlink ref="E2692" r:id="rId_hyperlink_2691" tooltip="Перейти" display="Перейти"/>
    <hyperlink ref="E2693" r:id="rId_hyperlink_2692" tooltip="Перейти" display="Перейти"/>
    <hyperlink ref="E2694" r:id="rId_hyperlink_2693" tooltip="Перейти" display="Перейти"/>
    <hyperlink ref="E2695" r:id="rId_hyperlink_2694" tooltip="Перейти" display="Перейти"/>
    <hyperlink ref="E2696" r:id="rId_hyperlink_2695" tooltip="Перейти" display="Перейти"/>
    <hyperlink ref="E2697" r:id="rId_hyperlink_2696" tooltip="Перейти" display="Перейти"/>
    <hyperlink ref="E2698" r:id="rId_hyperlink_2697" tooltip="Перейти" display="Перейти"/>
    <hyperlink ref="E2699" r:id="rId_hyperlink_2698" tooltip="Перейти" display="Перейти"/>
    <hyperlink ref="E2700" r:id="rId_hyperlink_2699" tooltip="Перейти" display="Перейти"/>
    <hyperlink ref="E2701" r:id="rId_hyperlink_2700" tooltip="Перейти" display="Перейти"/>
    <hyperlink ref="E2702" r:id="rId_hyperlink_2701" tooltip="Перейти" display="Перейти"/>
    <hyperlink ref="E2703" r:id="rId_hyperlink_2702" tooltip="Перейти" display="Перейти"/>
    <hyperlink ref="E2704" r:id="rId_hyperlink_2703" tooltip="Перейти" display="Перейти"/>
    <hyperlink ref="E2705" r:id="rId_hyperlink_2704" tooltip="Перейти" display="Перейти"/>
    <hyperlink ref="E2706" r:id="rId_hyperlink_2705" tooltip="Перейти" display="Перейти"/>
    <hyperlink ref="E2707" r:id="rId_hyperlink_2706" tooltip="Перейти" display="Перейти"/>
    <hyperlink ref="E2708" r:id="rId_hyperlink_2707" tooltip="Перейти" display="Перейти"/>
    <hyperlink ref="E2709" r:id="rId_hyperlink_2708" tooltip="Перейти" display="Перейти"/>
    <hyperlink ref="E2710" r:id="rId_hyperlink_2709" tooltip="Перейти" display="Перейти"/>
    <hyperlink ref="E2711" r:id="rId_hyperlink_2710" tooltip="Перейти" display="Перейти"/>
    <hyperlink ref="E2712" r:id="rId_hyperlink_2711" tooltip="Перейти" display="Перейти"/>
    <hyperlink ref="E2713" r:id="rId_hyperlink_2712" tooltip="Перейти" display="Перейти"/>
    <hyperlink ref="E2714" r:id="rId_hyperlink_2713" tooltip="Перейти" display="Перейти"/>
    <hyperlink ref="E2715" r:id="rId_hyperlink_2714" tooltip="Перейти" display="Перейти"/>
    <hyperlink ref="E2716" r:id="rId_hyperlink_2715" tooltip="Перейти" display="Перейти"/>
    <hyperlink ref="E2717" r:id="rId_hyperlink_2716" tooltip="Перейти" display="Перейти"/>
    <hyperlink ref="E2718" r:id="rId_hyperlink_2717" tooltip="Перейти" display="Перейти"/>
    <hyperlink ref="E2719" r:id="rId_hyperlink_2718" tooltip="Перейти" display="Перейти"/>
    <hyperlink ref="E2720" r:id="rId_hyperlink_2719" tooltip="Перейти" display="Перейти"/>
    <hyperlink ref="E2721" r:id="rId_hyperlink_2720" tooltip="Перейти" display="Перейти"/>
    <hyperlink ref="E2722" r:id="rId_hyperlink_2721" tooltip="Перейти" display="Перейти"/>
    <hyperlink ref="E2723" r:id="rId_hyperlink_2722" tooltip="Перейти" display="Перейти"/>
    <hyperlink ref="E2724" r:id="rId_hyperlink_2723" tooltip="Перейти" display="Перейти"/>
    <hyperlink ref="E2725" r:id="rId_hyperlink_2724" tooltip="Перейти" display="Перейти"/>
    <hyperlink ref="E2726" r:id="rId_hyperlink_2725" tooltip="Перейти" display="Перейти"/>
    <hyperlink ref="E2727" r:id="rId_hyperlink_2726" tooltip="Перейти" display="Перейти"/>
    <hyperlink ref="E2728" r:id="rId_hyperlink_2727" tooltip="Перейти" display="Перейти"/>
    <hyperlink ref="E2729" r:id="rId_hyperlink_2728" tooltip="Перейти" display="Перейти"/>
    <hyperlink ref="E2730" r:id="rId_hyperlink_2729" tooltip="Перейти" display="Перейти"/>
    <hyperlink ref="E2731" r:id="rId_hyperlink_2730" tooltip="Перейти" display="Перейти"/>
    <hyperlink ref="E2732" r:id="rId_hyperlink_2731" tooltip="Перейти" display="Перейти"/>
    <hyperlink ref="E2733" r:id="rId_hyperlink_2732" tooltip="Перейти" display="Перейти"/>
    <hyperlink ref="E2734" r:id="rId_hyperlink_2733" tooltip="Перейти" display="Перейти"/>
    <hyperlink ref="E2735" r:id="rId_hyperlink_2734" tooltip="Перейти" display="Перейти"/>
    <hyperlink ref="E2736" r:id="rId_hyperlink_2735" tooltip="Перейти" display="Перейти"/>
    <hyperlink ref="E2737" r:id="rId_hyperlink_2736" tooltip="Перейти" display="Перейти"/>
    <hyperlink ref="E2738" r:id="rId_hyperlink_2737" tooltip="Перейти" display="Перейти"/>
    <hyperlink ref="E2739" r:id="rId_hyperlink_2738" tooltip="Перейти" display="Перейти"/>
    <hyperlink ref="E2740" r:id="rId_hyperlink_2739" tooltip="Перейти" display="Перейти"/>
    <hyperlink ref="E2741" r:id="rId_hyperlink_2740" tooltip="Перейти" display="Перейти"/>
    <hyperlink ref="E2742" r:id="rId_hyperlink_2741" tooltip="Перейти" display="Перейти"/>
    <hyperlink ref="E2743" r:id="rId_hyperlink_2742" tooltip="Перейти" display="Перейти"/>
    <hyperlink ref="E2744" r:id="rId_hyperlink_2743" tooltip="Перейти" display="Перейти"/>
    <hyperlink ref="E2745" r:id="rId_hyperlink_2744" tooltip="Перейти" display="Перейти"/>
    <hyperlink ref="E2746" r:id="rId_hyperlink_2745" tooltip="Перейти" display="Перейти"/>
    <hyperlink ref="E2747" r:id="rId_hyperlink_2746" tooltip="Перейти" display="Перейти"/>
    <hyperlink ref="E2748" r:id="rId_hyperlink_2747" tooltip="Перейти" display="Перейти"/>
    <hyperlink ref="E2749" r:id="rId_hyperlink_2748" tooltip="Перейти" display="Перейти"/>
    <hyperlink ref="E2750" r:id="rId_hyperlink_2749" tooltip="Перейти" display="Перейти"/>
    <hyperlink ref="E2751" r:id="rId_hyperlink_2750" tooltip="Перейти" display="Перейти"/>
    <hyperlink ref="E2752" r:id="rId_hyperlink_2751" tooltip="Перейти" display="Перейти"/>
    <hyperlink ref="E2753" r:id="rId_hyperlink_2752" tooltip="Перейти" display="Перейти"/>
    <hyperlink ref="E2754" r:id="rId_hyperlink_2753" tooltip="Перейти" display="Перейти"/>
    <hyperlink ref="E2755" r:id="rId_hyperlink_2754" tooltip="Перейти" display="Перейти"/>
    <hyperlink ref="E2756" r:id="rId_hyperlink_2755" tooltip="Перейти" display="Перейти"/>
    <hyperlink ref="E2757" r:id="rId_hyperlink_2756" tooltip="Перейти" display="Перейти"/>
    <hyperlink ref="E2758" r:id="rId_hyperlink_2757" tooltip="Перейти" display="Перейти"/>
    <hyperlink ref="E2759" r:id="rId_hyperlink_2758" tooltip="Перейти" display="Перейти"/>
    <hyperlink ref="E2760" r:id="rId_hyperlink_2759" tooltip="Перейти" display="Перейти"/>
    <hyperlink ref="E2761" r:id="rId_hyperlink_2760" tooltip="Перейти" display="Перейти"/>
    <hyperlink ref="E2762" r:id="rId_hyperlink_2761" tooltip="Перейти" display="Перейти"/>
    <hyperlink ref="E2763" r:id="rId_hyperlink_2762" tooltip="Перейти" display="Перейти"/>
    <hyperlink ref="E2764" r:id="rId_hyperlink_2763" tooltip="Перейти" display="Перейти"/>
    <hyperlink ref="E2765" r:id="rId_hyperlink_2764" tooltip="Перейти" display="Перейти"/>
    <hyperlink ref="E2766" r:id="rId_hyperlink_2765" tooltip="Перейти" display="Перейти"/>
    <hyperlink ref="E2767" r:id="rId_hyperlink_2766" tooltip="Перейти" display="Перейти"/>
    <hyperlink ref="E2768" r:id="rId_hyperlink_2767" tooltip="Перейти" display="Перейти"/>
    <hyperlink ref="E2769" r:id="rId_hyperlink_2768" tooltip="Перейти" display="Перейти"/>
    <hyperlink ref="E2770" r:id="rId_hyperlink_2769" tooltip="Перейти" display="Перейти"/>
    <hyperlink ref="E2771" r:id="rId_hyperlink_2770" tooltip="Перейти" display="Перейти"/>
    <hyperlink ref="E2772" r:id="rId_hyperlink_2771" tooltip="Перейти" display="Перейти"/>
    <hyperlink ref="E2773" r:id="rId_hyperlink_2772" tooltip="Перейти" display="Перейти"/>
    <hyperlink ref="E2774" r:id="rId_hyperlink_2773" tooltip="Перейти" display="Перейти"/>
    <hyperlink ref="E2775" r:id="rId_hyperlink_2774" tooltip="Перейти" display="Перейти"/>
    <hyperlink ref="E2776" r:id="rId_hyperlink_2775" tooltip="Перейти" display="Перейти"/>
    <hyperlink ref="E2777" r:id="rId_hyperlink_2776" tooltip="Перейти" display="Перейти"/>
    <hyperlink ref="E2778" r:id="rId_hyperlink_2777" tooltip="Перейти" display="Перейти"/>
    <hyperlink ref="E2779" r:id="rId_hyperlink_2778" tooltip="Перейти" display="Перейти"/>
    <hyperlink ref="E2780" r:id="rId_hyperlink_2779" tooltip="Перейти" display="Перейти"/>
    <hyperlink ref="E2781" r:id="rId_hyperlink_2780" tooltip="Перейти" display="Перейти"/>
    <hyperlink ref="E2782" r:id="rId_hyperlink_2781" tooltip="Перейти" display="Перейти"/>
    <hyperlink ref="E2783" r:id="rId_hyperlink_2782" tooltip="Перейти" display="Перейти"/>
    <hyperlink ref="E2784" r:id="rId_hyperlink_2783" tooltip="Перейти" display="Перейти"/>
    <hyperlink ref="E2785" r:id="rId_hyperlink_2784" tooltip="Перейти" display="Перейти"/>
    <hyperlink ref="E2786" r:id="rId_hyperlink_2785" tooltip="Перейти" display="Перейти"/>
    <hyperlink ref="E2787" r:id="rId_hyperlink_2786" tooltip="Перейти" display="Перейти"/>
    <hyperlink ref="E2788" r:id="rId_hyperlink_2787" tooltip="Перейти" display="Перейти"/>
    <hyperlink ref="E2789" r:id="rId_hyperlink_2788" tooltip="Перейти" display="Перейти"/>
    <hyperlink ref="E2790" r:id="rId_hyperlink_2789" tooltip="Перейти" display="Перейти"/>
    <hyperlink ref="E2791" r:id="rId_hyperlink_2790" tooltip="Перейти" display="Перейти"/>
    <hyperlink ref="E2792" r:id="rId_hyperlink_2791" tooltip="Перейти" display="Перейти"/>
    <hyperlink ref="E2793" r:id="rId_hyperlink_2792" tooltip="Перейти" display="Перейти"/>
    <hyperlink ref="E2794" r:id="rId_hyperlink_2793" tooltip="Перейти" display="Перейти"/>
    <hyperlink ref="E2795" r:id="rId_hyperlink_2794" tooltip="Перейти" display="Перейти"/>
    <hyperlink ref="E2796" r:id="rId_hyperlink_2795" tooltip="Перейти" display="Перейти"/>
    <hyperlink ref="E2797" r:id="rId_hyperlink_2796" tooltip="Перейти" display="Перейти"/>
    <hyperlink ref="E2798" r:id="rId_hyperlink_2797" tooltip="Перейти" display="Перейти"/>
    <hyperlink ref="E2799" r:id="rId_hyperlink_2798" tooltip="Перейти" display="Перейти"/>
    <hyperlink ref="E2800" r:id="rId_hyperlink_2799" tooltip="Перейти" display="Перейти"/>
    <hyperlink ref="E2801" r:id="rId_hyperlink_2800" tooltip="Перейти" display="Перейти"/>
    <hyperlink ref="E2802" r:id="rId_hyperlink_2801" tooltip="Перейти" display="Перейти"/>
    <hyperlink ref="E2803" r:id="rId_hyperlink_2802" tooltip="Перейти" display="Перейти"/>
    <hyperlink ref="E2804" r:id="rId_hyperlink_2803" tooltip="Перейти" display="Перейти"/>
    <hyperlink ref="E2805" r:id="rId_hyperlink_2804" tooltip="Перейти" display="Перейти"/>
    <hyperlink ref="E2806" r:id="rId_hyperlink_2805" tooltip="Перейти" display="Перейти"/>
    <hyperlink ref="E2807" r:id="rId_hyperlink_2806" tooltip="Перейти" display="Перейти"/>
    <hyperlink ref="E2808" r:id="rId_hyperlink_2807" tooltip="Перейти" display="Перейти"/>
    <hyperlink ref="E2809" r:id="rId_hyperlink_2808" tooltip="Перейти" display="Перейти"/>
    <hyperlink ref="E2810" r:id="rId_hyperlink_2809" tooltip="Перейти" display="Перейти"/>
    <hyperlink ref="E2811" r:id="rId_hyperlink_2810" tooltip="Перейти" display="Перейти"/>
    <hyperlink ref="E2812" r:id="rId_hyperlink_2811" tooltip="Перейти" display="Перейти"/>
    <hyperlink ref="E2813" r:id="rId_hyperlink_2812" tooltip="Перейти" display="Перейти"/>
    <hyperlink ref="E2814" r:id="rId_hyperlink_2813" tooltip="Перейти" display="Перейти"/>
    <hyperlink ref="E2815" r:id="rId_hyperlink_2814" tooltip="Перейти" display="Перейти"/>
    <hyperlink ref="E2816" r:id="rId_hyperlink_2815" tooltip="Перейти" display="Перейти"/>
    <hyperlink ref="E2817" r:id="rId_hyperlink_2816" tooltip="Перейти" display="Перейти"/>
    <hyperlink ref="E2818" r:id="rId_hyperlink_2817" tooltip="Перейти" display="Перейти"/>
    <hyperlink ref="E2819" r:id="rId_hyperlink_2818" tooltip="Перейти" display="Перейти"/>
    <hyperlink ref="E2820" r:id="rId_hyperlink_2819" tooltip="Перейти" display="Перейти"/>
    <hyperlink ref="E2821" r:id="rId_hyperlink_2820" tooltip="Перейти" display="Перейти"/>
    <hyperlink ref="E2822" r:id="rId_hyperlink_2821" tooltip="Перейти" display="Перейти"/>
    <hyperlink ref="E2823" r:id="rId_hyperlink_2822" tooltip="Перейти" display="Перейти"/>
    <hyperlink ref="E2824" r:id="rId_hyperlink_2823" tooltip="Перейти" display="Перейти"/>
    <hyperlink ref="E2825" r:id="rId_hyperlink_2824" tooltip="Перейти" display="Перейти"/>
    <hyperlink ref="E2826" r:id="rId_hyperlink_2825" tooltip="Перейти" display="Перейти"/>
    <hyperlink ref="E2827" r:id="rId_hyperlink_2826" tooltip="Перейти" display="Перейти"/>
    <hyperlink ref="E2828" r:id="rId_hyperlink_2827" tooltip="Перейти" display="Перейти"/>
    <hyperlink ref="E2829" r:id="rId_hyperlink_2828" tooltip="Перейти" display="Перейти"/>
    <hyperlink ref="E2830" r:id="rId_hyperlink_2829" tooltip="Перейти" display="Перейти"/>
    <hyperlink ref="E2831" r:id="rId_hyperlink_2830" tooltip="Перейти" display="Перейти"/>
    <hyperlink ref="E2832" r:id="rId_hyperlink_2831" tooltip="Перейти" display="Перейти"/>
    <hyperlink ref="E2833" r:id="rId_hyperlink_2832" tooltip="Перейти" display="Перейти"/>
    <hyperlink ref="E2834" r:id="rId_hyperlink_2833" tooltip="Перейти" display="Перейти"/>
    <hyperlink ref="E2835" r:id="rId_hyperlink_2834" tooltip="Перейти" display="Перейти"/>
    <hyperlink ref="E2836" r:id="rId_hyperlink_2835" tooltip="Перейти" display="Перейти"/>
    <hyperlink ref="E2837" r:id="rId_hyperlink_2836" tooltip="Перейти" display="Перейти"/>
    <hyperlink ref="E2838" r:id="rId_hyperlink_2837" tooltip="Перейти" display="Перейти"/>
    <hyperlink ref="E2839" r:id="rId_hyperlink_2838" tooltip="Перейти" display="Перейти"/>
    <hyperlink ref="E2840" r:id="rId_hyperlink_2839" tooltip="Перейти" display="Перейти"/>
    <hyperlink ref="E2841" r:id="rId_hyperlink_2840" tooltip="Перейти" display="Перейти"/>
    <hyperlink ref="E2842" r:id="rId_hyperlink_2841" tooltip="Перейти" display="Перейти"/>
    <hyperlink ref="E2843" r:id="rId_hyperlink_2842" tooltip="Перейти" display="Перейти"/>
    <hyperlink ref="E2844" r:id="rId_hyperlink_2843" tooltip="Перейти" display="Перейти"/>
    <hyperlink ref="E2845" r:id="rId_hyperlink_2844" tooltip="Перейти" display="Перейти"/>
    <hyperlink ref="E2846" r:id="rId_hyperlink_2845" tooltip="Перейти" display="Перейти"/>
    <hyperlink ref="E2847" r:id="rId_hyperlink_2846" tooltip="Перейти" display="Перейти"/>
    <hyperlink ref="E2848" r:id="rId_hyperlink_2847" tooltip="Перейти" display="Перейти"/>
    <hyperlink ref="E2849" r:id="rId_hyperlink_2848" tooltip="Перейти" display="Перейти"/>
    <hyperlink ref="E2850" r:id="rId_hyperlink_2849" tooltip="Перейти" display="Перейти"/>
    <hyperlink ref="E2851" r:id="rId_hyperlink_2850" tooltip="Перейти" display="Перейти"/>
    <hyperlink ref="E2852" r:id="rId_hyperlink_2851" tooltip="Перейти" display="Перейти"/>
    <hyperlink ref="E2853" r:id="rId_hyperlink_2852" tooltip="Перейти" display="Перейти"/>
    <hyperlink ref="E2854" r:id="rId_hyperlink_2853" tooltip="Перейти" display="Перейти"/>
    <hyperlink ref="E2855" r:id="rId_hyperlink_2854" tooltip="Перейти" display="Перейти"/>
    <hyperlink ref="E2856" r:id="rId_hyperlink_2855" tooltip="Перейти" display="Перейти"/>
    <hyperlink ref="E2857" r:id="rId_hyperlink_2856" tooltip="Перейти" display="Перейти"/>
    <hyperlink ref="E2858" r:id="rId_hyperlink_2857" tooltip="Перейти" display="Перейти"/>
    <hyperlink ref="E2859" r:id="rId_hyperlink_2858" tooltip="Перейти" display="Перейти"/>
    <hyperlink ref="E2860" r:id="rId_hyperlink_2859" tooltip="Перейти" display="Перейти"/>
    <hyperlink ref="E2861" r:id="rId_hyperlink_2860" tooltip="Перейти" display="Перейти"/>
    <hyperlink ref="E2862" r:id="rId_hyperlink_2861" tooltip="Перейти" display="Перейти"/>
    <hyperlink ref="E2863" r:id="rId_hyperlink_2862" tooltip="Перейти" display="Перейти"/>
    <hyperlink ref="E2864" r:id="rId_hyperlink_2863" tooltip="Перейти" display="Перейти"/>
    <hyperlink ref="E2865" r:id="rId_hyperlink_2864" tooltip="Перейти" display="Перейти"/>
    <hyperlink ref="E2866" r:id="rId_hyperlink_2865" tooltip="Перейти" display="Перейти"/>
    <hyperlink ref="E2867" r:id="rId_hyperlink_2866" tooltip="Перейти" display="Перейти"/>
    <hyperlink ref="E2868" r:id="rId_hyperlink_2867" tooltip="Перейти" display="Перейти"/>
    <hyperlink ref="E2869" r:id="rId_hyperlink_2868" tooltip="Перейти" display="Перейти"/>
    <hyperlink ref="E2870" r:id="rId_hyperlink_2869" tooltip="Перейти" display="Перейти"/>
    <hyperlink ref="E2871" r:id="rId_hyperlink_2870" tooltip="Перейти" display="Перейти"/>
    <hyperlink ref="E2872" r:id="rId_hyperlink_2871" tooltip="Перейти" display="Перейти"/>
    <hyperlink ref="E2873" r:id="rId_hyperlink_2872" tooltip="Перейти" display="Перейти"/>
    <hyperlink ref="E2874" r:id="rId_hyperlink_2873" tooltip="Перейти" display="Перейти"/>
    <hyperlink ref="E2875" r:id="rId_hyperlink_2874" tooltip="Перейти" display="Перейти"/>
    <hyperlink ref="E2876" r:id="rId_hyperlink_2875" tooltip="Перейти" display="Перейти"/>
    <hyperlink ref="E2877" r:id="rId_hyperlink_2876" tooltip="Перейти" display="Перейти"/>
    <hyperlink ref="E2878" r:id="rId_hyperlink_2877" tooltip="Перейти" display="Перейти"/>
    <hyperlink ref="E2879" r:id="rId_hyperlink_2878" tooltip="Перейти" display="Перейти"/>
    <hyperlink ref="E2880" r:id="rId_hyperlink_2879" tooltip="Перейти" display="Перейти"/>
    <hyperlink ref="E2881" r:id="rId_hyperlink_2880" tooltip="Перейти" display="Перейти"/>
    <hyperlink ref="E2882" r:id="rId_hyperlink_2881" tooltip="Перейти" display="Перейти"/>
    <hyperlink ref="E2883" r:id="rId_hyperlink_2882" tooltip="Перейти" display="Перейти"/>
    <hyperlink ref="E2884" r:id="rId_hyperlink_2883" tooltip="Перейти" display="Перейти"/>
    <hyperlink ref="E2885" r:id="rId_hyperlink_2884" tooltip="Перейти" display="Перейти"/>
    <hyperlink ref="E2886" r:id="rId_hyperlink_2885" tooltip="Перейти" display="Перейти"/>
    <hyperlink ref="E2887" r:id="rId_hyperlink_2886" tooltip="Перейти" display="Перейти"/>
    <hyperlink ref="E2888" r:id="rId_hyperlink_2887" tooltip="Перейти" display="Перейти"/>
    <hyperlink ref="E2889" r:id="rId_hyperlink_2888" tooltip="Перейти" display="Перейти"/>
    <hyperlink ref="E2890" r:id="rId_hyperlink_2889" tooltip="Перейти" display="Перейти"/>
    <hyperlink ref="E2891" r:id="rId_hyperlink_2890" tooltip="Перейти" display="Перейти"/>
    <hyperlink ref="E2892" r:id="rId_hyperlink_2891" tooltip="Перейти" display="Перейти"/>
    <hyperlink ref="E2893" r:id="rId_hyperlink_2892" tooltip="Перейти" display="Перейти"/>
    <hyperlink ref="E2894" r:id="rId_hyperlink_2893" tooltip="Перейти" display="Перейти"/>
    <hyperlink ref="E2895" r:id="rId_hyperlink_2894" tooltip="Перейти" display="Перейти"/>
    <hyperlink ref="E2896" r:id="rId_hyperlink_2895" tooltip="Перейти" display="Перейти"/>
    <hyperlink ref="E2897" r:id="rId_hyperlink_2896" tooltip="Перейти" display="Перейти"/>
    <hyperlink ref="E2898" r:id="rId_hyperlink_2897" tooltip="Перейти" display="Перейти"/>
    <hyperlink ref="E2899" r:id="rId_hyperlink_2898" tooltip="Перейти" display="Перейти"/>
    <hyperlink ref="E2900" r:id="rId_hyperlink_2899" tooltip="Перейти" display="Перейти"/>
    <hyperlink ref="E2901" r:id="rId_hyperlink_2900" tooltip="Перейти" display="Перейти"/>
    <hyperlink ref="E2902" r:id="rId_hyperlink_2901" tooltip="Перейти" display="Перейти"/>
    <hyperlink ref="E2903" r:id="rId_hyperlink_2902" tooltip="Перейти" display="Перейти"/>
    <hyperlink ref="E2904" r:id="rId_hyperlink_2903" tooltip="Перейти" display="Перейти"/>
    <hyperlink ref="E2905" r:id="rId_hyperlink_2904" tooltip="Перейти" display="Перейти"/>
    <hyperlink ref="E2906" r:id="rId_hyperlink_2905" tooltip="Перейти" display="Перейти"/>
    <hyperlink ref="E2907" r:id="rId_hyperlink_2906" tooltip="Перейти" display="Перейти"/>
    <hyperlink ref="E2908" r:id="rId_hyperlink_2907" tooltip="Перейти" display="Перейти"/>
    <hyperlink ref="E2909" r:id="rId_hyperlink_2908" tooltip="Перейти" display="Перейти"/>
    <hyperlink ref="E2910" r:id="rId_hyperlink_2909" tooltip="Перейти" display="Перейти"/>
    <hyperlink ref="E2911" r:id="rId_hyperlink_2910" tooltip="Перейти" display="Перейти"/>
    <hyperlink ref="E2912" r:id="rId_hyperlink_2911" tooltip="Перейти" display="Перейти"/>
    <hyperlink ref="E2913" r:id="rId_hyperlink_2912" tooltip="Перейти" display="Перейти"/>
    <hyperlink ref="E2914" r:id="rId_hyperlink_2913" tooltip="Перейти" display="Перейти"/>
    <hyperlink ref="E2915" r:id="rId_hyperlink_2914" tooltip="Перейти" display="Перейти"/>
    <hyperlink ref="E2916" r:id="rId_hyperlink_2915" tooltip="Перейти" display="Перейти"/>
    <hyperlink ref="E2917" r:id="rId_hyperlink_2916" tooltip="Перейти" display="Перейти"/>
    <hyperlink ref="E2918" r:id="rId_hyperlink_2917" tooltip="Перейти" display="Перейти"/>
    <hyperlink ref="E2919" r:id="rId_hyperlink_2918" tooltip="Перейти" display="Перейти"/>
    <hyperlink ref="E2920" r:id="rId_hyperlink_2919" tooltip="Перейти" display="Перейти"/>
    <hyperlink ref="E2921" r:id="rId_hyperlink_2920" tooltip="Перейти" display="Перейти"/>
    <hyperlink ref="E2922" r:id="rId_hyperlink_2921" tooltip="Перейти" display="Перейти"/>
    <hyperlink ref="E2923" r:id="rId_hyperlink_2922" tooltip="Перейти" display="Перейти"/>
    <hyperlink ref="E2924" r:id="rId_hyperlink_2923" tooltip="Перейти" display="Перейти"/>
    <hyperlink ref="E2925" r:id="rId_hyperlink_2924" tooltip="Перейти" display="Перейти"/>
    <hyperlink ref="E2926" r:id="rId_hyperlink_2925" tooltip="Перейти" display="Перейти"/>
    <hyperlink ref="E2927" r:id="rId_hyperlink_2926" tooltip="Перейти" display="Перейти"/>
    <hyperlink ref="E2928" r:id="rId_hyperlink_2927" tooltip="Перейти" display="Перейти"/>
    <hyperlink ref="E2929" r:id="rId_hyperlink_2928" tooltip="Перейти" display="Перейти"/>
    <hyperlink ref="E2930" r:id="rId_hyperlink_2929" tooltip="Перейти" display="Перейти"/>
    <hyperlink ref="E2931" r:id="rId_hyperlink_2930" tooltip="Перейти" display="Перейти"/>
    <hyperlink ref="E2932" r:id="rId_hyperlink_2931" tooltip="Перейти" display="Перейти"/>
    <hyperlink ref="E2933" r:id="rId_hyperlink_2932" tooltip="Перейти" display="Перейти"/>
    <hyperlink ref="E2934" r:id="rId_hyperlink_2933" tooltip="Перейти" display="Перейти"/>
    <hyperlink ref="E2935" r:id="rId_hyperlink_2934" tooltip="Перейти" display="Перейти"/>
    <hyperlink ref="E2936" r:id="rId_hyperlink_2935" tooltip="Перейти" display="Перейти"/>
    <hyperlink ref="E2937" r:id="rId_hyperlink_2936" tooltip="Перейти" display="Перейти"/>
    <hyperlink ref="E2938" r:id="rId_hyperlink_2937" tooltip="Перейти" display="Перейти"/>
    <hyperlink ref="E2939" r:id="rId_hyperlink_2938" tooltip="Перейти" display="Перейти"/>
    <hyperlink ref="E2940" r:id="rId_hyperlink_2939" tooltip="Перейти" display="Перейти"/>
    <hyperlink ref="E2941" r:id="rId_hyperlink_2940" tooltip="Перейти" display="Перейти"/>
    <hyperlink ref="E2942" r:id="rId_hyperlink_2941" tooltip="Перейти" display="Перейти"/>
    <hyperlink ref="E2943" r:id="rId_hyperlink_2942" tooltip="Перейти" display="Перейти"/>
    <hyperlink ref="E2944" r:id="rId_hyperlink_2943" tooltip="Перейти" display="Перейти"/>
    <hyperlink ref="E2945" r:id="rId_hyperlink_2944" tooltip="Перейти" display="Перейти"/>
    <hyperlink ref="E2946" r:id="rId_hyperlink_2945" tooltip="Перейти" display="Перейти"/>
    <hyperlink ref="E2947" r:id="rId_hyperlink_2946" tooltip="Перейти" display="Перейти"/>
    <hyperlink ref="E2948" r:id="rId_hyperlink_2947" tooltip="Перейти" display="Перейти"/>
    <hyperlink ref="E2949" r:id="rId_hyperlink_2948" tooltip="Перейти" display="Перейти"/>
    <hyperlink ref="E2950" r:id="rId_hyperlink_2949" tooltip="Перейти" display="Перейти"/>
    <hyperlink ref="E2951" r:id="rId_hyperlink_2950" tooltip="Перейти" display="Перейти"/>
    <hyperlink ref="E2952" r:id="rId_hyperlink_2951" tooltip="Перейти" display="Перейти"/>
    <hyperlink ref="E2953" r:id="rId_hyperlink_2952" tooltip="Перейти" display="Перейти"/>
    <hyperlink ref="E2954" r:id="rId_hyperlink_2953" tooltip="Перейти" display="Перейти"/>
    <hyperlink ref="E2955" r:id="rId_hyperlink_2954" tooltip="Перейти" display="Перейти"/>
    <hyperlink ref="E2956" r:id="rId_hyperlink_2955" tooltip="Перейти" display="Перейти"/>
    <hyperlink ref="E2957" r:id="rId_hyperlink_2956" tooltip="Перейти" display="Перейти"/>
    <hyperlink ref="E2958" r:id="rId_hyperlink_2957" tooltip="Перейти" display="Перейти"/>
    <hyperlink ref="E2959" r:id="rId_hyperlink_2958" tooltip="Перейти" display="Перейти"/>
    <hyperlink ref="E2960" r:id="rId_hyperlink_2959" tooltip="Перейти" display="Перейти"/>
    <hyperlink ref="E2961" r:id="rId_hyperlink_2960" tooltip="Перейти" display="Перейти"/>
    <hyperlink ref="E2962" r:id="rId_hyperlink_2961" tooltip="Перейти" display="Перейти"/>
    <hyperlink ref="E2963" r:id="rId_hyperlink_2962" tooltip="Перейти" display="Перейти"/>
    <hyperlink ref="E2964" r:id="rId_hyperlink_2963" tooltip="Перейти" display="Перейти"/>
    <hyperlink ref="E2965" r:id="rId_hyperlink_2964" tooltip="Перейти" display="Перейти"/>
    <hyperlink ref="E2966" r:id="rId_hyperlink_2965" tooltip="Перейти" display="Перейти"/>
    <hyperlink ref="E2967" r:id="rId_hyperlink_2966" tooltip="Перейти" display="Перейти"/>
    <hyperlink ref="E2968" r:id="rId_hyperlink_2967" tooltip="Перейти" display="Перейти"/>
    <hyperlink ref="E2969" r:id="rId_hyperlink_2968" tooltip="Перейти" display="Перейти"/>
    <hyperlink ref="E2970" r:id="rId_hyperlink_2969" tooltip="Перейти" display="Перейти"/>
    <hyperlink ref="E2971" r:id="rId_hyperlink_2970" tooltip="Перейти" display="Перейти"/>
    <hyperlink ref="E2972" r:id="rId_hyperlink_2971" tooltip="Перейти" display="Перейти"/>
    <hyperlink ref="E2973" r:id="rId_hyperlink_2972" tooltip="Перейти" display="Перейти"/>
    <hyperlink ref="E2974" r:id="rId_hyperlink_2973" tooltip="Перейти" display="Перейти"/>
    <hyperlink ref="E2975" r:id="rId_hyperlink_2974" tooltip="Перейти" display="Перейти"/>
    <hyperlink ref="E2976" r:id="rId_hyperlink_2975" tooltip="Перейти" display="Перейти"/>
    <hyperlink ref="E2977" r:id="rId_hyperlink_2976" tooltip="Перейти" display="Перейти"/>
    <hyperlink ref="E2978" r:id="rId_hyperlink_2977" tooltip="Перейти" display="Перейти"/>
    <hyperlink ref="E2979" r:id="rId_hyperlink_2978" tooltip="Перейти" display="Перейти"/>
    <hyperlink ref="E2980" r:id="rId_hyperlink_2979" tooltip="Перейти" display="Перейти"/>
    <hyperlink ref="E2981" r:id="rId_hyperlink_2980" tooltip="Перейти" display="Перейти"/>
    <hyperlink ref="E2982" r:id="rId_hyperlink_2981" tooltip="Перейти" display="Перейти"/>
    <hyperlink ref="E2983" r:id="rId_hyperlink_2982" tooltip="Перейти" display="Перейти"/>
    <hyperlink ref="E2984" r:id="rId_hyperlink_2983" tooltip="Перейти" display="Перейти"/>
    <hyperlink ref="E2985" r:id="rId_hyperlink_2984" tooltip="Перейти" display="Перейти"/>
    <hyperlink ref="E2986" r:id="rId_hyperlink_2985" tooltip="Перейти" display="Перейти"/>
    <hyperlink ref="E2987" r:id="rId_hyperlink_2986" tooltip="Перейти" display="Перейти"/>
    <hyperlink ref="E2988" r:id="rId_hyperlink_2987" tooltip="Перейти" display="Перейти"/>
    <hyperlink ref="E2989" r:id="rId_hyperlink_2988" tooltip="Перейти" display="Перейти"/>
    <hyperlink ref="E2990" r:id="rId_hyperlink_2989" tooltip="Перейти" display="Перейти"/>
    <hyperlink ref="E2991" r:id="rId_hyperlink_2990" tooltip="Перейти" display="Перейти"/>
    <hyperlink ref="E2992" r:id="rId_hyperlink_2991" tooltip="Перейти" display="Перейти"/>
    <hyperlink ref="E2993" r:id="rId_hyperlink_2992" tooltip="Перейти" display="Перейти"/>
    <hyperlink ref="E2994" r:id="rId_hyperlink_2993" tooltip="Перейти" display="Перейти"/>
    <hyperlink ref="E2995" r:id="rId_hyperlink_2994" tooltip="Перейти" display="Перейти"/>
    <hyperlink ref="E2996" r:id="rId_hyperlink_2995" tooltip="Перейти" display="Перейти"/>
    <hyperlink ref="E2997" r:id="rId_hyperlink_2996" tooltip="Перейти" display="Перейти"/>
    <hyperlink ref="E2998" r:id="rId_hyperlink_2997" tooltip="Перейти" display="Перейти"/>
    <hyperlink ref="E2999" r:id="rId_hyperlink_2998" tooltip="Перейти" display="Перейти"/>
    <hyperlink ref="E3000" r:id="rId_hyperlink_2999" tooltip="Перейти" display="Перейти"/>
    <hyperlink ref="E3001" r:id="rId_hyperlink_3000" tooltip="Перейти" display="Перейти"/>
    <hyperlink ref="E3002" r:id="rId_hyperlink_3001" tooltip="Перейти" display="Перейти"/>
    <hyperlink ref="E3003" r:id="rId_hyperlink_3002" tooltip="Перейти" display="Перейти"/>
    <hyperlink ref="E3004" r:id="rId_hyperlink_3003" tooltip="Перейти" display="Перейти"/>
    <hyperlink ref="E3005" r:id="rId_hyperlink_3004" tooltip="Перейти" display="Перейти"/>
    <hyperlink ref="E3006" r:id="rId_hyperlink_3005" tooltip="Перейти" display="Перейти"/>
    <hyperlink ref="E3007" r:id="rId_hyperlink_3006" tooltip="Перейти" display="Перейти"/>
    <hyperlink ref="E3008" r:id="rId_hyperlink_3007" tooltip="Перейти" display="Перейти"/>
    <hyperlink ref="E3009" r:id="rId_hyperlink_3008" tooltip="Перейти" display="Перейти"/>
    <hyperlink ref="E3010" r:id="rId_hyperlink_3009" tooltip="Перейти" display="Перейти"/>
    <hyperlink ref="E3011" r:id="rId_hyperlink_3010" tooltip="Перейти" display="Перейти"/>
    <hyperlink ref="E3012" r:id="rId_hyperlink_3011" tooltip="Перейти" display="Перейти"/>
    <hyperlink ref="E3013" r:id="rId_hyperlink_3012" tooltip="Перейти" display="Перейти"/>
    <hyperlink ref="E3014" r:id="rId_hyperlink_3013" tooltip="Перейти" display="Перейти"/>
    <hyperlink ref="E3015" r:id="rId_hyperlink_3014" tooltip="Перейти" display="Перейти"/>
    <hyperlink ref="E3016" r:id="rId_hyperlink_3015" tooltip="Перейти" display="Перейти"/>
    <hyperlink ref="E3017" r:id="rId_hyperlink_3016" tooltip="Перейти" display="Перейти"/>
    <hyperlink ref="E3018" r:id="rId_hyperlink_3017" tooltip="Перейти" display="Перейти"/>
    <hyperlink ref="E3019" r:id="rId_hyperlink_3018" tooltip="Перейти" display="Перейти"/>
    <hyperlink ref="E3020" r:id="rId_hyperlink_3019" tooltip="Перейти" display="Перейти"/>
    <hyperlink ref="E3021" r:id="rId_hyperlink_3020" tooltip="Перейти" display="Перейти"/>
    <hyperlink ref="E3022" r:id="rId_hyperlink_3021" tooltip="Перейти" display="Перейти"/>
    <hyperlink ref="E3023" r:id="rId_hyperlink_3022" tooltip="Перейти" display="Перейти"/>
    <hyperlink ref="E3024" r:id="rId_hyperlink_3023" tooltip="Перейти" display="Перейти"/>
    <hyperlink ref="E3025" r:id="rId_hyperlink_3024" tooltip="Перейти" display="Перейти"/>
    <hyperlink ref="E3026" r:id="rId_hyperlink_3025" tooltip="Перейти" display="Перейти"/>
    <hyperlink ref="E3027" r:id="rId_hyperlink_3026" tooltip="Перейти" display="Перейти"/>
    <hyperlink ref="E3028" r:id="rId_hyperlink_3027" tooltip="Перейти" display="Перейти"/>
    <hyperlink ref="E3029" r:id="rId_hyperlink_3028" tooltip="Перейти" display="Перейти"/>
    <hyperlink ref="E3030" r:id="rId_hyperlink_3029" tooltip="Перейти" display="Перейти"/>
    <hyperlink ref="E3031" r:id="rId_hyperlink_3030" tooltip="Перейти" display="Перейти"/>
    <hyperlink ref="E3032" r:id="rId_hyperlink_3031" tooltip="Перейти" display="Перейти"/>
    <hyperlink ref="E3033" r:id="rId_hyperlink_3032" tooltip="Перейти" display="Перейти"/>
    <hyperlink ref="E3034" r:id="rId_hyperlink_3033" tooltip="Перейти" display="Перейти"/>
    <hyperlink ref="E3035" r:id="rId_hyperlink_3034" tooltip="Перейти" display="Перейти"/>
    <hyperlink ref="E3036" r:id="rId_hyperlink_3035" tooltip="Перейти" display="Перейти"/>
    <hyperlink ref="E3037" r:id="rId_hyperlink_3036" tooltip="Перейти" display="Перейти"/>
    <hyperlink ref="E3038" r:id="rId_hyperlink_3037" tooltip="Перейти" display="Перейти"/>
    <hyperlink ref="E3039" r:id="rId_hyperlink_3038" tooltip="Перейти" display="Перейти"/>
    <hyperlink ref="E3040" r:id="rId_hyperlink_3039" tooltip="Перейти" display="Перейти"/>
    <hyperlink ref="E3041" r:id="rId_hyperlink_3040" tooltip="Перейти" display="Перейти"/>
    <hyperlink ref="E3042" r:id="rId_hyperlink_3041" tooltip="Перейти" display="Перейти"/>
    <hyperlink ref="E3043" r:id="rId_hyperlink_3042" tooltip="Перейти" display="Перейти"/>
    <hyperlink ref="E3044" r:id="rId_hyperlink_3043" tooltip="Перейти" display="Перейти"/>
    <hyperlink ref="E3045" r:id="rId_hyperlink_3044" tooltip="Перейти" display="Перейти"/>
    <hyperlink ref="E3046" r:id="rId_hyperlink_3045" tooltip="Перейти" display="Перейти"/>
    <hyperlink ref="E3047" r:id="rId_hyperlink_3046" tooltip="Перейти" display="Перейти"/>
    <hyperlink ref="E3048" r:id="rId_hyperlink_3047" tooltip="Перейти" display="Перейти"/>
    <hyperlink ref="E3049" r:id="rId_hyperlink_3048" tooltip="Перейти" display="Перейти"/>
    <hyperlink ref="E3050" r:id="rId_hyperlink_3049" tooltip="Перейти" display="Перейти"/>
    <hyperlink ref="E3051" r:id="rId_hyperlink_3050" tooltip="Перейти" display="Перейти"/>
    <hyperlink ref="E3052" r:id="rId_hyperlink_3051" tooltip="Перейти" display="Перейти"/>
    <hyperlink ref="E3053" r:id="rId_hyperlink_3052" tooltip="Перейти" display="Перейти"/>
    <hyperlink ref="E3054" r:id="rId_hyperlink_3053" tooltip="Перейти" display="Перейти"/>
    <hyperlink ref="E3055" r:id="rId_hyperlink_3054" tooltip="Перейти" display="Перейти"/>
    <hyperlink ref="E3056" r:id="rId_hyperlink_3055" tooltip="Перейти" display="Перейти"/>
    <hyperlink ref="E3057" r:id="rId_hyperlink_3056" tooltip="Перейти" display="Перейти"/>
    <hyperlink ref="E3058" r:id="rId_hyperlink_3057" tooltip="Перейти" display="Перейти"/>
    <hyperlink ref="E3059" r:id="rId_hyperlink_3058" tooltip="Перейти" display="Перейти"/>
    <hyperlink ref="E3060" r:id="rId_hyperlink_3059" tooltip="Перейти" display="Перейти"/>
    <hyperlink ref="E3061" r:id="rId_hyperlink_3060" tooltip="Перейти" display="Перейти"/>
    <hyperlink ref="E3062" r:id="rId_hyperlink_3061" tooltip="Перейти" display="Перейти"/>
    <hyperlink ref="E3063" r:id="rId_hyperlink_3062" tooltip="Перейти" display="Перейти"/>
    <hyperlink ref="E3064" r:id="rId_hyperlink_3063" tooltip="Перейти" display="Перейти"/>
    <hyperlink ref="E3065" r:id="rId_hyperlink_3064" tooltip="Перейти" display="Перейти"/>
    <hyperlink ref="E3066" r:id="rId_hyperlink_3065" tooltip="Перейти" display="Перейти"/>
    <hyperlink ref="E3067" r:id="rId_hyperlink_3066" tooltip="Перейти" display="Перейти"/>
    <hyperlink ref="E3068" r:id="rId_hyperlink_3067" tooltip="Перейти" display="Перейти"/>
    <hyperlink ref="E3069" r:id="rId_hyperlink_3068" tooltip="Перейти" display="Перейти"/>
    <hyperlink ref="E3070" r:id="rId_hyperlink_3069" tooltip="Перейти" display="Перейти"/>
    <hyperlink ref="E3071" r:id="rId_hyperlink_3070" tooltip="Перейти" display="Перейти"/>
    <hyperlink ref="E3072" r:id="rId_hyperlink_3071" tooltip="Перейти" display="Перейти"/>
    <hyperlink ref="E3073" r:id="rId_hyperlink_3072" tooltip="Перейти" display="Перейти"/>
    <hyperlink ref="E3074" r:id="rId_hyperlink_3073" tooltip="Перейти" display="Перейти"/>
    <hyperlink ref="E3075" r:id="rId_hyperlink_3074" tooltip="Перейти" display="Перейти"/>
    <hyperlink ref="E3076" r:id="rId_hyperlink_3075" tooltip="Перейти" display="Перейти"/>
    <hyperlink ref="E3077" r:id="rId_hyperlink_3076" tooltip="Перейти" display="Перейти"/>
    <hyperlink ref="E3078" r:id="rId_hyperlink_3077" tooltip="Перейти" display="Перейти"/>
    <hyperlink ref="E3079" r:id="rId_hyperlink_3078" tooltip="Перейти" display="Перейти"/>
    <hyperlink ref="E3080" r:id="rId_hyperlink_3079" tooltip="Перейти" display="Перейти"/>
    <hyperlink ref="E3081" r:id="rId_hyperlink_3080" tooltip="Перейти" display="Перейти"/>
    <hyperlink ref="E3082" r:id="rId_hyperlink_3081" tooltip="Перейти" display="Перейти"/>
    <hyperlink ref="E3083" r:id="rId_hyperlink_3082" tooltip="Перейти" display="Перейти"/>
    <hyperlink ref="E3084" r:id="rId_hyperlink_3083" tooltip="Перейти" display="Перейти"/>
    <hyperlink ref="E3085" r:id="rId_hyperlink_3084" tooltip="Перейти" display="Перейти"/>
    <hyperlink ref="E3086" r:id="rId_hyperlink_3085" tooltip="Перейти" display="Перейти"/>
    <hyperlink ref="E3087" r:id="rId_hyperlink_3086" tooltip="Перейти" display="Перейти"/>
    <hyperlink ref="E3088" r:id="rId_hyperlink_3087" tooltip="Перейти" display="Перейти"/>
    <hyperlink ref="E3089" r:id="rId_hyperlink_3088" tooltip="Перейти" display="Перейти"/>
    <hyperlink ref="E3090" r:id="rId_hyperlink_3089" tooltip="Перейти" display="Перейти"/>
    <hyperlink ref="E3091" r:id="rId_hyperlink_3090" tooltip="Перейти" display="Перейти"/>
    <hyperlink ref="E3092" r:id="rId_hyperlink_3091" tooltip="Перейти" display="Перейти"/>
    <hyperlink ref="E3093" r:id="rId_hyperlink_3092" tooltip="Перейти" display="Перейти"/>
    <hyperlink ref="E3094" r:id="rId_hyperlink_3093" tooltip="Перейти" display="Перейти"/>
    <hyperlink ref="E3095" r:id="rId_hyperlink_3094" tooltip="Перейти" display="Перейти"/>
    <hyperlink ref="E3096" r:id="rId_hyperlink_3095" tooltip="Перейти" display="Перейти"/>
    <hyperlink ref="E3097" r:id="rId_hyperlink_3096" tooltip="Перейти" display="Перейти"/>
    <hyperlink ref="E3098" r:id="rId_hyperlink_3097" tooltip="Перейти" display="Перейти"/>
    <hyperlink ref="E3099" r:id="rId_hyperlink_3098" tooltip="Перейти" display="Перейти"/>
    <hyperlink ref="E3100" r:id="rId_hyperlink_3099" tooltip="Перейти" display="Перейти"/>
    <hyperlink ref="E3101" r:id="rId_hyperlink_3100" tooltip="Перейти" display="Перейти"/>
    <hyperlink ref="E3102" r:id="rId_hyperlink_3101" tooltip="Перейти" display="Перейти"/>
    <hyperlink ref="E3103" r:id="rId_hyperlink_3102" tooltip="Перейти" display="Перейти"/>
    <hyperlink ref="E3104" r:id="rId_hyperlink_3103" tooltip="Перейти" display="Перейти"/>
    <hyperlink ref="E3105" r:id="rId_hyperlink_3104" tooltip="Перейти" display="Перейти"/>
    <hyperlink ref="E3106" r:id="rId_hyperlink_3105" tooltip="Перейти" display="Перейти"/>
    <hyperlink ref="E3107" r:id="rId_hyperlink_3106" tooltip="Перейти" display="Перейти"/>
    <hyperlink ref="E3108" r:id="rId_hyperlink_3107" tooltip="Перейти" display="Перейти"/>
    <hyperlink ref="E3109" r:id="rId_hyperlink_3108" tooltip="Перейти" display="Перейти"/>
    <hyperlink ref="E3110" r:id="rId_hyperlink_3109" tooltip="Перейти" display="Перейти"/>
    <hyperlink ref="E3111" r:id="rId_hyperlink_3110" tooltip="Перейти" display="Перейти"/>
    <hyperlink ref="E3112" r:id="rId_hyperlink_3111" tooltip="Перейти" display="Перейти"/>
    <hyperlink ref="E3113" r:id="rId_hyperlink_3112" tooltip="Перейти" display="Перейти"/>
    <hyperlink ref="E3114" r:id="rId_hyperlink_3113" tooltip="Перейти" display="Перейти"/>
    <hyperlink ref="E3115" r:id="rId_hyperlink_3114" tooltip="Перейти" display="Перейти"/>
    <hyperlink ref="E3116" r:id="rId_hyperlink_3115" tooltip="Перейти" display="Перейти"/>
    <hyperlink ref="E3117" r:id="rId_hyperlink_3116" tooltip="Перейти" display="Перейти"/>
    <hyperlink ref="E3118" r:id="rId_hyperlink_3117" tooltip="Перейти" display="Перейти"/>
    <hyperlink ref="E3119" r:id="rId_hyperlink_3118" tooltip="Перейти" display="Перейти"/>
    <hyperlink ref="E3120" r:id="rId_hyperlink_3119" tooltip="Перейти" display="Перейти"/>
    <hyperlink ref="E3121" r:id="rId_hyperlink_3120" tooltip="Перейти" display="Перейти"/>
    <hyperlink ref="E3122" r:id="rId_hyperlink_3121" tooltip="Перейти" display="Перейти"/>
    <hyperlink ref="E3123" r:id="rId_hyperlink_3122" tooltip="Перейти" display="Перейти"/>
    <hyperlink ref="E3124" r:id="rId_hyperlink_3123" tooltip="Перейти" display="Перейти"/>
    <hyperlink ref="E3125" r:id="rId_hyperlink_3124" tooltip="Перейти" display="Перейти"/>
    <hyperlink ref="E3126" r:id="rId_hyperlink_3125" tooltip="Перейти" display="Перейти"/>
    <hyperlink ref="E3127" r:id="rId_hyperlink_3126" tooltip="Перейти" display="Перейти"/>
    <hyperlink ref="E3128" r:id="rId_hyperlink_3127" tooltip="Перейти" display="Перейти"/>
    <hyperlink ref="E3129" r:id="rId_hyperlink_3128" tooltip="Перейти" display="Перейти"/>
    <hyperlink ref="E3130" r:id="rId_hyperlink_3129" tooltip="Перейти" display="Перейти"/>
    <hyperlink ref="E3131" r:id="rId_hyperlink_3130" tooltip="Перейти" display="Перейти"/>
    <hyperlink ref="E3132" r:id="rId_hyperlink_3131" tooltip="Перейти" display="Перейти"/>
    <hyperlink ref="E3133" r:id="rId_hyperlink_3132" tooltip="Перейти" display="Перейти"/>
    <hyperlink ref="E3134" r:id="rId_hyperlink_3133" tooltip="Перейти" display="Перейти"/>
    <hyperlink ref="E3135" r:id="rId_hyperlink_3134" tooltip="Перейти" display="Перейти"/>
    <hyperlink ref="E3136" r:id="rId_hyperlink_3135" tooltip="Перейти" display="Перейти"/>
    <hyperlink ref="E3137" r:id="rId_hyperlink_3136" tooltip="Перейти" display="Перейти"/>
    <hyperlink ref="E3138" r:id="rId_hyperlink_3137" tooltip="Перейти" display="Перейти"/>
    <hyperlink ref="E3139" r:id="rId_hyperlink_3138" tooltip="Перейти" display="Перейти"/>
    <hyperlink ref="E3140" r:id="rId_hyperlink_3139" tooltip="Перейти" display="Перейти"/>
    <hyperlink ref="E3141" r:id="rId_hyperlink_3140" tooltip="Перейти" display="Перейти"/>
    <hyperlink ref="E3142" r:id="rId_hyperlink_3141" tooltip="Перейти" display="Перейти"/>
    <hyperlink ref="E3143" r:id="rId_hyperlink_3142" tooltip="Перейти" display="Перейти"/>
    <hyperlink ref="E3144" r:id="rId_hyperlink_3143" tooltip="Перейти" display="Перейти"/>
    <hyperlink ref="E3145" r:id="rId_hyperlink_3144" tooltip="Перейти" display="Перейти"/>
    <hyperlink ref="E3146" r:id="rId_hyperlink_3145" tooltip="Перейти" display="Перейти"/>
    <hyperlink ref="E3147" r:id="rId_hyperlink_3146" tooltip="Перейти" display="Перейти"/>
    <hyperlink ref="E3148" r:id="rId_hyperlink_3147" tooltip="Перейти" display="Перейти"/>
    <hyperlink ref="E3149" r:id="rId_hyperlink_3148" tooltip="Перейти" display="Перейти"/>
    <hyperlink ref="E3150" r:id="rId_hyperlink_3149" tooltip="Перейти" display="Перейти"/>
    <hyperlink ref="E3151" r:id="rId_hyperlink_3150" tooltip="Перейти" display="Перейти"/>
    <hyperlink ref="E3152" r:id="rId_hyperlink_3151" tooltip="Перейти" display="Перейти"/>
    <hyperlink ref="E3153" r:id="rId_hyperlink_3152" tooltip="Перейти" display="Перейти"/>
    <hyperlink ref="E3154" r:id="rId_hyperlink_3153" tooltip="Перейти" display="Перейти"/>
    <hyperlink ref="E3155" r:id="rId_hyperlink_3154" tooltip="Перейти" display="Перейти"/>
    <hyperlink ref="E3156" r:id="rId_hyperlink_3155" tooltip="Перейти" display="Перейти"/>
    <hyperlink ref="E3157" r:id="rId_hyperlink_3156" tooltip="Перейти" display="Перейти"/>
    <hyperlink ref="E3158" r:id="rId_hyperlink_3157" tooltip="Перейти" display="Перейти"/>
    <hyperlink ref="E3159" r:id="rId_hyperlink_3158" tooltip="Перейти" display="Перейти"/>
    <hyperlink ref="E3160" r:id="rId_hyperlink_3159" tooltip="Перейти" display="Перейти"/>
    <hyperlink ref="E3161" r:id="rId_hyperlink_3160" tooltip="Перейти" display="Перейти"/>
    <hyperlink ref="E3162" r:id="rId_hyperlink_3161" tooltip="Перейти" display="Перейти"/>
    <hyperlink ref="E3163" r:id="rId_hyperlink_3162" tooltip="Перейти" display="Перейти"/>
    <hyperlink ref="E3164" r:id="rId_hyperlink_3163" tooltip="Перейти" display="Перейти"/>
    <hyperlink ref="E3165" r:id="rId_hyperlink_3164" tooltip="Перейти" display="Перейти"/>
    <hyperlink ref="E3166" r:id="rId_hyperlink_3165" tooltip="Перейти" display="Перейти"/>
    <hyperlink ref="E3167" r:id="rId_hyperlink_3166" tooltip="Перейти" display="Перейти"/>
    <hyperlink ref="E3168" r:id="rId_hyperlink_3167" tooltip="Перейти" display="Перейти"/>
    <hyperlink ref="E3169" r:id="rId_hyperlink_3168" tooltip="Перейти" display="Перейти"/>
    <hyperlink ref="E3170" r:id="rId_hyperlink_3169" tooltip="Перейти" display="Перейти"/>
    <hyperlink ref="E3171" r:id="rId_hyperlink_3170" tooltip="Перейти" display="Перейти"/>
    <hyperlink ref="E3172" r:id="rId_hyperlink_3171" tooltip="Перейти" display="Перейти"/>
    <hyperlink ref="E3173" r:id="rId_hyperlink_3172" tooltip="Перейти" display="Перейти"/>
    <hyperlink ref="E3174" r:id="rId_hyperlink_3173" tooltip="Перейти" display="Перейти"/>
    <hyperlink ref="E3175" r:id="rId_hyperlink_3174" tooltip="Перейти" display="Перейти"/>
    <hyperlink ref="E3176" r:id="rId_hyperlink_3175" tooltip="Перейти" display="Перейти"/>
    <hyperlink ref="E3177" r:id="rId_hyperlink_3176" tooltip="Перейти" display="Перейти"/>
    <hyperlink ref="E3178" r:id="rId_hyperlink_3177" tooltip="Перейти" display="Перейти"/>
    <hyperlink ref="E3179" r:id="rId_hyperlink_3178" tooltip="Перейти" display="Перейти"/>
    <hyperlink ref="E3180" r:id="rId_hyperlink_3179" tooltip="Перейти" display="Перейти"/>
    <hyperlink ref="E3181" r:id="rId_hyperlink_3180" tooltip="Перейти" display="Перейти"/>
    <hyperlink ref="E3182" r:id="rId_hyperlink_3181" tooltip="Перейти" display="Перейти"/>
    <hyperlink ref="E3183" r:id="rId_hyperlink_3182" tooltip="Перейти" display="Перейти"/>
    <hyperlink ref="E3184" r:id="rId_hyperlink_3183" tooltip="Перейти" display="Перейти"/>
    <hyperlink ref="E3185" r:id="rId_hyperlink_3184" tooltip="Перейти" display="Перейти"/>
    <hyperlink ref="E3186" r:id="rId_hyperlink_3185" tooltip="Перейти" display="Перейти"/>
    <hyperlink ref="E3187" r:id="rId_hyperlink_3186" tooltip="Перейти" display="Перейти"/>
    <hyperlink ref="E3188" r:id="rId_hyperlink_3187" tooltip="Перейти" display="Перейти"/>
    <hyperlink ref="E3189" r:id="rId_hyperlink_3188" tooltip="Перейти" display="Перейти"/>
    <hyperlink ref="E3190" r:id="rId_hyperlink_3189" tooltip="Перейти" display="Перейти"/>
    <hyperlink ref="E3191" r:id="rId_hyperlink_3190" tooltip="Перейти" display="Перейти"/>
    <hyperlink ref="E3192" r:id="rId_hyperlink_3191" tooltip="Перейти" display="Перейти"/>
    <hyperlink ref="E3193" r:id="rId_hyperlink_3192" tooltip="Перейти" display="Перейти"/>
    <hyperlink ref="E3194" r:id="rId_hyperlink_3193" tooltip="Перейти" display="Перейти"/>
    <hyperlink ref="E3195" r:id="rId_hyperlink_3194" tooltip="Перейти" display="Перейти"/>
    <hyperlink ref="E3196" r:id="rId_hyperlink_3195" tooltip="Перейти" display="Перейти"/>
    <hyperlink ref="E3197" r:id="rId_hyperlink_3196" tooltip="Перейти" display="Перейти"/>
    <hyperlink ref="E3198" r:id="rId_hyperlink_3197" tooltip="Перейти" display="Перейти"/>
    <hyperlink ref="E3199" r:id="rId_hyperlink_3198" tooltip="Перейти" display="Перейти"/>
    <hyperlink ref="E3200" r:id="rId_hyperlink_3199" tooltip="Перейти" display="Перейти"/>
    <hyperlink ref="E3201" r:id="rId_hyperlink_3200" tooltip="Перейти" display="Перейти"/>
    <hyperlink ref="E3202" r:id="rId_hyperlink_3201" tooltip="Перейти" display="Перейти"/>
    <hyperlink ref="E3203" r:id="rId_hyperlink_3202" tooltip="Перейти" display="Перейти"/>
    <hyperlink ref="E3204" r:id="rId_hyperlink_3203" tooltip="Перейти" display="Перейти"/>
    <hyperlink ref="E3205" r:id="rId_hyperlink_3204" tooltip="Перейти" display="Перейти"/>
    <hyperlink ref="E3206" r:id="rId_hyperlink_3205" tooltip="Перейти" display="Перейти"/>
    <hyperlink ref="E3207" r:id="rId_hyperlink_3206" tooltip="Перейти" display="Перейти"/>
    <hyperlink ref="E3208" r:id="rId_hyperlink_3207" tooltip="Перейти" display="Перейти"/>
    <hyperlink ref="E3209" r:id="rId_hyperlink_3208" tooltip="Перейти" display="Перейти"/>
    <hyperlink ref="E3210" r:id="rId_hyperlink_3209" tooltip="Перейти" display="Перейти"/>
    <hyperlink ref="E3211" r:id="rId_hyperlink_3210" tooltip="Перейти" display="Перейти"/>
    <hyperlink ref="E3212" r:id="rId_hyperlink_3211" tooltip="Перейти" display="Перейти"/>
    <hyperlink ref="E3213" r:id="rId_hyperlink_3212" tooltip="Перейти" display="Перейти"/>
    <hyperlink ref="E3214" r:id="rId_hyperlink_3213" tooltip="Перейти" display="Перейти"/>
    <hyperlink ref="E3215" r:id="rId_hyperlink_3214" tooltip="Перейти" display="Перейти"/>
    <hyperlink ref="E3216" r:id="rId_hyperlink_3215" tooltip="Перейти" display="Перейти"/>
    <hyperlink ref="E3217" r:id="rId_hyperlink_3216" tooltip="Перейти" display="Перейти"/>
    <hyperlink ref="E3218" r:id="rId_hyperlink_3217" tooltip="Перейти" display="Перейти"/>
    <hyperlink ref="E3219" r:id="rId_hyperlink_3218" tooltip="Перейти" display="Перейти"/>
    <hyperlink ref="E3220" r:id="rId_hyperlink_3219" tooltip="Перейти" display="Перейти"/>
    <hyperlink ref="E3221" r:id="rId_hyperlink_3220" tooltip="Перейти" display="Перейти"/>
    <hyperlink ref="E3222" r:id="rId_hyperlink_3221" tooltip="Перейти" display="Перейти"/>
    <hyperlink ref="E3223" r:id="rId_hyperlink_3222" tooltip="Перейти" display="Перейти"/>
    <hyperlink ref="E3224" r:id="rId_hyperlink_3223" tooltip="Перейти" display="Перейти"/>
    <hyperlink ref="E3225" r:id="rId_hyperlink_3224" tooltip="Перейти" display="Перейти"/>
    <hyperlink ref="E3226" r:id="rId_hyperlink_3225" tooltip="Перейти" display="Перейти"/>
    <hyperlink ref="E3227" r:id="rId_hyperlink_3226" tooltip="Перейти" display="Перейти"/>
    <hyperlink ref="E3228" r:id="rId_hyperlink_3227" tooltip="Перейти" display="Перейти"/>
    <hyperlink ref="E3229" r:id="rId_hyperlink_3228" tooltip="Перейти" display="Перейти"/>
    <hyperlink ref="E3230" r:id="rId_hyperlink_3229" tooltip="Перейти" display="Перейти"/>
    <hyperlink ref="E3231" r:id="rId_hyperlink_3230" tooltip="Перейти" display="Перейти"/>
    <hyperlink ref="E3232" r:id="rId_hyperlink_3231" tooltip="Перейти" display="Перейти"/>
    <hyperlink ref="E3233" r:id="rId_hyperlink_3232" tooltip="Перейти" display="Перейти"/>
    <hyperlink ref="E3234" r:id="rId_hyperlink_3233" tooltip="Перейти" display="Перейти"/>
    <hyperlink ref="E3235" r:id="rId_hyperlink_3234" tooltip="Перейти" display="Перейти"/>
    <hyperlink ref="E3236" r:id="rId_hyperlink_3235" tooltip="Перейти" display="Перейти"/>
    <hyperlink ref="E3237" r:id="rId_hyperlink_3236" tooltip="Перейти" display="Перейти"/>
    <hyperlink ref="E3238" r:id="rId_hyperlink_3237" tooltip="Перейти" display="Перейти"/>
    <hyperlink ref="E3239" r:id="rId_hyperlink_3238" tooltip="Перейти" display="Перейти"/>
    <hyperlink ref="E3240" r:id="rId_hyperlink_3239" tooltip="Перейти" display="Перейти"/>
    <hyperlink ref="E3241" r:id="rId_hyperlink_3240" tooltip="Перейти" display="Перейти"/>
    <hyperlink ref="E3242" r:id="rId_hyperlink_3241" tooltip="Перейти" display="Перейти"/>
    <hyperlink ref="E3243" r:id="rId_hyperlink_3242" tooltip="Перейти" display="Перейти"/>
    <hyperlink ref="E3244" r:id="rId_hyperlink_3243" tooltip="Перейти" display="Перейти"/>
    <hyperlink ref="E3245" r:id="rId_hyperlink_3244" tooltip="Перейти" display="Перейти"/>
    <hyperlink ref="E3246" r:id="rId_hyperlink_3245" tooltip="Перейти" display="Перейти"/>
    <hyperlink ref="E3247" r:id="rId_hyperlink_3246" tooltip="Перейти" display="Перейти"/>
    <hyperlink ref="E3248" r:id="rId_hyperlink_3247" tooltip="Перейти" display="Перейти"/>
    <hyperlink ref="E3249" r:id="rId_hyperlink_3248" tooltip="Перейти" display="Перейти"/>
    <hyperlink ref="E3250" r:id="rId_hyperlink_3249" tooltip="Перейти" display="Перейти"/>
    <hyperlink ref="E3251" r:id="rId_hyperlink_3250" tooltip="Перейти" display="Перейти"/>
    <hyperlink ref="E3252" r:id="rId_hyperlink_3251" tooltip="Перейти" display="Перейти"/>
    <hyperlink ref="E3253" r:id="rId_hyperlink_3252" tooltip="Перейти" display="Перейти"/>
    <hyperlink ref="E3254" r:id="rId_hyperlink_3253" tooltip="Перейти" display="Перейти"/>
    <hyperlink ref="E3255" r:id="rId_hyperlink_3254" tooltip="Перейти" display="Перейти"/>
    <hyperlink ref="E3256" r:id="rId_hyperlink_3255" tooltip="Перейти" display="Перейти"/>
    <hyperlink ref="E3257" r:id="rId_hyperlink_3256" tooltip="Перейти" display="Перейти"/>
    <hyperlink ref="E3258" r:id="rId_hyperlink_3257" tooltip="Перейти" display="Перейти"/>
    <hyperlink ref="E3259" r:id="rId_hyperlink_3258" tooltip="Перейти" display="Перейти"/>
    <hyperlink ref="E3260" r:id="rId_hyperlink_3259" tooltip="Перейти" display="Перейти"/>
    <hyperlink ref="E3261" r:id="rId_hyperlink_3260" tooltip="Перейти" display="Перейти"/>
    <hyperlink ref="E3262" r:id="rId_hyperlink_3261" tooltip="Перейти" display="Перейти"/>
    <hyperlink ref="E3263" r:id="rId_hyperlink_3262" tooltip="Перейти" display="Перейти"/>
    <hyperlink ref="E3264" r:id="rId_hyperlink_3263" tooltip="Перейти" display="Перейти"/>
    <hyperlink ref="E3265" r:id="rId_hyperlink_3264" tooltip="Перейти" display="Перейти"/>
    <hyperlink ref="E3266" r:id="rId_hyperlink_3265" tooltip="Перейти" display="Перейти"/>
    <hyperlink ref="E3267" r:id="rId_hyperlink_3266" tooltip="Перейти" display="Перейти"/>
    <hyperlink ref="E3268" r:id="rId_hyperlink_3267" tooltip="Перейти" display="Перейти"/>
    <hyperlink ref="E3269" r:id="rId_hyperlink_3268" tooltip="Перейти" display="Перейти"/>
    <hyperlink ref="E3270" r:id="rId_hyperlink_3269" tooltip="Перейти" display="Перейти"/>
    <hyperlink ref="E3271" r:id="rId_hyperlink_3270" tooltip="Перейти" display="Перейти"/>
    <hyperlink ref="E3272" r:id="rId_hyperlink_3271" tooltip="Перейти" display="Перейти"/>
    <hyperlink ref="E3273" r:id="rId_hyperlink_3272" tooltip="Перейти" display="Перейти"/>
    <hyperlink ref="E3274" r:id="rId_hyperlink_3273" tooltip="Перейти" display="Перейти"/>
    <hyperlink ref="E3275" r:id="rId_hyperlink_3274" tooltip="Перейти" display="Перейти"/>
    <hyperlink ref="E3276" r:id="rId_hyperlink_3275" tooltip="Перейти" display="Перейти"/>
    <hyperlink ref="E3277" r:id="rId_hyperlink_3276" tooltip="Перейти" display="Перейти"/>
    <hyperlink ref="E3278" r:id="rId_hyperlink_3277" tooltip="Перейти" display="Перейти"/>
    <hyperlink ref="E3279" r:id="rId_hyperlink_3278" tooltip="Перейти" display="Перейти"/>
    <hyperlink ref="E3280" r:id="rId_hyperlink_3279" tooltip="Перейти" display="Перейти"/>
    <hyperlink ref="E3281" r:id="rId_hyperlink_3280" tooltip="Перейти" display="Перейти"/>
    <hyperlink ref="E3282" r:id="rId_hyperlink_3281" tooltip="Перейти" display="Перейти"/>
    <hyperlink ref="E3283" r:id="rId_hyperlink_3282" tooltip="Перейти" display="Перейти"/>
    <hyperlink ref="E3284" r:id="rId_hyperlink_3283" tooltip="Перейти" display="Перейти"/>
    <hyperlink ref="E3285" r:id="rId_hyperlink_3284" tooltip="Перейти" display="Перейти"/>
    <hyperlink ref="E3286" r:id="rId_hyperlink_3285" tooltip="Перейти" display="Перейти"/>
    <hyperlink ref="E3287" r:id="rId_hyperlink_3286" tooltip="Перейти" display="Перейти"/>
    <hyperlink ref="E3288" r:id="rId_hyperlink_3287" tooltip="Перейти" display="Перейти"/>
    <hyperlink ref="E3289" r:id="rId_hyperlink_3288" tooltip="Перейти" display="Перейти"/>
    <hyperlink ref="E3290" r:id="rId_hyperlink_3289" tooltip="Перейти" display="Перейти"/>
    <hyperlink ref="E3291" r:id="rId_hyperlink_3290" tooltip="Перейти" display="Перейти"/>
    <hyperlink ref="E3292" r:id="rId_hyperlink_3291" tooltip="Перейти" display="Перейти"/>
    <hyperlink ref="E3293" r:id="rId_hyperlink_3292" tooltip="Перейти" display="Перейти"/>
    <hyperlink ref="E3294" r:id="rId_hyperlink_3293" tooltip="Перейти" display="Перейти"/>
    <hyperlink ref="E3295" r:id="rId_hyperlink_3294" tooltip="Перейти" display="Перейти"/>
    <hyperlink ref="E3296" r:id="rId_hyperlink_3295" tooltip="Перейти" display="Перейти"/>
    <hyperlink ref="E3297" r:id="rId_hyperlink_3296" tooltip="Перейти" display="Перейти"/>
    <hyperlink ref="E3298" r:id="rId_hyperlink_3297" tooltip="Перейти" display="Перейти"/>
    <hyperlink ref="E3299" r:id="rId_hyperlink_3298" tooltip="Перейти" display="Перейти"/>
    <hyperlink ref="E3300" r:id="rId_hyperlink_3299" tooltip="Перейти" display="Перейти"/>
    <hyperlink ref="E3301" r:id="rId_hyperlink_3300" tooltip="Перейти" display="Перейти"/>
    <hyperlink ref="E3302" r:id="rId_hyperlink_3301" tooltip="Перейти" display="Перейти"/>
    <hyperlink ref="E3303" r:id="rId_hyperlink_3302" tooltip="Перейти" display="Перейти"/>
    <hyperlink ref="E3304" r:id="rId_hyperlink_3303" tooltip="Перейти" display="Перейти"/>
    <hyperlink ref="E3305" r:id="rId_hyperlink_3304" tooltip="Перейти" display="Перейти"/>
    <hyperlink ref="E3306" r:id="rId_hyperlink_3305" tooltip="Перейти" display="Перейти"/>
    <hyperlink ref="E3307" r:id="rId_hyperlink_3306" tooltip="Перейти" display="Перейти"/>
    <hyperlink ref="E3308" r:id="rId_hyperlink_3307" tooltip="Перейти" display="Перейти"/>
    <hyperlink ref="E3309" r:id="rId_hyperlink_3308" tooltip="Перейти" display="Перейти"/>
    <hyperlink ref="E3310" r:id="rId_hyperlink_3309" tooltip="Перейти" display="Перейти"/>
    <hyperlink ref="E3311" r:id="rId_hyperlink_3310" tooltip="Перейти" display="Перейти"/>
    <hyperlink ref="E3312" r:id="rId_hyperlink_3311" tooltip="Перейти" display="Перейти"/>
    <hyperlink ref="E3313" r:id="rId_hyperlink_3312" tooltip="Перейти" display="Перейти"/>
    <hyperlink ref="E3314" r:id="rId_hyperlink_3313" tooltip="Перейти" display="Перейти"/>
    <hyperlink ref="E3315" r:id="rId_hyperlink_3314" tooltip="Перейти" display="Перейти"/>
    <hyperlink ref="E3316" r:id="rId_hyperlink_3315" tooltip="Перейти" display="Перейти"/>
    <hyperlink ref="E3317" r:id="rId_hyperlink_3316" tooltip="Перейти" display="Перейти"/>
    <hyperlink ref="E3318" r:id="rId_hyperlink_3317" tooltip="Перейти" display="Перейти"/>
    <hyperlink ref="E3319" r:id="rId_hyperlink_3318" tooltip="Перейти" display="Перейти"/>
    <hyperlink ref="E3320" r:id="rId_hyperlink_3319" tooltip="Перейти" display="Перейти"/>
    <hyperlink ref="E3321" r:id="rId_hyperlink_3320" tooltip="Перейти" display="Перейти"/>
    <hyperlink ref="E3322" r:id="rId_hyperlink_3321" tooltip="Перейти" display="Перейти"/>
    <hyperlink ref="E3323" r:id="rId_hyperlink_3322" tooltip="Перейти" display="Перейти"/>
    <hyperlink ref="E3324" r:id="rId_hyperlink_3323" tooltip="Перейти" display="Перейти"/>
    <hyperlink ref="E3325" r:id="rId_hyperlink_3324" tooltip="Перейти" display="Перейти"/>
    <hyperlink ref="E3326" r:id="rId_hyperlink_3325" tooltip="Перейти" display="Перейти"/>
    <hyperlink ref="E3327" r:id="rId_hyperlink_3326" tooltip="Перейти" display="Перейти"/>
    <hyperlink ref="E3328" r:id="rId_hyperlink_3327" tooltip="Перейти" display="Перейти"/>
    <hyperlink ref="E3329" r:id="rId_hyperlink_3328" tooltip="Перейти" display="Перейти"/>
    <hyperlink ref="E3330" r:id="rId_hyperlink_3329" tooltip="Перейти" display="Перейти"/>
    <hyperlink ref="E3331" r:id="rId_hyperlink_3330" tooltip="Перейти" display="Перейти"/>
    <hyperlink ref="E3332" r:id="rId_hyperlink_3331" tooltip="Перейти" display="Перейти"/>
    <hyperlink ref="E3333" r:id="rId_hyperlink_3332" tooltip="Перейти" display="Перейти"/>
    <hyperlink ref="E3334" r:id="rId_hyperlink_3333" tooltip="Перейти" display="Перейти"/>
    <hyperlink ref="E3335" r:id="rId_hyperlink_3334" tooltip="Перейти" display="Перейти"/>
    <hyperlink ref="E3336" r:id="rId_hyperlink_3335" tooltip="Перейти" display="Перейти"/>
    <hyperlink ref="E3337" r:id="rId_hyperlink_3336" tooltip="Перейти" display="Перейти"/>
    <hyperlink ref="E3338" r:id="rId_hyperlink_3337" tooltip="Перейти" display="Перейти"/>
    <hyperlink ref="E3339" r:id="rId_hyperlink_3338" tooltip="Перейти" display="Перейти"/>
    <hyperlink ref="E3340" r:id="rId_hyperlink_3339" tooltip="Перейти" display="Перейти"/>
    <hyperlink ref="E3341" r:id="rId_hyperlink_3340" tooltip="Перейти" display="Перейти"/>
    <hyperlink ref="E3342" r:id="rId_hyperlink_3341" tooltip="Перейти" display="Перейти"/>
    <hyperlink ref="E3343" r:id="rId_hyperlink_3342" tooltip="Перейти" display="Перейти"/>
    <hyperlink ref="E3344" r:id="rId_hyperlink_3343" tooltip="Перейти" display="Перейти"/>
    <hyperlink ref="E3345" r:id="rId_hyperlink_3344" tooltip="Перейти" display="Перейти"/>
    <hyperlink ref="E3346" r:id="rId_hyperlink_3345" tooltip="Перейти" display="Перейти"/>
    <hyperlink ref="E3347" r:id="rId_hyperlink_3346" tooltip="Перейти" display="Перейти"/>
    <hyperlink ref="E3348" r:id="rId_hyperlink_3347" tooltip="Перейти" display="Перейти"/>
    <hyperlink ref="E3349" r:id="rId_hyperlink_3348" tooltip="Перейти" display="Перейти"/>
    <hyperlink ref="E3350" r:id="rId_hyperlink_3349" tooltip="Перейти" display="Перейти"/>
    <hyperlink ref="E3351" r:id="rId_hyperlink_3350" tooltip="Перейти" display="Перейти"/>
    <hyperlink ref="E3352" r:id="rId_hyperlink_3351" tooltip="Перейти" display="Перейти"/>
    <hyperlink ref="E3353" r:id="rId_hyperlink_3352" tooltip="Перейти" display="Перейти"/>
    <hyperlink ref="E3354" r:id="rId_hyperlink_3353" tooltip="Перейти" display="Перейти"/>
    <hyperlink ref="E3355" r:id="rId_hyperlink_3354" tooltip="Перейти" display="Перейти"/>
    <hyperlink ref="E3356" r:id="rId_hyperlink_3355" tooltip="Перейти" display="Перейти"/>
    <hyperlink ref="E3357" r:id="rId_hyperlink_3356" tooltip="Перейти" display="Перейти"/>
    <hyperlink ref="E3358" r:id="rId_hyperlink_3357" tooltip="Перейти" display="Перейти"/>
    <hyperlink ref="E3359" r:id="rId_hyperlink_3358" tooltip="Перейти" display="Перейти"/>
    <hyperlink ref="E3360" r:id="rId_hyperlink_3359" tooltip="Перейти" display="Перейти"/>
    <hyperlink ref="E3361" r:id="rId_hyperlink_3360" tooltip="Перейти" display="Перейти"/>
    <hyperlink ref="E3362" r:id="rId_hyperlink_3361" tooltip="Перейти" display="Перейти"/>
    <hyperlink ref="E3363" r:id="rId_hyperlink_3362" tooltip="Перейти" display="Перейти"/>
    <hyperlink ref="E3364" r:id="rId_hyperlink_3363" tooltip="Перейти" display="Перейти"/>
    <hyperlink ref="E3365" r:id="rId_hyperlink_3364" tooltip="Перейти" display="Перейти"/>
    <hyperlink ref="E3366" r:id="rId_hyperlink_3365" tooltip="Перейти" display="Перейти"/>
    <hyperlink ref="E3367" r:id="rId_hyperlink_3366" tooltip="Перейти" display="Перейти"/>
    <hyperlink ref="E3368" r:id="rId_hyperlink_3367" tooltip="Перейти" display="Перейти"/>
    <hyperlink ref="E3369" r:id="rId_hyperlink_3368" tooltip="Перейти" display="Перейти"/>
    <hyperlink ref="E3370" r:id="rId_hyperlink_3369" tooltip="Перейти" display="Перейти"/>
    <hyperlink ref="E3371" r:id="rId_hyperlink_3370" tooltip="Перейти" display="Перейти"/>
    <hyperlink ref="E3372" r:id="rId_hyperlink_3371" tooltip="Перейти" display="Перейти"/>
    <hyperlink ref="E3373" r:id="rId_hyperlink_3372" tooltip="Перейти" display="Перейти"/>
    <hyperlink ref="E3374" r:id="rId_hyperlink_3373" tooltip="Перейти" display="Перейти"/>
    <hyperlink ref="E3375" r:id="rId_hyperlink_3374" tooltip="Перейти" display="Перейти"/>
    <hyperlink ref="E3376" r:id="rId_hyperlink_3375" tooltip="Перейти" display="Перейти"/>
    <hyperlink ref="E3377" r:id="rId_hyperlink_3376" tooltip="Перейти" display="Перейти"/>
    <hyperlink ref="E3378" r:id="rId_hyperlink_3377" tooltip="Перейти" display="Перейти"/>
    <hyperlink ref="E3379" r:id="rId_hyperlink_3378" tooltip="Перейти" display="Перейти"/>
    <hyperlink ref="E3380" r:id="rId_hyperlink_3379" tooltip="Перейти" display="Перейти"/>
    <hyperlink ref="E3381" r:id="rId_hyperlink_3380" tooltip="Перейти" display="Перейти"/>
    <hyperlink ref="E3382" r:id="rId_hyperlink_3381" tooltip="Перейти" display="Перейти"/>
    <hyperlink ref="E3383" r:id="rId_hyperlink_3382" tooltip="Перейти" display="Перейти"/>
    <hyperlink ref="E3384" r:id="rId_hyperlink_3383" tooltip="Перейти" display="Перейти"/>
    <hyperlink ref="E3385" r:id="rId_hyperlink_3384" tooltip="Перейти" display="Перейти"/>
    <hyperlink ref="E3386" r:id="rId_hyperlink_3385" tooltip="Перейти" display="Перейти"/>
    <hyperlink ref="E3387" r:id="rId_hyperlink_3386" tooltip="Перейти" display="Перейти"/>
    <hyperlink ref="E3388" r:id="rId_hyperlink_3387" tooltip="Перейти" display="Перейти"/>
    <hyperlink ref="E3389" r:id="rId_hyperlink_3388" tooltip="Перейти" display="Перейти"/>
    <hyperlink ref="E3390" r:id="rId_hyperlink_3389" tooltip="Перейти" display="Перейти"/>
    <hyperlink ref="E3391" r:id="rId_hyperlink_3390" tooltip="Перейти" display="Перейти"/>
    <hyperlink ref="E3392" r:id="rId_hyperlink_3391" tooltip="Перейти" display="Перейти"/>
    <hyperlink ref="E3393" r:id="rId_hyperlink_3392" tooltip="Перейти" display="Перейти"/>
    <hyperlink ref="E3394" r:id="rId_hyperlink_3393" tooltip="Перейти" display="Перейти"/>
    <hyperlink ref="E3395" r:id="rId_hyperlink_3394" tooltip="Перейти" display="Перейти"/>
    <hyperlink ref="E3396" r:id="rId_hyperlink_3395" tooltip="Перейти" display="Перейти"/>
    <hyperlink ref="E3397" r:id="rId_hyperlink_3396" tooltip="Перейти" display="Перейти"/>
    <hyperlink ref="E3398" r:id="rId_hyperlink_3397" tooltip="Перейти" display="Перейти"/>
    <hyperlink ref="E3399" r:id="rId_hyperlink_3398" tooltip="Перейти" display="Перейти"/>
    <hyperlink ref="E3400" r:id="rId_hyperlink_3399" tooltip="Перейти" display="Перейти"/>
    <hyperlink ref="E3401" r:id="rId_hyperlink_3400" tooltip="Перейти" display="Перейти"/>
    <hyperlink ref="E3402" r:id="rId_hyperlink_3401" tooltip="Перейти" display="Перейти"/>
    <hyperlink ref="E3403" r:id="rId_hyperlink_3402" tooltip="Перейти" display="Перейти"/>
    <hyperlink ref="E3404" r:id="rId_hyperlink_3403" tooltip="Перейти" display="Перейти"/>
    <hyperlink ref="E3405" r:id="rId_hyperlink_3404" tooltip="Перейти" display="Перейти"/>
    <hyperlink ref="E3406" r:id="rId_hyperlink_3405" tooltip="Перейти" display="Перейти"/>
    <hyperlink ref="E3407" r:id="rId_hyperlink_3406" tooltip="Перейти" display="Перейти"/>
    <hyperlink ref="E3408" r:id="rId_hyperlink_3407" tooltip="Перейти" display="Перейти"/>
    <hyperlink ref="E3409" r:id="rId_hyperlink_3408" tooltip="Перейти" display="Перейти"/>
    <hyperlink ref="E3410" r:id="rId_hyperlink_3409" tooltip="Перейти" display="Перейти"/>
    <hyperlink ref="E3411" r:id="rId_hyperlink_3410" tooltip="Перейти" display="Перейти"/>
    <hyperlink ref="E3412" r:id="rId_hyperlink_3411" tooltip="Перейти" display="Перейти"/>
    <hyperlink ref="E3413" r:id="rId_hyperlink_3412" tooltip="Перейти" display="Перейти"/>
    <hyperlink ref="E3414" r:id="rId_hyperlink_3413" tooltip="Перейти" display="Перейти"/>
    <hyperlink ref="E3415" r:id="rId_hyperlink_3414" tooltip="Перейти" display="Перейти"/>
    <hyperlink ref="E3416" r:id="rId_hyperlink_3415" tooltip="Перейти" display="Перейти"/>
    <hyperlink ref="E3417" r:id="rId_hyperlink_3416" tooltip="Перейти" display="Перейти"/>
    <hyperlink ref="E3418" r:id="rId_hyperlink_3417" tooltip="Перейти" display="Перейти"/>
    <hyperlink ref="E3419" r:id="rId_hyperlink_3418" tooltip="Перейти" display="Перейти"/>
    <hyperlink ref="E3420" r:id="rId_hyperlink_3419" tooltip="Перейти" display="Перейти"/>
    <hyperlink ref="E3421" r:id="rId_hyperlink_3420" tooltip="Перейти" display="Перейти"/>
    <hyperlink ref="E3422" r:id="rId_hyperlink_3421" tooltip="Перейти" display="Перейти"/>
    <hyperlink ref="E3423" r:id="rId_hyperlink_3422" tooltip="Перейти" display="Перейти"/>
    <hyperlink ref="E3424" r:id="rId_hyperlink_3423" tooltip="Перейти" display="Перейти"/>
    <hyperlink ref="E3425" r:id="rId_hyperlink_3424" tooltip="Перейти" display="Перейти"/>
    <hyperlink ref="E3426" r:id="rId_hyperlink_3425" tooltip="Перейти" display="Перейти"/>
    <hyperlink ref="E3427" r:id="rId_hyperlink_3426" tooltip="Перейти" display="Перейти"/>
    <hyperlink ref="E3428" r:id="rId_hyperlink_3427" tooltip="Перейти" display="Перейти"/>
    <hyperlink ref="E3429" r:id="rId_hyperlink_3428" tooltip="Перейти" display="Перейти"/>
    <hyperlink ref="E3430" r:id="rId_hyperlink_3429" tooltip="Перейти" display="Перейти"/>
    <hyperlink ref="E3431" r:id="rId_hyperlink_3430" tooltip="Перейти" display="Перейти"/>
    <hyperlink ref="E3432" r:id="rId_hyperlink_3431" tooltip="Перейти" display="Перейти"/>
    <hyperlink ref="E3433" r:id="rId_hyperlink_3432" tooltip="Перейти" display="Перейти"/>
    <hyperlink ref="E3434" r:id="rId_hyperlink_3433" tooltip="Перейти" display="Перейти"/>
    <hyperlink ref="E3435" r:id="rId_hyperlink_3434" tooltip="Перейти" display="Перейти"/>
    <hyperlink ref="E3436" r:id="rId_hyperlink_3435" tooltip="Перейти" display="Перейти"/>
    <hyperlink ref="E3437" r:id="rId_hyperlink_3436" tooltip="Перейти" display="Перейти"/>
    <hyperlink ref="E3438" r:id="rId_hyperlink_3437" tooltip="Перейти" display="Перейти"/>
    <hyperlink ref="E3439" r:id="rId_hyperlink_3438" tooltip="Перейти" display="Перейти"/>
    <hyperlink ref="E3440" r:id="rId_hyperlink_3439" tooltip="Перейти" display="Перейти"/>
    <hyperlink ref="E3441" r:id="rId_hyperlink_3440" tooltip="Перейти" display="Перейти"/>
    <hyperlink ref="E3442" r:id="rId_hyperlink_3441" tooltip="Перейти" display="Перейти"/>
    <hyperlink ref="E3443" r:id="rId_hyperlink_3442" tooltip="Перейти" display="Перейти"/>
    <hyperlink ref="E3444" r:id="rId_hyperlink_3443" tooltip="Перейти" display="Перейти"/>
    <hyperlink ref="E3445" r:id="rId_hyperlink_3444" tooltip="Перейти" display="Перейти"/>
    <hyperlink ref="E3446" r:id="rId_hyperlink_3445" tooltip="Перейти" display="Перейти"/>
    <hyperlink ref="E3447" r:id="rId_hyperlink_3446" tooltip="Перейти" display="Перейти"/>
    <hyperlink ref="E3448" r:id="rId_hyperlink_3447" tooltip="Перейти" display="Перейти"/>
    <hyperlink ref="E3449" r:id="rId_hyperlink_3448" tooltip="Перейти" display="Перейти"/>
    <hyperlink ref="E3450" r:id="rId_hyperlink_3449" tooltip="Перейти" display="Перейти"/>
    <hyperlink ref="E3451" r:id="rId_hyperlink_3450" tooltip="Перейти" display="Перейти"/>
    <hyperlink ref="E3452" r:id="rId_hyperlink_3451" tooltip="Перейти" display="Перейти"/>
    <hyperlink ref="E3453" r:id="rId_hyperlink_3452" tooltip="Перейти" display="Перейти"/>
    <hyperlink ref="E3454" r:id="rId_hyperlink_3453" tooltip="Перейти" display="Перейти"/>
    <hyperlink ref="E3455" r:id="rId_hyperlink_3454" tooltip="Перейти" display="Перейти"/>
    <hyperlink ref="E3456" r:id="rId_hyperlink_3455" tooltip="Перейти" display="Перейти"/>
    <hyperlink ref="E3457" r:id="rId_hyperlink_3456" tooltip="Перейти" display="Перейти"/>
    <hyperlink ref="E3458" r:id="rId_hyperlink_3457" tooltip="Перейти" display="Перейти"/>
    <hyperlink ref="E3459" r:id="rId_hyperlink_3458" tooltip="Перейти" display="Перейти"/>
    <hyperlink ref="E3460" r:id="rId_hyperlink_3459" tooltip="Перейти" display="Перейти"/>
    <hyperlink ref="E3461" r:id="rId_hyperlink_3460" tooltip="Перейти" display="Перейти"/>
    <hyperlink ref="E3462" r:id="rId_hyperlink_3461" tooltip="Перейти" display="Перейти"/>
    <hyperlink ref="E3463" r:id="rId_hyperlink_3462" tooltip="Перейти" display="Перейти"/>
    <hyperlink ref="E3464" r:id="rId_hyperlink_3463" tooltip="Перейти" display="Перейти"/>
    <hyperlink ref="E3465" r:id="rId_hyperlink_3464" tooltip="Перейти" display="Перейти"/>
    <hyperlink ref="E3466" r:id="rId_hyperlink_3465" tooltip="Перейти" display="Перейти"/>
    <hyperlink ref="E3467" r:id="rId_hyperlink_3466" tooltip="Перейти" display="Перейти"/>
    <hyperlink ref="E3468" r:id="rId_hyperlink_3467" tooltip="Перейти" display="Перейти"/>
    <hyperlink ref="E3469" r:id="rId_hyperlink_3468" tooltip="Перейти" display="Перейти"/>
    <hyperlink ref="E3470" r:id="rId_hyperlink_3469" tooltip="Перейти" display="Перейти"/>
    <hyperlink ref="E3471" r:id="rId_hyperlink_3470" tooltip="Перейти" display="Перейти"/>
    <hyperlink ref="E3472" r:id="rId_hyperlink_3471" tooltip="Перейти" display="Перейти"/>
    <hyperlink ref="E3473" r:id="rId_hyperlink_3472" tooltip="Перейти" display="Перейти"/>
    <hyperlink ref="E3474" r:id="rId_hyperlink_3473" tooltip="Перейти" display="Перейти"/>
    <hyperlink ref="E3475" r:id="rId_hyperlink_3474" tooltip="Перейти" display="Перейти"/>
    <hyperlink ref="E3476" r:id="rId_hyperlink_3475" tooltip="Перейти" display="Перейти"/>
    <hyperlink ref="E3477" r:id="rId_hyperlink_3476" tooltip="Перейти" display="Перейти"/>
    <hyperlink ref="E3478" r:id="rId_hyperlink_3477" tooltip="Перейти" display="Перейти"/>
    <hyperlink ref="E3479" r:id="rId_hyperlink_3478" tooltip="Перейти" display="Перейти"/>
    <hyperlink ref="E3480" r:id="rId_hyperlink_3479" tooltip="Перейти" display="Перейти"/>
    <hyperlink ref="E3481" r:id="rId_hyperlink_3480" tooltip="Перейти" display="Перейти"/>
    <hyperlink ref="E3482" r:id="rId_hyperlink_3481" tooltip="Перейти" display="Перейти"/>
    <hyperlink ref="E3483" r:id="rId_hyperlink_3482" tooltip="Перейти" display="Перейти"/>
    <hyperlink ref="E3484" r:id="rId_hyperlink_3483" tooltip="Перейти" display="Перейти"/>
    <hyperlink ref="E3485" r:id="rId_hyperlink_3484" tooltip="Перейти" display="Перейти"/>
    <hyperlink ref="E3486" r:id="rId_hyperlink_3485" tooltip="Перейти" display="Перейти"/>
    <hyperlink ref="E3487" r:id="rId_hyperlink_3486" tooltip="Перейти" display="Перейти"/>
    <hyperlink ref="E3488" r:id="rId_hyperlink_3487" tooltip="Перейти" display="Перейти"/>
    <hyperlink ref="E3489" r:id="rId_hyperlink_3488" tooltip="Перейти" display="Перейти"/>
    <hyperlink ref="E3490" r:id="rId_hyperlink_3489" tooltip="Перейти" display="Перейти"/>
    <hyperlink ref="E3491" r:id="rId_hyperlink_3490" tooltip="Перейти" display="Перейти"/>
    <hyperlink ref="E3492" r:id="rId_hyperlink_3491" tooltip="Перейти" display="Перейти"/>
    <hyperlink ref="E3493" r:id="rId_hyperlink_3492" tooltip="Перейти" display="Перейти"/>
    <hyperlink ref="E3494" r:id="rId_hyperlink_3493" tooltip="Перейти" display="Перейти"/>
    <hyperlink ref="E3495" r:id="rId_hyperlink_3494" tooltip="Перейти" display="Перейти"/>
    <hyperlink ref="E3496" r:id="rId_hyperlink_3495" tooltip="Перейти" display="Перейти"/>
    <hyperlink ref="E3497" r:id="rId_hyperlink_3496" tooltip="Перейти" display="Перейти"/>
    <hyperlink ref="E3498" r:id="rId_hyperlink_3497" tooltip="Перейти" display="Перейти"/>
    <hyperlink ref="E3499" r:id="rId_hyperlink_3498" tooltip="Перейти" display="Перейти"/>
    <hyperlink ref="E3500" r:id="rId_hyperlink_3499" tooltip="Перейти" display="Перейти"/>
    <hyperlink ref="E3501" r:id="rId_hyperlink_3500" tooltip="Перейти" display="Перейти"/>
    <hyperlink ref="E3502" r:id="rId_hyperlink_3501" tooltip="Перейти" display="Перейти"/>
    <hyperlink ref="E3503" r:id="rId_hyperlink_3502" tooltip="Перейти" display="Перейти"/>
    <hyperlink ref="E3504" r:id="rId_hyperlink_3503" tooltip="Перейти" display="Перейти"/>
    <hyperlink ref="E3505" r:id="rId_hyperlink_3504" tooltip="Перейти" display="Перейти"/>
    <hyperlink ref="E3506" r:id="rId_hyperlink_3505" tooltip="Перейти" display="Перейти"/>
    <hyperlink ref="E3507" r:id="rId_hyperlink_3506" tooltip="Перейти" display="Перейти"/>
    <hyperlink ref="E3508" r:id="rId_hyperlink_3507" tooltip="Перейти" display="Перейти"/>
    <hyperlink ref="E3509" r:id="rId_hyperlink_3508" tooltip="Перейти" display="Перейти"/>
    <hyperlink ref="E3510" r:id="rId_hyperlink_3509" tooltip="Перейти" display="Перейти"/>
    <hyperlink ref="E3511" r:id="rId_hyperlink_3510" tooltip="Перейти" display="Перейти"/>
    <hyperlink ref="E3512" r:id="rId_hyperlink_3511" tooltip="Перейти" display="Перейти"/>
    <hyperlink ref="E3513" r:id="rId_hyperlink_3512" tooltip="Перейти" display="Перейти"/>
    <hyperlink ref="E3514" r:id="rId_hyperlink_3513" tooltip="Перейти" display="Перейти"/>
    <hyperlink ref="E3515" r:id="rId_hyperlink_3514" tooltip="Перейти" display="Перейти"/>
    <hyperlink ref="E3516" r:id="rId_hyperlink_3515" tooltip="Перейти" display="Перейти"/>
    <hyperlink ref="E3517" r:id="rId_hyperlink_3516" tooltip="Перейти" display="Перейти"/>
    <hyperlink ref="E3518" r:id="rId_hyperlink_3517" tooltip="Перейти" display="Перейти"/>
    <hyperlink ref="E3519" r:id="rId_hyperlink_3518" tooltip="Перейти" display="Перейти"/>
    <hyperlink ref="E3520" r:id="rId_hyperlink_3519" tooltip="Перейти" display="Перейти"/>
    <hyperlink ref="E3521" r:id="rId_hyperlink_3520" tooltip="Перейти" display="Перейти"/>
    <hyperlink ref="E3522" r:id="rId_hyperlink_3521" tooltip="Перейти" display="Перейти"/>
    <hyperlink ref="E3523" r:id="rId_hyperlink_3522" tooltip="Перейти" display="Перейти"/>
    <hyperlink ref="E3524" r:id="rId_hyperlink_3523" tooltip="Перейти" display="Перейти"/>
    <hyperlink ref="E3525" r:id="rId_hyperlink_3524" tooltip="Перейти" display="Перейти"/>
    <hyperlink ref="E3526" r:id="rId_hyperlink_3525" tooltip="Перейти" display="Перейти"/>
    <hyperlink ref="E3527" r:id="rId_hyperlink_3526" tooltip="Перейти" display="Перейти"/>
    <hyperlink ref="E3528" r:id="rId_hyperlink_3527" tooltip="Перейти" display="Перейти"/>
    <hyperlink ref="E3529" r:id="rId_hyperlink_3528" tooltip="Перейти" display="Перейти"/>
    <hyperlink ref="E3530" r:id="rId_hyperlink_3529" tooltip="Перейти" display="Перейти"/>
    <hyperlink ref="E3531" r:id="rId_hyperlink_3530" tooltip="Перейти" display="Перейти"/>
    <hyperlink ref="E3532" r:id="rId_hyperlink_3531" tooltip="Перейти" display="Перейти"/>
    <hyperlink ref="E3533" r:id="rId_hyperlink_3532" tooltip="Перейти" display="Перейти"/>
    <hyperlink ref="E3534" r:id="rId_hyperlink_3533" tooltip="Перейти" display="Перейти"/>
    <hyperlink ref="E3535" r:id="rId_hyperlink_3534" tooltip="Перейти" display="Перейти"/>
    <hyperlink ref="E3536" r:id="rId_hyperlink_3535" tooltip="Перейти" display="Перейти"/>
    <hyperlink ref="E3537" r:id="rId_hyperlink_3536" tooltip="Перейти" display="Перейти"/>
    <hyperlink ref="E3538" r:id="rId_hyperlink_3537" tooltip="Перейти" display="Перейти"/>
    <hyperlink ref="E3539" r:id="rId_hyperlink_3538" tooltip="Перейти" display="Перейти"/>
    <hyperlink ref="E3540" r:id="rId_hyperlink_3539" tooltip="Перейти" display="Перейти"/>
    <hyperlink ref="E3541" r:id="rId_hyperlink_3540" tooltip="Перейти" display="Перейти"/>
    <hyperlink ref="E3542" r:id="rId_hyperlink_3541" tooltip="Перейти" display="Перейти"/>
    <hyperlink ref="E3543" r:id="rId_hyperlink_3542" tooltip="Перейти" display="Перейти"/>
    <hyperlink ref="E3544" r:id="rId_hyperlink_3543" tooltip="Перейти" display="Перейти"/>
    <hyperlink ref="E3545" r:id="rId_hyperlink_3544" tooltip="Перейти" display="Перейти"/>
    <hyperlink ref="E3546" r:id="rId_hyperlink_3545" tooltip="Перейти" display="Перейти"/>
    <hyperlink ref="E3547" r:id="rId_hyperlink_3546" tooltip="Перейти" display="Перейти"/>
    <hyperlink ref="E3548" r:id="rId_hyperlink_3547" tooltip="Перейти" display="Перейти"/>
    <hyperlink ref="E3549" r:id="rId_hyperlink_3548" tooltip="Перейти" display="Перейти"/>
    <hyperlink ref="E3550" r:id="rId_hyperlink_3549" tooltip="Перейти" display="Перейти"/>
    <hyperlink ref="E3551" r:id="rId_hyperlink_3550" tooltip="Перейти" display="Перейти"/>
    <hyperlink ref="E3552" r:id="rId_hyperlink_3551" tooltip="Перейти" display="Перейти"/>
    <hyperlink ref="E3553" r:id="rId_hyperlink_3552" tooltip="Перейти" display="Перейти"/>
    <hyperlink ref="E3554" r:id="rId_hyperlink_3553" tooltip="Перейти" display="Перейти"/>
    <hyperlink ref="E3555" r:id="rId_hyperlink_3554" tooltip="Перейти" display="Перейти"/>
    <hyperlink ref="E3556" r:id="rId_hyperlink_3555" tooltip="Перейти" display="Перейти"/>
    <hyperlink ref="E3557" r:id="rId_hyperlink_3556" tooltip="Перейти" display="Перейти"/>
    <hyperlink ref="E3558" r:id="rId_hyperlink_3557" tooltip="Перейти" display="Перейти"/>
    <hyperlink ref="E3559" r:id="rId_hyperlink_3558" tooltip="Перейти" display="Перейти"/>
    <hyperlink ref="E3560" r:id="rId_hyperlink_3559" tooltip="Перейти" display="Перейти"/>
    <hyperlink ref="E3561" r:id="rId_hyperlink_3560" tooltip="Перейти" display="Перейти"/>
    <hyperlink ref="E3562" r:id="rId_hyperlink_3561" tooltip="Перейти" display="Перейти"/>
    <hyperlink ref="E3563" r:id="rId_hyperlink_3562" tooltip="Перейти" display="Перейти"/>
    <hyperlink ref="E3564" r:id="rId_hyperlink_3563" tooltip="Перейти" display="Перейти"/>
    <hyperlink ref="E3565" r:id="rId_hyperlink_3564" tooltip="Перейти" display="Перейти"/>
    <hyperlink ref="E3566" r:id="rId_hyperlink_3565" tooltip="Перейти" display="Перейти"/>
    <hyperlink ref="E3567" r:id="rId_hyperlink_3566" tooltip="Перейти" display="Перейти"/>
    <hyperlink ref="E3568" r:id="rId_hyperlink_3567" tooltip="Перейти" display="Перейти"/>
    <hyperlink ref="E3569" r:id="rId_hyperlink_3568" tooltip="Перейти" display="Перейти"/>
    <hyperlink ref="E3570" r:id="rId_hyperlink_3569" tooltip="Перейти" display="Перейти"/>
    <hyperlink ref="E3571" r:id="rId_hyperlink_3570" tooltip="Перейти" display="Перейти"/>
    <hyperlink ref="E3572" r:id="rId_hyperlink_3571" tooltip="Перейти" display="Перейти"/>
    <hyperlink ref="E3573" r:id="rId_hyperlink_3572" tooltip="Перейти" display="Перейти"/>
    <hyperlink ref="E3574" r:id="rId_hyperlink_3573" tooltip="Перейти" display="Перейти"/>
    <hyperlink ref="E3575" r:id="rId_hyperlink_3574" tooltip="Перейти" display="Перейти"/>
    <hyperlink ref="E3576" r:id="rId_hyperlink_3575" tooltip="Перейти" display="Перейти"/>
    <hyperlink ref="E3577" r:id="rId_hyperlink_3576" tooltip="Перейти" display="Перейти"/>
    <hyperlink ref="E3578" r:id="rId_hyperlink_3577" tooltip="Перейти" display="Перейти"/>
    <hyperlink ref="E3579" r:id="rId_hyperlink_3578" tooltip="Перейти" display="Перейти"/>
    <hyperlink ref="E3580" r:id="rId_hyperlink_3579" tooltip="Перейти" display="Перейти"/>
    <hyperlink ref="E3581" r:id="rId_hyperlink_3580" tooltip="Перейти" display="Перейти"/>
    <hyperlink ref="E3582" r:id="rId_hyperlink_3581" tooltip="Перейти" display="Перейти"/>
    <hyperlink ref="E3583" r:id="rId_hyperlink_3582" tooltip="Перейти" display="Перейти"/>
    <hyperlink ref="E3584" r:id="rId_hyperlink_3583" tooltip="Перейти" display="Перейти"/>
    <hyperlink ref="E3585" r:id="rId_hyperlink_3584" tooltip="Перейти" display="Перейти"/>
    <hyperlink ref="E3586" r:id="rId_hyperlink_3585" tooltip="Перейти" display="Перейти"/>
    <hyperlink ref="E3587" r:id="rId_hyperlink_3586" tooltip="Перейти" display="Перейти"/>
    <hyperlink ref="E3588" r:id="rId_hyperlink_3587" tooltip="Перейти" display="Перейти"/>
    <hyperlink ref="E3589" r:id="rId_hyperlink_3588" tooltip="Перейти" display="Перейти"/>
    <hyperlink ref="E3590" r:id="rId_hyperlink_3589" tooltip="Перейти" display="Перейти"/>
    <hyperlink ref="E3591" r:id="rId_hyperlink_3590" tooltip="Перейти" display="Перейти"/>
    <hyperlink ref="E3592" r:id="rId_hyperlink_3591" tooltip="Перейти" display="Перейти"/>
    <hyperlink ref="E3593" r:id="rId_hyperlink_3592" tooltip="Перейти" display="Перейти"/>
    <hyperlink ref="E3594" r:id="rId_hyperlink_3593" tooltip="Перейти" display="Перейти"/>
    <hyperlink ref="E3595" r:id="rId_hyperlink_3594" tooltip="Перейти" display="Перейти"/>
    <hyperlink ref="E3596" r:id="rId_hyperlink_3595" tooltip="Перейти" display="Перейти"/>
    <hyperlink ref="E3597" r:id="rId_hyperlink_3596" tooltip="Перейти" display="Перейти"/>
    <hyperlink ref="E3598" r:id="rId_hyperlink_3597" tooltip="Перейти" display="Перейти"/>
    <hyperlink ref="E3599" r:id="rId_hyperlink_3598" tooltip="Перейти" display="Перейти"/>
    <hyperlink ref="E3600" r:id="rId_hyperlink_3599" tooltip="Перейти" display="Перейти"/>
    <hyperlink ref="E3601" r:id="rId_hyperlink_3600" tooltip="Перейти" display="Перейти"/>
    <hyperlink ref="E3602" r:id="rId_hyperlink_3601" tooltip="Перейти" display="Перейти"/>
    <hyperlink ref="E3603" r:id="rId_hyperlink_3602" tooltip="Перейти" display="Перейти"/>
    <hyperlink ref="E3604" r:id="rId_hyperlink_3603" tooltip="Перейти" display="Перейти"/>
    <hyperlink ref="E3605" r:id="rId_hyperlink_3604" tooltip="Перейти" display="Перейти"/>
    <hyperlink ref="E3606" r:id="rId_hyperlink_3605" tooltip="Перейти" display="Перейти"/>
    <hyperlink ref="E3607" r:id="rId_hyperlink_3606" tooltip="Перейти" display="Перейти"/>
    <hyperlink ref="E3608" r:id="rId_hyperlink_3607" tooltip="Перейти" display="Перейти"/>
    <hyperlink ref="E3609" r:id="rId_hyperlink_3608" tooltip="Перейти" display="Перейти"/>
    <hyperlink ref="E3610" r:id="rId_hyperlink_3609" tooltip="Перейти" display="Перейти"/>
    <hyperlink ref="E3611" r:id="rId_hyperlink_3610" tooltip="Перейти" display="Перейти"/>
    <hyperlink ref="E3612" r:id="rId_hyperlink_3611" tooltip="Перейти" display="Перейти"/>
    <hyperlink ref="E3613" r:id="rId_hyperlink_3612" tooltip="Перейти" display="Перейти"/>
    <hyperlink ref="E3614" r:id="rId_hyperlink_3613" tooltip="Перейти" display="Перейти"/>
    <hyperlink ref="E3615" r:id="rId_hyperlink_3614" tooltip="Перейти" display="Перейти"/>
    <hyperlink ref="E3616" r:id="rId_hyperlink_3615" tooltip="Перейти" display="Перейти"/>
    <hyperlink ref="E3617" r:id="rId_hyperlink_3616" tooltip="Перейти" display="Перейти"/>
    <hyperlink ref="E3618" r:id="rId_hyperlink_3617" tooltip="Перейти" display="Перейти"/>
    <hyperlink ref="E3619" r:id="rId_hyperlink_3618" tooltip="Перейти" display="Перейти"/>
    <hyperlink ref="E3620" r:id="rId_hyperlink_3619" tooltip="Перейти" display="Перейти"/>
    <hyperlink ref="E3621" r:id="rId_hyperlink_3620" tooltip="Перейти" display="Перейти"/>
    <hyperlink ref="E3622" r:id="rId_hyperlink_3621" tooltip="Перейти" display="Перейти"/>
    <hyperlink ref="E3623" r:id="rId_hyperlink_3622" tooltip="Перейти" display="Перейти"/>
    <hyperlink ref="E3624" r:id="rId_hyperlink_3623" tooltip="Перейти" display="Перейти"/>
    <hyperlink ref="E3625" r:id="rId_hyperlink_3624" tooltip="Перейти" display="Перейти"/>
    <hyperlink ref="E3626" r:id="rId_hyperlink_3625" tooltip="Перейти" display="Перейти"/>
    <hyperlink ref="E3627" r:id="rId_hyperlink_3626" tooltip="Перейти" display="Перейти"/>
    <hyperlink ref="E3628" r:id="rId_hyperlink_3627" tooltip="Перейти" display="Перейти"/>
    <hyperlink ref="E3629" r:id="rId_hyperlink_3628" tooltip="Перейти" display="Перейти"/>
    <hyperlink ref="E3630" r:id="rId_hyperlink_3629" tooltip="Перейти" display="Перейти"/>
    <hyperlink ref="E3631" r:id="rId_hyperlink_3630" tooltip="Перейти" display="Перейти"/>
    <hyperlink ref="E3632" r:id="rId_hyperlink_3631" tooltip="Перейти" display="Перейти"/>
    <hyperlink ref="E3633" r:id="rId_hyperlink_3632" tooltip="Перейти" display="Перейти"/>
    <hyperlink ref="E3634" r:id="rId_hyperlink_3633" tooltip="Перейти" display="Перейти"/>
    <hyperlink ref="E3635" r:id="rId_hyperlink_3634" tooltip="Перейти" display="Перейти"/>
    <hyperlink ref="E3636" r:id="rId_hyperlink_3635" tooltip="Перейти" display="Перейти"/>
    <hyperlink ref="E3637" r:id="rId_hyperlink_3636" tooltip="Перейти" display="Перейти"/>
    <hyperlink ref="E3638" r:id="rId_hyperlink_3637" tooltip="Перейти" display="Перейти"/>
    <hyperlink ref="E3639" r:id="rId_hyperlink_3638" tooltip="Перейти" display="Перейти"/>
    <hyperlink ref="E3640" r:id="rId_hyperlink_3639" tooltip="Перейти" display="Перейти"/>
    <hyperlink ref="E3641" r:id="rId_hyperlink_3640" tooltip="Перейти" display="Перейти"/>
    <hyperlink ref="E3642" r:id="rId_hyperlink_3641" tooltip="Перейти" display="Перейти"/>
    <hyperlink ref="E3643" r:id="rId_hyperlink_3642" tooltip="Перейти" display="Перейти"/>
    <hyperlink ref="E3644" r:id="rId_hyperlink_3643" tooltip="Перейти" display="Перейти"/>
    <hyperlink ref="E3645" r:id="rId_hyperlink_3644" tooltip="Перейти" display="Перейти"/>
    <hyperlink ref="E3646" r:id="rId_hyperlink_3645" tooltip="Перейти" display="Перейти"/>
    <hyperlink ref="E3647" r:id="rId_hyperlink_3646" tooltip="Перейти" display="Перейти"/>
    <hyperlink ref="E3648" r:id="rId_hyperlink_3647" tooltip="Перейти" display="Перейти"/>
    <hyperlink ref="E3649" r:id="rId_hyperlink_3648" tooltip="Перейти" display="Перейти"/>
    <hyperlink ref="E3650" r:id="rId_hyperlink_3649" tooltip="Перейти" display="Перейти"/>
    <hyperlink ref="E3651" r:id="rId_hyperlink_3650" tooltip="Перейти" display="Перейти"/>
    <hyperlink ref="E3652" r:id="rId_hyperlink_3651" tooltip="Перейти" display="Перейти"/>
    <hyperlink ref="E3653" r:id="rId_hyperlink_3652" tooltip="Перейти" display="Перейти"/>
    <hyperlink ref="E3654" r:id="rId_hyperlink_3653" tooltip="Перейти" display="Перейти"/>
    <hyperlink ref="E3655" r:id="rId_hyperlink_3654" tooltip="Перейти" display="Перейти"/>
    <hyperlink ref="E3656" r:id="rId_hyperlink_3655" tooltip="Перейти" display="Перейти"/>
    <hyperlink ref="E3657" r:id="rId_hyperlink_3656" tooltip="Перейти" display="Перейти"/>
    <hyperlink ref="E3658" r:id="rId_hyperlink_3657" tooltip="Перейти" display="Перейти"/>
    <hyperlink ref="E3659" r:id="rId_hyperlink_3658" tooltip="Перейти" display="Перейти"/>
    <hyperlink ref="E3660" r:id="rId_hyperlink_3659" tooltip="Перейти" display="Перейти"/>
    <hyperlink ref="E3661" r:id="rId_hyperlink_3660" tooltip="Перейти" display="Перейти"/>
    <hyperlink ref="E3662" r:id="rId_hyperlink_3661" tooltip="Перейти" display="Перейти"/>
    <hyperlink ref="E3663" r:id="rId_hyperlink_3662" tooltip="Перейти" display="Перейти"/>
    <hyperlink ref="E3664" r:id="rId_hyperlink_3663" tooltip="Перейти" display="Перейти"/>
    <hyperlink ref="E3665" r:id="rId_hyperlink_3664" tooltip="Перейти" display="Перейти"/>
    <hyperlink ref="E3666" r:id="rId_hyperlink_3665" tooltip="Перейти" display="Перейти"/>
    <hyperlink ref="E3667" r:id="rId_hyperlink_3666" tooltip="Перейти" display="Перейти"/>
    <hyperlink ref="E3668" r:id="rId_hyperlink_3667" tooltip="Перейти" display="Перейти"/>
    <hyperlink ref="E3669" r:id="rId_hyperlink_3668" tooltip="Перейти" display="Перейти"/>
    <hyperlink ref="E3670" r:id="rId_hyperlink_3669" tooltip="Перейти" display="Перейти"/>
    <hyperlink ref="E3671" r:id="rId_hyperlink_3670" tooltip="Перейти" display="Перейти"/>
    <hyperlink ref="E3672" r:id="rId_hyperlink_3671" tooltip="Перейти" display="Перейти"/>
    <hyperlink ref="E3673" r:id="rId_hyperlink_3672" tooltip="Перейти" display="Перейти"/>
    <hyperlink ref="E3674" r:id="rId_hyperlink_3673" tooltip="Перейти" display="Перейти"/>
    <hyperlink ref="E3675" r:id="rId_hyperlink_3674" tooltip="Перейти" display="Перейти"/>
    <hyperlink ref="E3676" r:id="rId_hyperlink_3675" tooltip="Перейти" display="Перейти"/>
    <hyperlink ref="E3677" r:id="rId_hyperlink_3676" tooltip="Перейти" display="Перейти"/>
    <hyperlink ref="E3678" r:id="rId_hyperlink_3677" tooltip="Перейти" display="Перейти"/>
    <hyperlink ref="E3679" r:id="rId_hyperlink_3678" tooltip="Перейти" display="Перейти"/>
    <hyperlink ref="E3680" r:id="rId_hyperlink_3679" tooltip="Перейти" display="Перейти"/>
    <hyperlink ref="E3681" r:id="rId_hyperlink_3680" tooltip="Перейти" display="Перейти"/>
    <hyperlink ref="E3682" r:id="rId_hyperlink_3681" tooltip="Перейти" display="Перейти"/>
    <hyperlink ref="E3683" r:id="rId_hyperlink_3682" tooltip="Перейти" display="Перейти"/>
    <hyperlink ref="E3684" r:id="rId_hyperlink_3683" tooltip="Перейти" display="Перейти"/>
    <hyperlink ref="E3685" r:id="rId_hyperlink_3684" tooltip="Перейти" display="Перейти"/>
    <hyperlink ref="E3686" r:id="rId_hyperlink_3685" tooltip="Перейти" display="Перейти"/>
    <hyperlink ref="E3687" r:id="rId_hyperlink_3686" tooltip="Перейти" display="Перейти"/>
    <hyperlink ref="E3688" r:id="rId_hyperlink_3687" tooltip="Перейти" display="Перейти"/>
    <hyperlink ref="E3689" r:id="rId_hyperlink_3688" tooltip="Перейти" display="Перейти"/>
    <hyperlink ref="E3690" r:id="rId_hyperlink_3689" tooltip="Перейти" display="Перейти"/>
    <hyperlink ref="E3691" r:id="rId_hyperlink_3690" tooltip="Перейти" display="Перейти"/>
    <hyperlink ref="E3692" r:id="rId_hyperlink_3691" tooltip="Перейти" display="Перейти"/>
    <hyperlink ref="E3693" r:id="rId_hyperlink_3692" tooltip="Перейти" display="Перейти"/>
    <hyperlink ref="E3694" r:id="rId_hyperlink_3693" tooltip="Перейти" display="Перейти"/>
    <hyperlink ref="E3695" r:id="rId_hyperlink_3694" tooltip="Перейти" display="Перейти"/>
    <hyperlink ref="E3696" r:id="rId_hyperlink_3695" tooltip="Перейти" display="Перейти"/>
    <hyperlink ref="E3697" r:id="rId_hyperlink_3696" tooltip="Перейти" display="Перейти"/>
    <hyperlink ref="E3698" r:id="rId_hyperlink_3697" tooltip="Перейти" display="Перейти"/>
    <hyperlink ref="E3699" r:id="rId_hyperlink_3698" tooltip="Перейти" display="Перейти"/>
    <hyperlink ref="E3700" r:id="rId_hyperlink_3699" tooltip="Перейти" display="Перейти"/>
    <hyperlink ref="E3701" r:id="rId_hyperlink_3700" tooltip="Перейти" display="Перейти"/>
    <hyperlink ref="E3702" r:id="rId_hyperlink_3701" tooltip="Перейти" display="Перейти"/>
    <hyperlink ref="E3703" r:id="rId_hyperlink_3702" tooltip="Перейти" display="Перейти"/>
    <hyperlink ref="E3704" r:id="rId_hyperlink_3703" tooltip="Перейти" display="Перейти"/>
    <hyperlink ref="E3705" r:id="rId_hyperlink_3704" tooltip="Перейти" display="Перейти"/>
    <hyperlink ref="E3706" r:id="rId_hyperlink_3705" tooltip="Перейти" display="Перейти"/>
    <hyperlink ref="E3707" r:id="rId_hyperlink_3706" tooltip="Перейти" display="Перейти"/>
    <hyperlink ref="E3708" r:id="rId_hyperlink_3707" tooltip="Перейти" display="Перейти"/>
    <hyperlink ref="E3709" r:id="rId_hyperlink_3708" tooltip="Перейти" display="Перейти"/>
    <hyperlink ref="E3710" r:id="rId_hyperlink_3709" tooltip="Перейти" display="Перейти"/>
    <hyperlink ref="E3711" r:id="rId_hyperlink_3710" tooltip="Перейти" display="Перейти"/>
    <hyperlink ref="E3712" r:id="rId_hyperlink_3711" tooltip="Перейти" display="Перейти"/>
    <hyperlink ref="E3713" r:id="rId_hyperlink_3712" tooltip="Перейти" display="Перейти"/>
    <hyperlink ref="E3714" r:id="rId_hyperlink_3713" tooltip="Перейти" display="Перейти"/>
    <hyperlink ref="E3715" r:id="rId_hyperlink_3714" tooltip="Перейти" display="Перейти"/>
    <hyperlink ref="E3716" r:id="rId_hyperlink_3715" tooltip="Перейти" display="Перейти"/>
    <hyperlink ref="E3717" r:id="rId_hyperlink_3716" tooltip="Перейти" display="Перейти"/>
    <hyperlink ref="E3718" r:id="rId_hyperlink_3717" tooltip="Перейти" display="Перейти"/>
    <hyperlink ref="E3719" r:id="rId_hyperlink_3718" tooltip="Перейти" display="Перейти"/>
    <hyperlink ref="E3720" r:id="rId_hyperlink_3719" tooltip="Перейти" display="Перейти"/>
    <hyperlink ref="E3721" r:id="rId_hyperlink_3720" tooltip="Перейти" display="Перейти"/>
    <hyperlink ref="E3722" r:id="rId_hyperlink_3721" tooltip="Перейти" display="Перейти"/>
    <hyperlink ref="E3723" r:id="rId_hyperlink_3722" tooltip="Перейти" display="Перейти"/>
    <hyperlink ref="E3724" r:id="rId_hyperlink_3723" tooltip="Перейти" display="Перейти"/>
    <hyperlink ref="E3725" r:id="rId_hyperlink_3724" tooltip="Перейти" display="Перейти"/>
    <hyperlink ref="E3726" r:id="rId_hyperlink_3725" tooltip="Перейти" display="Перейти"/>
    <hyperlink ref="E3727" r:id="rId_hyperlink_3726" tooltip="Перейти" display="Перейти"/>
    <hyperlink ref="E3728" r:id="rId_hyperlink_3727" tooltip="Перейти" display="Перейти"/>
    <hyperlink ref="E3729" r:id="rId_hyperlink_3728" tooltip="Перейти" display="Перейти"/>
    <hyperlink ref="E3730" r:id="rId_hyperlink_3729" tooltip="Перейти" display="Перейти"/>
    <hyperlink ref="E3731" r:id="rId_hyperlink_3730" tooltip="Перейти" display="Перейти"/>
    <hyperlink ref="E3732" r:id="rId_hyperlink_3731" tooltip="Перейти" display="Перейти"/>
    <hyperlink ref="E3733" r:id="rId_hyperlink_3732" tooltip="Перейти" display="Перейти"/>
    <hyperlink ref="E3734" r:id="rId_hyperlink_3733" tooltip="Перейти" display="Перейти"/>
    <hyperlink ref="E3735" r:id="rId_hyperlink_3734" tooltip="Перейти" display="Перейти"/>
    <hyperlink ref="E3736" r:id="rId_hyperlink_3735" tooltip="Перейти" display="Перейти"/>
    <hyperlink ref="E3737" r:id="rId_hyperlink_3736" tooltip="Перейти" display="Перейти"/>
    <hyperlink ref="E3738" r:id="rId_hyperlink_3737" tooltip="Перейти" display="Перейти"/>
    <hyperlink ref="E3739" r:id="rId_hyperlink_3738" tooltip="Перейти" display="Перейти"/>
    <hyperlink ref="E3740" r:id="rId_hyperlink_3739" tooltip="Перейти" display="Перейти"/>
    <hyperlink ref="E3741" r:id="rId_hyperlink_3740" tooltip="Перейти" display="Перейти"/>
    <hyperlink ref="E3742" r:id="rId_hyperlink_3741" tooltip="Перейти" display="Перейти"/>
    <hyperlink ref="E3743" r:id="rId_hyperlink_3742" tooltip="Перейти" display="Перейти"/>
    <hyperlink ref="E3744" r:id="rId_hyperlink_3743" tooltip="Перейти" display="Перейти"/>
    <hyperlink ref="E3745" r:id="rId_hyperlink_3744" tooltip="Перейти" display="Перейти"/>
    <hyperlink ref="E3746" r:id="rId_hyperlink_3745" tooltip="Перейти" display="Перейти"/>
    <hyperlink ref="E3747" r:id="rId_hyperlink_3746" tooltip="Перейти" display="Перейти"/>
    <hyperlink ref="E3748" r:id="rId_hyperlink_3747" tooltip="Перейти" display="Перейти"/>
    <hyperlink ref="E3749" r:id="rId_hyperlink_3748" tooltip="Перейти" display="Перейти"/>
    <hyperlink ref="E3750" r:id="rId_hyperlink_3749" tooltip="Перейти" display="Перейти"/>
    <hyperlink ref="E3751" r:id="rId_hyperlink_3750" tooltip="Перейти" display="Перейти"/>
    <hyperlink ref="E3752" r:id="rId_hyperlink_3751" tooltip="Перейти" display="Перейти"/>
    <hyperlink ref="E3753" r:id="rId_hyperlink_3752" tooltip="Перейти" display="Перейти"/>
    <hyperlink ref="E3754" r:id="rId_hyperlink_3753" tooltip="Перейти" display="Перейти"/>
    <hyperlink ref="E3755" r:id="rId_hyperlink_3754" tooltip="Перейти" display="Перейти"/>
    <hyperlink ref="E3756" r:id="rId_hyperlink_3755" tooltip="Перейти" display="Перейти"/>
    <hyperlink ref="E3757" r:id="rId_hyperlink_3756" tooltip="Перейти" display="Перейти"/>
    <hyperlink ref="E3758" r:id="rId_hyperlink_3757" tooltip="Перейти" display="Перейти"/>
    <hyperlink ref="E3759" r:id="rId_hyperlink_3758" tooltip="Перейти" display="Перейти"/>
    <hyperlink ref="E3760" r:id="rId_hyperlink_3759" tooltip="Перейти" display="Перейти"/>
    <hyperlink ref="E3761" r:id="rId_hyperlink_3760" tooltip="Перейти" display="Перейти"/>
    <hyperlink ref="E3762" r:id="rId_hyperlink_3761" tooltip="Перейти" display="Перейти"/>
    <hyperlink ref="E3763" r:id="rId_hyperlink_3762" tooltip="Перейти" display="Перейти"/>
    <hyperlink ref="E3764" r:id="rId_hyperlink_3763" tooltip="Перейти" display="Перейти"/>
    <hyperlink ref="E3765" r:id="rId_hyperlink_3764" tooltip="Перейти" display="Перейти"/>
    <hyperlink ref="E3766" r:id="rId_hyperlink_3765" tooltip="Перейти" display="Перейти"/>
    <hyperlink ref="E3767" r:id="rId_hyperlink_3766" tooltip="Перейти" display="Перейти"/>
    <hyperlink ref="E3768" r:id="rId_hyperlink_3767" tooltip="Перейти" display="Перейти"/>
    <hyperlink ref="E3769" r:id="rId_hyperlink_3768" tooltip="Перейти" display="Перейти"/>
    <hyperlink ref="E3770" r:id="rId_hyperlink_3769" tooltip="Перейти" display="Перейти"/>
    <hyperlink ref="E3771" r:id="rId_hyperlink_3770" tooltip="Перейти" display="Перейти"/>
    <hyperlink ref="E3772" r:id="rId_hyperlink_3771" tooltip="Перейти" display="Перейти"/>
    <hyperlink ref="E3773" r:id="rId_hyperlink_3772" tooltip="Перейти" display="Перейти"/>
    <hyperlink ref="E3774" r:id="rId_hyperlink_3773" tooltip="Перейти" display="Перейти"/>
    <hyperlink ref="E3775" r:id="rId_hyperlink_3774" tooltip="Перейти" display="Перейти"/>
    <hyperlink ref="E3776" r:id="rId_hyperlink_3775" tooltip="Перейти" display="Перейти"/>
    <hyperlink ref="E3777" r:id="rId_hyperlink_3776" tooltip="Перейти" display="Перейти"/>
    <hyperlink ref="E3778" r:id="rId_hyperlink_3777" tooltip="Перейти" display="Перейти"/>
    <hyperlink ref="E3779" r:id="rId_hyperlink_3778" tooltip="Перейти" display="Перейти"/>
    <hyperlink ref="E3780" r:id="rId_hyperlink_3779" tooltip="Перейти" display="Перейти"/>
    <hyperlink ref="E3781" r:id="rId_hyperlink_3780" tooltip="Перейти" display="Перейти"/>
    <hyperlink ref="E3782" r:id="rId_hyperlink_3781" tooltip="Перейти" display="Перейти"/>
    <hyperlink ref="E3783" r:id="rId_hyperlink_3782" tooltip="Перейти" display="Перейти"/>
    <hyperlink ref="E3784" r:id="rId_hyperlink_3783" tooltip="Перейти" display="Перейти"/>
    <hyperlink ref="E3785" r:id="rId_hyperlink_3784" tooltip="Перейти" display="Перейти"/>
    <hyperlink ref="E3786" r:id="rId_hyperlink_3785" tooltip="Перейти" display="Перейти"/>
    <hyperlink ref="E3787" r:id="rId_hyperlink_3786" tooltip="Перейти" display="Перейти"/>
    <hyperlink ref="E3788" r:id="rId_hyperlink_3787" tooltip="Перейти" display="Перейти"/>
    <hyperlink ref="E3789" r:id="rId_hyperlink_3788" tooltip="Перейти" display="Перейти"/>
    <hyperlink ref="E3790" r:id="rId_hyperlink_3789" tooltip="Перейти" display="Перейти"/>
    <hyperlink ref="E3791" r:id="rId_hyperlink_3790" tooltip="Перейти" display="Перейти"/>
    <hyperlink ref="E3792" r:id="rId_hyperlink_3791" tooltip="Перейти" display="Перейти"/>
    <hyperlink ref="E3793" r:id="rId_hyperlink_3792" tooltip="Перейти" display="Перейти"/>
    <hyperlink ref="E3794" r:id="rId_hyperlink_3793" tooltip="Перейти" display="Перейти"/>
    <hyperlink ref="E3795" r:id="rId_hyperlink_3794" tooltip="Перейти" display="Перейти"/>
    <hyperlink ref="E3796" r:id="rId_hyperlink_3795" tooltip="Перейти" display="Перейти"/>
    <hyperlink ref="E3797" r:id="rId_hyperlink_3796" tooltip="Перейти" display="Перейти"/>
    <hyperlink ref="E3798" r:id="rId_hyperlink_3797" tooltip="Перейти" display="Перейти"/>
    <hyperlink ref="E3799" r:id="rId_hyperlink_3798" tooltip="Перейти" display="Перейти"/>
    <hyperlink ref="E3800" r:id="rId_hyperlink_3799" tooltip="Перейти" display="Перейти"/>
    <hyperlink ref="E3801" r:id="rId_hyperlink_3800" tooltip="Перейти" display="Перейти"/>
    <hyperlink ref="E3802" r:id="rId_hyperlink_3801" tooltip="Перейти" display="Перейти"/>
    <hyperlink ref="E3803" r:id="rId_hyperlink_3802" tooltip="Перейти" display="Перейти"/>
    <hyperlink ref="E3804" r:id="rId_hyperlink_3803" tooltip="Перейти" display="Перейти"/>
    <hyperlink ref="E3805" r:id="rId_hyperlink_3804" tooltip="Перейти" display="Перейти"/>
    <hyperlink ref="E3806" r:id="rId_hyperlink_3805" tooltip="Перейти" display="Перейти"/>
    <hyperlink ref="E3807" r:id="rId_hyperlink_3806" tooltip="Перейти" display="Перейти"/>
    <hyperlink ref="E3808" r:id="rId_hyperlink_3807" tooltip="Перейти" display="Перейти"/>
    <hyperlink ref="E3809" r:id="rId_hyperlink_3808" tooltip="Перейти" display="Перейти"/>
    <hyperlink ref="E3810" r:id="rId_hyperlink_3809" tooltip="Перейти" display="Перейти"/>
    <hyperlink ref="E3811" r:id="rId_hyperlink_3810" tooltip="Перейти" display="Перейти"/>
    <hyperlink ref="E3812" r:id="rId_hyperlink_3811" tooltip="Перейти" display="Перейти"/>
    <hyperlink ref="E3813" r:id="rId_hyperlink_3812" tooltip="Перейти" display="Перейти"/>
    <hyperlink ref="E3814" r:id="rId_hyperlink_3813" tooltip="Перейти" display="Перейти"/>
    <hyperlink ref="E3815" r:id="rId_hyperlink_3814" tooltip="Перейти" display="Перейти"/>
    <hyperlink ref="E3816" r:id="rId_hyperlink_3815" tooltip="Перейти" display="Перейти"/>
    <hyperlink ref="E3817" r:id="rId_hyperlink_3816" tooltip="Перейти" display="Перейти"/>
    <hyperlink ref="E3818" r:id="rId_hyperlink_3817" tooltip="Перейти" display="Перейти"/>
    <hyperlink ref="E3819" r:id="rId_hyperlink_3818" tooltip="Перейти" display="Перейти"/>
    <hyperlink ref="E3820" r:id="rId_hyperlink_3819" tooltip="Перейти" display="Перейти"/>
    <hyperlink ref="E3821" r:id="rId_hyperlink_3820" tooltip="Перейти" display="Перейти"/>
    <hyperlink ref="E3822" r:id="rId_hyperlink_3821" tooltip="Перейти" display="Перейти"/>
    <hyperlink ref="E3823" r:id="rId_hyperlink_3822" tooltip="Перейти" display="Перейти"/>
    <hyperlink ref="E3824" r:id="rId_hyperlink_3823" tooltip="Перейти" display="Перейти"/>
    <hyperlink ref="E3825" r:id="rId_hyperlink_3824" tooltip="Перейти" display="Перейти"/>
    <hyperlink ref="E3826" r:id="rId_hyperlink_3825" tooltip="Перейти" display="Перейти"/>
    <hyperlink ref="E3827" r:id="rId_hyperlink_3826" tooltip="Перейти" display="Перейти"/>
    <hyperlink ref="E3828" r:id="rId_hyperlink_3827" tooltip="Перейти" display="Перейти"/>
    <hyperlink ref="E3829" r:id="rId_hyperlink_3828" tooltip="Перейти" display="Перейти"/>
    <hyperlink ref="E3830" r:id="rId_hyperlink_3829" tooltip="Перейти" display="Перейти"/>
    <hyperlink ref="E3831" r:id="rId_hyperlink_3830" tooltip="Перейти" display="Перейти"/>
    <hyperlink ref="E3832" r:id="rId_hyperlink_3831" tooltip="Перейти" display="Перейти"/>
    <hyperlink ref="E3833" r:id="rId_hyperlink_3832" tooltip="Перейти" display="Перейти"/>
    <hyperlink ref="E3834" r:id="rId_hyperlink_3833" tooltip="Перейти" display="Перейти"/>
    <hyperlink ref="E3835" r:id="rId_hyperlink_3834" tooltip="Перейти" display="Перейти"/>
    <hyperlink ref="E3836" r:id="rId_hyperlink_3835" tooltip="Перейти" display="Перейти"/>
    <hyperlink ref="E3837" r:id="rId_hyperlink_3836" tooltip="Перейти" display="Перейти"/>
    <hyperlink ref="E3838" r:id="rId_hyperlink_3837" tooltip="Перейти" display="Перейти"/>
    <hyperlink ref="E3839" r:id="rId_hyperlink_3838" tooltip="Перейти" display="Перейти"/>
    <hyperlink ref="E3840" r:id="rId_hyperlink_3839" tooltip="Перейти" display="Перейти"/>
    <hyperlink ref="E3841" r:id="rId_hyperlink_3840" tooltip="Перейти" display="Перейти"/>
    <hyperlink ref="E3842" r:id="rId_hyperlink_3841" tooltip="Перейти" display="Перейти"/>
    <hyperlink ref="E3843" r:id="rId_hyperlink_3842" tooltip="Перейти" display="Перейти"/>
    <hyperlink ref="E3844" r:id="rId_hyperlink_3843" tooltip="Перейти" display="Перейти"/>
    <hyperlink ref="E3845" r:id="rId_hyperlink_3844" tooltip="Перейти" display="Перейти"/>
    <hyperlink ref="E3846" r:id="rId_hyperlink_3845" tooltip="Перейти" display="Перейти"/>
    <hyperlink ref="E3847" r:id="rId_hyperlink_3846" tooltip="Перейти" display="Перейти"/>
    <hyperlink ref="E3848" r:id="rId_hyperlink_3847" tooltip="Перейти" display="Перейти"/>
    <hyperlink ref="E3849" r:id="rId_hyperlink_3848" tooltip="Перейти" display="Перейти"/>
    <hyperlink ref="E3850" r:id="rId_hyperlink_3849" tooltip="Перейти" display="Перейти"/>
    <hyperlink ref="E3851" r:id="rId_hyperlink_3850" tooltip="Перейти" display="Перейти"/>
    <hyperlink ref="E3852" r:id="rId_hyperlink_3851" tooltip="Перейти" display="Перейти"/>
    <hyperlink ref="E3853" r:id="rId_hyperlink_3852" tooltip="Перейти" display="Перейти"/>
    <hyperlink ref="E3854" r:id="rId_hyperlink_3853" tooltip="Перейти" display="Перейти"/>
    <hyperlink ref="E3855" r:id="rId_hyperlink_3854" tooltip="Перейти" display="Перейти"/>
    <hyperlink ref="E3856" r:id="rId_hyperlink_3855" tooltip="Перейти" display="Перейти"/>
    <hyperlink ref="E3857" r:id="rId_hyperlink_3856" tooltip="Перейти" display="Перейти"/>
    <hyperlink ref="E3858" r:id="rId_hyperlink_3857" tooltip="Перейти" display="Перейти"/>
    <hyperlink ref="E3859" r:id="rId_hyperlink_3858" tooltip="Перейти" display="Перейти"/>
    <hyperlink ref="E3860" r:id="rId_hyperlink_3859" tooltip="Перейти" display="Перейти"/>
    <hyperlink ref="E3861" r:id="rId_hyperlink_3860" tooltip="Перейти" display="Перейти"/>
    <hyperlink ref="E3862" r:id="rId_hyperlink_3861" tooltip="Перейти" display="Перейти"/>
    <hyperlink ref="E3863" r:id="rId_hyperlink_3862" tooltip="Перейти" display="Перейти"/>
    <hyperlink ref="E3864" r:id="rId_hyperlink_3863" tooltip="Перейти" display="Перейти"/>
    <hyperlink ref="E3865" r:id="rId_hyperlink_3864" tooltip="Перейти" display="Перейти"/>
    <hyperlink ref="E3866" r:id="rId_hyperlink_3865" tooltip="Перейти" display="Перейти"/>
    <hyperlink ref="E3867" r:id="rId_hyperlink_3866" tooltip="Перейти" display="Перейти"/>
    <hyperlink ref="E3868" r:id="rId_hyperlink_3867" tooltip="Перейти" display="Перейти"/>
    <hyperlink ref="E3869" r:id="rId_hyperlink_3868" tooltip="Перейти" display="Перейти"/>
    <hyperlink ref="E3870" r:id="rId_hyperlink_3869" tooltip="Перейти" display="Перейти"/>
    <hyperlink ref="E3871" r:id="rId_hyperlink_3870" tooltip="Перейти" display="Перейти"/>
    <hyperlink ref="E3872" r:id="rId_hyperlink_3871" tooltip="Перейти" display="Перейти"/>
    <hyperlink ref="E3873" r:id="rId_hyperlink_3872" tooltip="Перейти" display="Перейти"/>
    <hyperlink ref="E3874" r:id="rId_hyperlink_3873" tooltip="Перейти" display="Перейти"/>
    <hyperlink ref="E3875" r:id="rId_hyperlink_3874" tooltip="Перейти" display="Перейти"/>
    <hyperlink ref="E3876" r:id="rId_hyperlink_3875" tooltip="Перейти" display="Перейти"/>
    <hyperlink ref="E3877" r:id="rId_hyperlink_3876" tooltip="Перейти" display="Перейти"/>
    <hyperlink ref="E3878" r:id="rId_hyperlink_3877" tooltip="Перейти" display="Перейти"/>
    <hyperlink ref="E3879" r:id="rId_hyperlink_3878" tooltip="Перейти" display="Перейти"/>
    <hyperlink ref="E3880" r:id="rId_hyperlink_3879" tooltip="Перейти" display="Перейти"/>
    <hyperlink ref="E3881" r:id="rId_hyperlink_3880" tooltip="Перейти" display="Перейти"/>
    <hyperlink ref="E3882" r:id="rId_hyperlink_3881" tooltip="Перейти" display="Перейти"/>
    <hyperlink ref="E3883" r:id="rId_hyperlink_3882" tooltip="Перейти" display="Перейти"/>
    <hyperlink ref="E3884" r:id="rId_hyperlink_3883" tooltip="Перейти" display="Перейти"/>
    <hyperlink ref="E3885" r:id="rId_hyperlink_3884" tooltip="Перейти" display="Перейти"/>
    <hyperlink ref="E3886" r:id="rId_hyperlink_3885" tooltip="Перейти" display="Перейти"/>
    <hyperlink ref="E3887" r:id="rId_hyperlink_3886" tooltip="Перейти" display="Перейти"/>
    <hyperlink ref="E3888" r:id="rId_hyperlink_3887" tooltip="Перейти" display="Перейти"/>
    <hyperlink ref="E3889" r:id="rId_hyperlink_3888" tooltip="Перейти" display="Перейти"/>
    <hyperlink ref="E3890" r:id="rId_hyperlink_3889" tooltip="Перейти" display="Перейти"/>
    <hyperlink ref="E3891" r:id="rId_hyperlink_3890" tooltip="Перейти" display="Перейти"/>
    <hyperlink ref="E3892" r:id="rId_hyperlink_3891" tooltip="Перейти" display="Перейти"/>
    <hyperlink ref="E3893" r:id="rId_hyperlink_3892" tooltip="Перейти" display="Перейти"/>
    <hyperlink ref="E3894" r:id="rId_hyperlink_3893" tooltip="Перейти" display="Перейти"/>
    <hyperlink ref="E3895" r:id="rId_hyperlink_3894" tooltip="Перейти" display="Перейти"/>
    <hyperlink ref="E3896" r:id="rId_hyperlink_3895" tooltip="Перейти" display="Перейти"/>
    <hyperlink ref="E3897" r:id="rId_hyperlink_3896" tooltip="Перейти" display="Перейти"/>
    <hyperlink ref="E3898" r:id="rId_hyperlink_3897" tooltip="Перейти" display="Перейти"/>
    <hyperlink ref="E3899" r:id="rId_hyperlink_3898" tooltip="Перейти" display="Перейти"/>
    <hyperlink ref="E3900" r:id="rId_hyperlink_3899" tooltip="Перейти" display="Перейти"/>
    <hyperlink ref="E3901" r:id="rId_hyperlink_3900" tooltip="Перейти" display="Перейти"/>
    <hyperlink ref="E3902" r:id="rId_hyperlink_3901" tooltip="Перейти" display="Перейти"/>
    <hyperlink ref="E3903" r:id="rId_hyperlink_3902" tooltip="Перейти" display="Перейти"/>
    <hyperlink ref="E3904" r:id="rId_hyperlink_3903" tooltip="Перейти" display="Перейти"/>
    <hyperlink ref="E3905" r:id="rId_hyperlink_3904" tooltip="Перейти" display="Перейти"/>
    <hyperlink ref="E3906" r:id="rId_hyperlink_3905" tooltip="Перейти" display="Перейти"/>
    <hyperlink ref="E3907" r:id="rId_hyperlink_3906" tooltip="Перейти" display="Перейти"/>
    <hyperlink ref="E3908" r:id="rId_hyperlink_3907" tooltip="Перейти" display="Перейти"/>
    <hyperlink ref="E3909" r:id="rId_hyperlink_3908" tooltip="Перейти" display="Перейти"/>
    <hyperlink ref="E3910" r:id="rId_hyperlink_3909" tooltip="Перейти" display="Перейти"/>
    <hyperlink ref="E3911" r:id="rId_hyperlink_3910" tooltip="Перейти" display="Перейти"/>
    <hyperlink ref="E3912" r:id="rId_hyperlink_3911" tooltip="Перейти" display="Перейти"/>
    <hyperlink ref="E3913" r:id="rId_hyperlink_3912" tooltip="Перейти" display="Перейти"/>
    <hyperlink ref="E3914" r:id="rId_hyperlink_3913" tooltip="Перейти" display="Перейти"/>
    <hyperlink ref="E3915" r:id="rId_hyperlink_3914" tooltip="Перейти" display="Перейти"/>
    <hyperlink ref="E3916" r:id="rId_hyperlink_3915" tooltip="Перейти" display="Перейти"/>
    <hyperlink ref="E3917" r:id="rId_hyperlink_3916" tooltip="Перейти" display="Перейти"/>
    <hyperlink ref="E3918" r:id="rId_hyperlink_3917" tooltip="Перейти" display="Перейти"/>
    <hyperlink ref="E3919" r:id="rId_hyperlink_3918" tooltip="Перейти" display="Перейти"/>
    <hyperlink ref="E3920" r:id="rId_hyperlink_3919" tooltip="Перейти" display="Перейти"/>
    <hyperlink ref="E3921" r:id="rId_hyperlink_3920" tooltip="Перейти" display="Перейти"/>
    <hyperlink ref="E3922" r:id="rId_hyperlink_3921" tooltip="Перейти" display="Перейти"/>
    <hyperlink ref="E3923" r:id="rId_hyperlink_3922" tooltip="Перейти" display="Перейти"/>
    <hyperlink ref="E3924" r:id="rId_hyperlink_3923" tooltip="Перейти" display="Перейти"/>
    <hyperlink ref="E3925" r:id="rId_hyperlink_3924" tooltip="Перейти" display="Перейти"/>
    <hyperlink ref="E3926" r:id="rId_hyperlink_3925" tooltip="Перейти" display="Перейти"/>
    <hyperlink ref="E3927" r:id="rId_hyperlink_3926" tooltip="Перейти" display="Перейти"/>
    <hyperlink ref="E3928" r:id="rId_hyperlink_3927" tooltip="Перейти" display="Перейти"/>
    <hyperlink ref="E3929" r:id="rId_hyperlink_3928" tooltip="Перейти" display="Перейти"/>
    <hyperlink ref="E3930" r:id="rId_hyperlink_3929" tooltip="Перейти" display="Перейти"/>
    <hyperlink ref="E3931" r:id="rId_hyperlink_3930" tooltip="Перейти" display="Перейти"/>
    <hyperlink ref="E3932" r:id="rId_hyperlink_3931" tooltip="Перейти" display="Перейти"/>
    <hyperlink ref="E3933" r:id="rId_hyperlink_3932" tooltip="Перейти" display="Перейти"/>
    <hyperlink ref="E3934" r:id="rId_hyperlink_3933" tooltip="Перейти" display="Перейти"/>
    <hyperlink ref="E3935" r:id="rId_hyperlink_3934" tooltip="Перейти" display="Перейти"/>
    <hyperlink ref="E3936" r:id="rId_hyperlink_3935" tooltip="Перейти" display="Перейти"/>
    <hyperlink ref="E3937" r:id="rId_hyperlink_3936" tooltip="Перейти" display="Перейти"/>
    <hyperlink ref="E3938" r:id="rId_hyperlink_3937" tooltip="Перейти" display="Перейти"/>
    <hyperlink ref="E3939" r:id="rId_hyperlink_3938" tooltip="Перейти" display="Перейти"/>
    <hyperlink ref="E3940" r:id="rId_hyperlink_3939" tooltip="Перейти" display="Перейти"/>
    <hyperlink ref="E3941" r:id="rId_hyperlink_3940" tooltip="Перейти" display="Перейти"/>
    <hyperlink ref="E3942" r:id="rId_hyperlink_3941" tooltip="Перейти" display="Перейти"/>
    <hyperlink ref="E3943" r:id="rId_hyperlink_3942" tooltip="Перейти" display="Перейти"/>
    <hyperlink ref="E3944" r:id="rId_hyperlink_3943" tooltip="Перейти" display="Перейти"/>
    <hyperlink ref="E3945" r:id="rId_hyperlink_3944" tooltip="Перейти" display="Перейти"/>
    <hyperlink ref="E3946" r:id="rId_hyperlink_3945" tooltip="Перейти" display="Перейти"/>
    <hyperlink ref="E3947" r:id="rId_hyperlink_3946" tooltip="Перейти" display="Перейти"/>
    <hyperlink ref="E3948" r:id="rId_hyperlink_3947" tooltip="Перейти" display="Перейти"/>
    <hyperlink ref="E3949" r:id="rId_hyperlink_3948" tooltip="Перейти" display="Перейти"/>
    <hyperlink ref="E3950" r:id="rId_hyperlink_3949" tooltip="Перейти" display="Перейти"/>
    <hyperlink ref="E3951" r:id="rId_hyperlink_3950" tooltip="Перейти" display="Перейти"/>
    <hyperlink ref="E3952" r:id="rId_hyperlink_3951" tooltip="Перейти" display="Перейти"/>
    <hyperlink ref="E3953" r:id="rId_hyperlink_3952" tooltip="Перейти" display="Перейти"/>
    <hyperlink ref="E3954" r:id="rId_hyperlink_3953" tooltip="Перейти" display="Перейти"/>
    <hyperlink ref="E3955" r:id="rId_hyperlink_3954" tooltip="Перейти" display="Перейти"/>
    <hyperlink ref="E3956" r:id="rId_hyperlink_3955" tooltip="Перейти" display="Перейти"/>
    <hyperlink ref="E3957" r:id="rId_hyperlink_3956" tooltip="Перейти" display="Перейти"/>
    <hyperlink ref="E3958" r:id="rId_hyperlink_3957" tooltip="Перейти" display="Перейти"/>
    <hyperlink ref="E3959" r:id="rId_hyperlink_3958" tooltip="Перейти" display="Перейти"/>
    <hyperlink ref="E3960" r:id="rId_hyperlink_3959" tooltip="Перейти" display="Перейти"/>
    <hyperlink ref="E3961" r:id="rId_hyperlink_3960" tooltip="Перейти" display="Перейти"/>
    <hyperlink ref="E3962" r:id="rId_hyperlink_3961" tooltip="Перейти" display="Перейти"/>
    <hyperlink ref="E3963" r:id="rId_hyperlink_3962" tooltip="Перейти" display="Перейти"/>
    <hyperlink ref="E3964" r:id="rId_hyperlink_3963" tooltip="Перейти" display="Перейти"/>
    <hyperlink ref="E3965" r:id="rId_hyperlink_3964" tooltip="Перейти" display="Перейти"/>
    <hyperlink ref="E3966" r:id="rId_hyperlink_3965" tooltip="Перейти" display="Перейти"/>
    <hyperlink ref="E3967" r:id="rId_hyperlink_3966" tooltip="Перейти" display="Перейти"/>
    <hyperlink ref="E3968" r:id="rId_hyperlink_3967" tooltip="Перейти" display="Перейти"/>
    <hyperlink ref="E3969" r:id="rId_hyperlink_3968" tooltip="Перейти" display="Перейти"/>
    <hyperlink ref="E3970" r:id="rId_hyperlink_3969" tooltip="Перейти" display="Перейти"/>
    <hyperlink ref="E3971" r:id="rId_hyperlink_3970" tooltip="Перейти" display="Перейти"/>
    <hyperlink ref="E3972" r:id="rId_hyperlink_3971" tooltip="Перейти" display="Перейти"/>
    <hyperlink ref="E3973" r:id="rId_hyperlink_3972" tooltip="Перейти" display="Перейти"/>
    <hyperlink ref="E3974" r:id="rId_hyperlink_3973" tooltip="Перейти" display="Перейти"/>
    <hyperlink ref="E3975" r:id="rId_hyperlink_3974" tooltip="Перейти" display="Перейти"/>
    <hyperlink ref="E3976" r:id="rId_hyperlink_3975" tooltip="Перейти" display="Перейти"/>
    <hyperlink ref="E3977" r:id="rId_hyperlink_3976" tooltip="Перейти" display="Перейти"/>
    <hyperlink ref="E3978" r:id="rId_hyperlink_3977" tooltip="Перейти" display="Перейти"/>
    <hyperlink ref="E3979" r:id="rId_hyperlink_3978" tooltip="Перейти" display="Перейти"/>
    <hyperlink ref="E3980" r:id="rId_hyperlink_3979" tooltip="Перейти" display="Перейти"/>
    <hyperlink ref="E3981" r:id="rId_hyperlink_3980" tooltip="Перейти" display="Перейти"/>
    <hyperlink ref="E3982" r:id="rId_hyperlink_3981" tooltip="Перейти" display="Перейти"/>
    <hyperlink ref="E3983" r:id="rId_hyperlink_3982" tooltip="Перейти" display="Перейти"/>
    <hyperlink ref="E3984" r:id="rId_hyperlink_3983" tooltip="Перейти" display="Перейти"/>
    <hyperlink ref="E3985" r:id="rId_hyperlink_3984" tooltip="Перейти" display="Перейти"/>
    <hyperlink ref="E3986" r:id="rId_hyperlink_3985" tooltip="Перейти" display="Перейти"/>
    <hyperlink ref="E3987" r:id="rId_hyperlink_3986" tooltip="Перейти" display="Перейти"/>
    <hyperlink ref="E3988" r:id="rId_hyperlink_3987" tooltip="Перейти" display="Перейти"/>
    <hyperlink ref="E3989" r:id="rId_hyperlink_3988" tooltip="Перейти" display="Перейти"/>
    <hyperlink ref="E3990" r:id="rId_hyperlink_3989" tooltip="Перейти" display="Перейти"/>
    <hyperlink ref="E3991" r:id="rId_hyperlink_3990" tooltip="Перейти" display="Перейти"/>
    <hyperlink ref="E3992" r:id="rId_hyperlink_3991" tooltip="Перейти" display="Перейти"/>
    <hyperlink ref="E3993" r:id="rId_hyperlink_3992" tooltip="Перейти" display="Перейти"/>
    <hyperlink ref="E3994" r:id="rId_hyperlink_3993" tooltip="Перейти" display="Перейти"/>
    <hyperlink ref="E3995" r:id="rId_hyperlink_3994" tooltip="Перейти" display="Перейти"/>
    <hyperlink ref="E3996" r:id="rId_hyperlink_3995" tooltip="Перейти" display="Перейти"/>
    <hyperlink ref="E3997" r:id="rId_hyperlink_3996" tooltip="Перейти" display="Перейти"/>
    <hyperlink ref="E3998" r:id="rId_hyperlink_3997" tooltip="Перейти" display="Перейти"/>
    <hyperlink ref="E3999" r:id="rId_hyperlink_3998" tooltip="Перейти" display="Перейти"/>
    <hyperlink ref="E4000" r:id="rId_hyperlink_3999" tooltip="Перейти" display="Перейти"/>
    <hyperlink ref="E4001" r:id="rId_hyperlink_4000" tooltip="Перейти" display="Перейти"/>
    <hyperlink ref="E4002" r:id="rId_hyperlink_4001" tooltip="Перейти" display="Перейти"/>
    <hyperlink ref="E4003" r:id="rId_hyperlink_4002" tooltip="Перейти" display="Перейти"/>
    <hyperlink ref="E4004" r:id="rId_hyperlink_4003" tooltip="Перейти" display="Перейти"/>
    <hyperlink ref="E4005" r:id="rId_hyperlink_4004" tooltip="Перейти" display="Перейти"/>
    <hyperlink ref="E4006" r:id="rId_hyperlink_4005" tooltip="Перейти" display="Перейти"/>
    <hyperlink ref="E4007" r:id="rId_hyperlink_4006" tooltip="Перейти" display="Перейти"/>
    <hyperlink ref="E4008" r:id="rId_hyperlink_4007" tooltip="Перейти" display="Перейти"/>
    <hyperlink ref="E4009" r:id="rId_hyperlink_4008" tooltip="Перейти" display="Перейти"/>
    <hyperlink ref="E4010" r:id="rId_hyperlink_4009" tooltip="Перейти" display="Перейти"/>
    <hyperlink ref="E4011" r:id="rId_hyperlink_4010" tooltip="Перейти" display="Перейти"/>
    <hyperlink ref="E4012" r:id="rId_hyperlink_4011" tooltip="Перейти" display="Перейти"/>
    <hyperlink ref="E4013" r:id="rId_hyperlink_4012" tooltip="Перейти" display="Перейти"/>
    <hyperlink ref="E4014" r:id="rId_hyperlink_4013" tooltip="Перейти" display="Перейти"/>
    <hyperlink ref="E4015" r:id="rId_hyperlink_4014" tooltip="Перейти" display="Перейти"/>
    <hyperlink ref="E4016" r:id="rId_hyperlink_4015" tooltip="Перейти" display="Перейти"/>
    <hyperlink ref="E4017" r:id="rId_hyperlink_4016" tooltip="Перейти" display="Перейти"/>
    <hyperlink ref="E4018" r:id="rId_hyperlink_4017" tooltip="Перейти" display="Перейти"/>
    <hyperlink ref="E4019" r:id="rId_hyperlink_4018" tooltip="Перейти" display="Перейти"/>
    <hyperlink ref="E4020" r:id="rId_hyperlink_4019" tooltip="Перейти" display="Перейти"/>
    <hyperlink ref="E4021" r:id="rId_hyperlink_4020" tooltip="Перейти" display="Перейти"/>
    <hyperlink ref="E4022" r:id="rId_hyperlink_4021" tooltip="Перейти" display="Перейти"/>
    <hyperlink ref="E4023" r:id="rId_hyperlink_4022" tooltip="Перейти" display="Перейти"/>
    <hyperlink ref="E4024" r:id="rId_hyperlink_4023" tooltip="Перейти" display="Перейти"/>
    <hyperlink ref="E4025" r:id="rId_hyperlink_4024" tooltip="Перейти" display="Перейти"/>
    <hyperlink ref="E4026" r:id="rId_hyperlink_4025" tooltip="Перейти" display="Перейти"/>
    <hyperlink ref="E4027" r:id="rId_hyperlink_4026" tooltip="Перейти" display="Перейти"/>
    <hyperlink ref="E4028" r:id="rId_hyperlink_4027" tooltip="Перейти" display="Перейти"/>
    <hyperlink ref="E4029" r:id="rId_hyperlink_4028" tooltip="Перейти" display="Перейти"/>
    <hyperlink ref="E4030" r:id="rId_hyperlink_4029" tooltip="Перейти" display="Перейти"/>
    <hyperlink ref="E4031" r:id="rId_hyperlink_4030" tooltip="Перейти" display="Перейти"/>
    <hyperlink ref="E4032" r:id="rId_hyperlink_4031" tooltip="Перейти" display="Перейти"/>
    <hyperlink ref="E4033" r:id="rId_hyperlink_4032" tooltip="Перейти" display="Перейти"/>
    <hyperlink ref="E4034" r:id="rId_hyperlink_4033" tooltip="Перейти" display="Перейти"/>
    <hyperlink ref="E4035" r:id="rId_hyperlink_4034" tooltip="Перейти" display="Перейти"/>
    <hyperlink ref="E4036" r:id="rId_hyperlink_4035" tooltip="Перейти" display="Перейти"/>
    <hyperlink ref="E4037" r:id="rId_hyperlink_4036" tooltip="Перейти" display="Перейти"/>
    <hyperlink ref="E4038" r:id="rId_hyperlink_4037" tooltip="Перейти" display="Перейти"/>
    <hyperlink ref="E4039" r:id="rId_hyperlink_4038" tooltip="Перейти" display="Перейти"/>
    <hyperlink ref="E4040" r:id="rId_hyperlink_4039" tooltip="Перейти" display="Перейти"/>
    <hyperlink ref="E4041" r:id="rId_hyperlink_4040" tooltip="Перейти" display="Перейти"/>
    <hyperlink ref="E4042" r:id="rId_hyperlink_4041" tooltip="Перейти" display="Перейти"/>
    <hyperlink ref="E4043" r:id="rId_hyperlink_4042" tooltip="Перейти" display="Перейти"/>
    <hyperlink ref="E4044" r:id="rId_hyperlink_4043" tooltip="Перейти" display="Перейти"/>
    <hyperlink ref="E4045" r:id="rId_hyperlink_4044" tooltip="Перейти" display="Перейти"/>
    <hyperlink ref="E4046" r:id="rId_hyperlink_4045" tooltip="Перейти" display="Перейти"/>
    <hyperlink ref="E4047" r:id="rId_hyperlink_4046" tooltip="Перейти" display="Перейти"/>
    <hyperlink ref="E4048" r:id="rId_hyperlink_4047" tooltip="Перейти" display="Перейти"/>
    <hyperlink ref="E4049" r:id="rId_hyperlink_4048" tooltip="Перейти" display="Перейти"/>
    <hyperlink ref="E4050" r:id="rId_hyperlink_4049" tooltip="Перейти" display="Перейти"/>
    <hyperlink ref="E4051" r:id="rId_hyperlink_4050" tooltip="Перейти" display="Перейти"/>
    <hyperlink ref="E4052" r:id="rId_hyperlink_4051" tooltip="Перейти" display="Перейти"/>
    <hyperlink ref="E4053" r:id="rId_hyperlink_4052" tooltip="Перейти" display="Перейти"/>
    <hyperlink ref="E4054" r:id="rId_hyperlink_4053" tooltip="Перейти" display="Перейти"/>
    <hyperlink ref="E4055" r:id="rId_hyperlink_4054" tooltip="Перейти" display="Перейти"/>
    <hyperlink ref="E4056" r:id="rId_hyperlink_4055" tooltip="Перейти" display="Перейти"/>
    <hyperlink ref="E4057" r:id="rId_hyperlink_4056" tooltip="Перейти" display="Перейти"/>
    <hyperlink ref="E4058" r:id="rId_hyperlink_4057" tooltip="Перейти" display="Перейти"/>
    <hyperlink ref="E4059" r:id="rId_hyperlink_4058" tooltip="Перейти" display="Перейти"/>
    <hyperlink ref="E4060" r:id="rId_hyperlink_4059" tooltip="Перейти" display="Перейти"/>
    <hyperlink ref="E4061" r:id="rId_hyperlink_4060" tooltip="Перейти" display="Перейти"/>
    <hyperlink ref="E4062" r:id="rId_hyperlink_4061" tooltip="Перейти" display="Перейти"/>
    <hyperlink ref="E4063" r:id="rId_hyperlink_4062" tooltip="Перейти" display="Перейти"/>
    <hyperlink ref="E4064" r:id="rId_hyperlink_4063" tooltip="Перейти" display="Перейти"/>
    <hyperlink ref="E4065" r:id="rId_hyperlink_4064" tooltip="Перейти" display="Перейти"/>
    <hyperlink ref="E4066" r:id="rId_hyperlink_4065" tooltip="Перейти" display="Перейти"/>
    <hyperlink ref="E4067" r:id="rId_hyperlink_4066" tooltip="Перейти" display="Перейти"/>
    <hyperlink ref="E4068" r:id="rId_hyperlink_4067" tooltip="Перейти" display="Перейти"/>
    <hyperlink ref="E4069" r:id="rId_hyperlink_4068" tooltip="Перейти" display="Перейти"/>
    <hyperlink ref="E4070" r:id="rId_hyperlink_4069" tooltip="Перейти" display="Перейти"/>
    <hyperlink ref="E4071" r:id="rId_hyperlink_4070" tooltip="Перейти" display="Перейти"/>
    <hyperlink ref="E4072" r:id="rId_hyperlink_4071" tooltip="Перейти" display="Перейти"/>
    <hyperlink ref="E4073" r:id="rId_hyperlink_4072" tooltip="Перейти" display="Перейти"/>
    <hyperlink ref="E4074" r:id="rId_hyperlink_4073" tooltip="Перейти" display="Перейти"/>
    <hyperlink ref="E4075" r:id="rId_hyperlink_4074" tooltip="Перейти" display="Перейти"/>
    <hyperlink ref="E4076" r:id="rId_hyperlink_4075" tooltip="Перейти" display="Перейти"/>
    <hyperlink ref="E4077" r:id="rId_hyperlink_4076" tooltip="Перейти" display="Перейти"/>
    <hyperlink ref="E4078" r:id="rId_hyperlink_4077" tooltip="Перейти" display="Перейти"/>
    <hyperlink ref="E4079" r:id="rId_hyperlink_4078" tooltip="Перейти" display="Перейти"/>
    <hyperlink ref="E4080" r:id="rId_hyperlink_4079" tooltip="Перейти" display="Перейти"/>
    <hyperlink ref="E4081" r:id="rId_hyperlink_4080" tooltip="Перейти" display="Перейти"/>
    <hyperlink ref="E4082" r:id="rId_hyperlink_4081" tooltip="Перейти" display="Перейти"/>
    <hyperlink ref="E4083" r:id="rId_hyperlink_4082" tooltip="Перейти" display="Перейти"/>
    <hyperlink ref="E4084" r:id="rId_hyperlink_4083" tooltip="Перейти" display="Перейти"/>
    <hyperlink ref="E4085" r:id="rId_hyperlink_4084" tooltip="Перейти" display="Перейти"/>
    <hyperlink ref="E4086" r:id="rId_hyperlink_4085" tooltip="Перейти" display="Перейти"/>
    <hyperlink ref="E4087" r:id="rId_hyperlink_4086" tooltip="Перейти" display="Перейти"/>
    <hyperlink ref="E4088" r:id="rId_hyperlink_4087" tooltip="Перейти" display="Перейти"/>
    <hyperlink ref="E4089" r:id="rId_hyperlink_4088" tooltip="Перейти" display="Перейти"/>
    <hyperlink ref="E4090" r:id="rId_hyperlink_4089" tooltip="Перейти" display="Перейти"/>
    <hyperlink ref="E4091" r:id="rId_hyperlink_4090" tooltip="Перейти" display="Перейти"/>
    <hyperlink ref="E4092" r:id="rId_hyperlink_4091" tooltip="Перейти" display="Перейти"/>
    <hyperlink ref="E4093" r:id="rId_hyperlink_4092" tooltip="Перейти" display="Перейти"/>
    <hyperlink ref="E4094" r:id="rId_hyperlink_4093" tooltip="Перейти" display="Перейти"/>
    <hyperlink ref="E4095" r:id="rId_hyperlink_4094" tooltip="Перейти" display="Перейти"/>
    <hyperlink ref="E4096" r:id="rId_hyperlink_4095" tooltip="Перейти" display="Перейти"/>
    <hyperlink ref="E4097" r:id="rId_hyperlink_4096" tooltip="Перейти" display="Перейти"/>
    <hyperlink ref="E4098" r:id="rId_hyperlink_4097" tooltip="Перейти" display="Перейти"/>
    <hyperlink ref="E4099" r:id="rId_hyperlink_4098" tooltip="Перейти" display="Перейти"/>
    <hyperlink ref="E4100" r:id="rId_hyperlink_4099" tooltip="Перейти" display="Перейти"/>
    <hyperlink ref="E4101" r:id="rId_hyperlink_4100" tooltip="Перейти" display="Перейти"/>
    <hyperlink ref="E4102" r:id="rId_hyperlink_4101" tooltip="Перейти" display="Перейти"/>
    <hyperlink ref="E4103" r:id="rId_hyperlink_4102" tooltip="Перейти" display="Перейти"/>
    <hyperlink ref="E4104" r:id="rId_hyperlink_4103" tooltip="Перейти" display="Перейти"/>
    <hyperlink ref="E4105" r:id="rId_hyperlink_4104" tooltip="Перейти" display="Перейти"/>
    <hyperlink ref="E4106" r:id="rId_hyperlink_4105" tooltip="Перейти" display="Перейти"/>
    <hyperlink ref="E4107" r:id="rId_hyperlink_4106" tooltip="Перейти" display="Перейти"/>
    <hyperlink ref="E4108" r:id="rId_hyperlink_4107" tooltip="Перейти" display="Перейти"/>
    <hyperlink ref="E4109" r:id="rId_hyperlink_4108" tooltip="Перейти" display="Перейти"/>
    <hyperlink ref="E4110" r:id="rId_hyperlink_4109" tooltip="Перейти" display="Перейти"/>
    <hyperlink ref="E4111" r:id="rId_hyperlink_4110" tooltip="Перейти" display="Перейти"/>
    <hyperlink ref="E4112" r:id="rId_hyperlink_4111" tooltip="Перейти" display="Перейти"/>
    <hyperlink ref="E4113" r:id="rId_hyperlink_4112" tooltip="Перейти" display="Перейти"/>
    <hyperlink ref="E4114" r:id="rId_hyperlink_4113" tooltip="Перейти" display="Перейти"/>
    <hyperlink ref="E4115" r:id="rId_hyperlink_4114" tooltip="Перейти" display="Перейти"/>
    <hyperlink ref="E4116" r:id="rId_hyperlink_4115" tooltip="Перейти" display="Перейти"/>
    <hyperlink ref="E4117" r:id="rId_hyperlink_4116" tooltip="Перейти" display="Перейти"/>
    <hyperlink ref="E4118" r:id="rId_hyperlink_4117" tooltip="Перейти" display="Перейти"/>
    <hyperlink ref="E4119" r:id="rId_hyperlink_4118" tooltip="Перейти" display="Перейти"/>
    <hyperlink ref="E4120" r:id="rId_hyperlink_4119" tooltip="Перейти" display="Перейти"/>
    <hyperlink ref="E4121" r:id="rId_hyperlink_4120" tooltip="Перейти" display="Перейти"/>
    <hyperlink ref="E4122" r:id="rId_hyperlink_4121" tooltip="Перейти" display="Перейти"/>
    <hyperlink ref="E4123" r:id="rId_hyperlink_4122" tooltip="Перейти" display="Перейти"/>
    <hyperlink ref="E4124" r:id="rId_hyperlink_4123" tooltip="Перейти" display="Перейти"/>
    <hyperlink ref="E4125" r:id="rId_hyperlink_4124" tooltip="Перейти" display="Перейти"/>
    <hyperlink ref="E4126" r:id="rId_hyperlink_4125" tooltip="Перейти" display="Перейти"/>
    <hyperlink ref="E4127" r:id="rId_hyperlink_4126" tooltip="Перейти" display="Перейти"/>
    <hyperlink ref="E4128" r:id="rId_hyperlink_4127" tooltip="Перейти" display="Перейти"/>
    <hyperlink ref="E4129" r:id="rId_hyperlink_4128" tooltip="Перейти" display="Перейти"/>
    <hyperlink ref="E4130" r:id="rId_hyperlink_4129" tooltip="Перейти" display="Перейти"/>
    <hyperlink ref="E4131" r:id="rId_hyperlink_4130" tooltip="Перейти" display="Перейти"/>
    <hyperlink ref="E4132" r:id="rId_hyperlink_4131" tooltip="Перейти" display="Перейти"/>
    <hyperlink ref="E4133" r:id="rId_hyperlink_4132" tooltip="Перейти" display="Перейти"/>
    <hyperlink ref="E4134" r:id="rId_hyperlink_4133" tooltip="Перейти" display="Перейти"/>
    <hyperlink ref="E4135" r:id="rId_hyperlink_4134" tooltip="Перейти" display="Перейти"/>
    <hyperlink ref="E4136" r:id="rId_hyperlink_4135" tooltip="Перейти" display="Перейти"/>
    <hyperlink ref="E4137" r:id="rId_hyperlink_4136" tooltip="Перейти" display="Перейти"/>
    <hyperlink ref="E4138" r:id="rId_hyperlink_4137" tooltip="Перейти" display="Перейти"/>
    <hyperlink ref="E4139" r:id="rId_hyperlink_4138" tooltip="Перейти" display="Перейти"/>
    <hyperlink ref="E4140" r:id="rId_hyperlink_4139" tooltip="Перейти" display="Перейти"/>
    <hyperlink ref="E4141" r:id="rId_hyperlink_4140" tooltip="Перейти" display="Перейти"/>
    <hyperlink ref="E4142" r:id="rId_hyperlink_4141" tooltip="Перейти" display="Перейти"/>
    <hyperlink ref="E4143" r:id="rId_hyperlink_4142" tooltip="Перейти" display="Перейти"/>
    <hyperlink ref="E4144" r:id="rId_hyperlink_4143" tooltip="Перейти" display="Перейти"/>
    <hyperlink ref="E4145" r:id="rId_hyperlink_4144" tooltip="Перейти" display="Перейти"/>
    <hyperlink ref="E4146" r:id="rId_hyperlink_4145" tooltip="Перейти" display="Перейти"/>
    <hyperlink ref="E4147" r:id="rId_hyperlink_4146" tooltip="Перейти" display="Перейти"/>
    <hyperlink ref="E4148" r:id="rId_hyperlink_4147" tooltip="Перейти" display="Перейти"/>
    <hyperlink ref="E4149" r:id="rId_hyperlink_4148" tooltip="Перейти" display="Перейти"/>
    <hyperlink ref="E4150" r:id="rId_hyperlink_4149" tooltip="Перейти" display="Перейти"/>
    <hyperlink ref="E4151" r:id="rId_hyperlink_4150" tooltip="Перейти" display="Перейти"/>
    <hyperlink ref="E4152" r:id="rId_hyperlink_4151" tooltip="Перейти" display="Перейти"/>
    <hyperlink ref="E4153" r:id="rId_hyperlink_4152" tooltip="Перейти" display="Перейти"/>
    <hyperlink ref="E4154" r:id="rId_hyperlink_4153" tooltip="Перейти" display="Перейти"/>
    <hyperlink ref="E4155" r:id="rId_hyperlink_4154" tooltip="Перейти" display="Перейти"/>
    <hyperlink ref="E4156" r:id="rId_hyperlink_4155" tooltip="Перейти" display="Перейти"/>
    <hyperlink ref="E4157" r:id="rId_hyperlink_4156" tooltip="Перейти" display="Перейти"/>
    <hyperlink ref="E4158" r:id="rId_hyperlink_4157" tooltip="Перейти" display="Перейти"/>
    <hyperlink ref="E4159" r:id="rId_hyperlink_4158" tooltip="Перейти" display="Перейти"/>
    <hyperlink ref="E4160" r:id="rId_hyperlink_4159" tooltip="Перейти" display="Перейти"/>
    <hyperlink ref="E4161" r:id="rId_hyperlink_4160" tooltip="Перейти" display="Перейти"/>
    <hyperlink ref="E4162" r:id="rId_hyperlink_4161" tooltip="Перейти" display="Перейти"/>
    <hyperlink ref="E4163" r:id="rId_hyperlink_4162" tooltip="Перейти" display="Перейти"/>
    <hyperlink ref="E4164" r:id="rId_hyperlink_4163" tooltip="Перейти" display="Перейти"/>
    <hyperlink ref="E4165" r:id="rId_hyperlink_4164" tooltip="Перейти" display="Перейти"/>
    <hyperlink ref="E4166" r:id="rId_hyperlink_4165" tooltip="Перейти" display="Перейти"/>
    <hyperlink ref="E4167" r:id="rId_hyperlink_4166" tooltip="Перейти" display="Перейти"/>
    <hyperlink ref="E4168" r:id="rId_hyperlink_4167" tooltip="Перейти" display="Перейти"/>
    <hyperlink ref="E4169" r:id="rId_hyperlink_4168" tooltip="Перейти" display="Перейти"/>
    <hyperlink ref="E4170" r:id="rId_hyperlink_4169" tooltip="Перейти" display="Перейти"/>
    <hyperlink ref="E4171" r:id="rId_hyperlink_4170" tooltip="Перейти" display="Перейти"/>
    <hyperlink ref="E4172" r:id="rId_hyperlink_4171" tooltip="Перейти" display="Перейти"/>
    <hyperlink ref="E4173" r:id="rId_hyperlink_4172" tooltip="Перейти" display="Перейти"/>
    <hyperlink ref="E4174" r:id="rId_hyperlink_4173" tooltip="Перейти" display="Перейти"/>
    <hyperlink ref="E4175" r:id="rId_hyperlink_4174" tooltip="Перейти" display="Перейти"/>
    <hyperlink ref="E4176" r:id="rId_hyperlink_4175" tooltip="Перейти" display="Перейти"/>
    <hyperlink ref="E4177" r:id="rId_hyperlink_4176" tooltip="Перейти" display="Перейти"/>
    <hyperlink ref="E4178" r:id="rId_hyperlink_4177" tooltip="Перейти" display="Перейти"/>
    <hyperlink ref="E4179" r:id="rId_hyperlink_4178" tooltip="Перейти" display="Перейти"/>
    <hyperlink ref="E4180" r:id="rId_hyperlink_4179" tooltip="Перейти" display="Перейти"/>
    <hyperlink ref="E4181" r:id="rId_hyperlink_4180" tooltip="Перейти" display="Перейти"/>
    <hyperlink ref="E4182" r:id="rId_hyperlink_4181" tooltip="Перейти" display="Перейти"/>
    <hyperlink ref="E4183" r:id="rId_hyperlink_4182" tooltip="Перейти" display="Перейти"/>
    <hyperlink ref="E4184" r:id="rId_hyperlink_4183" tooltip="Перейти" display="Перейти"/>
    <hyperlink ref="E4185" r:id="rId_hyperlink_4184" tooltip="Перейти" display="Перейти"/>
    <hyperlink ref="E4186" r:id="rId_hyperlink_4185" tooltip="Перейти" display="Перейти"/>
    <hyperlink ref="E4187" r:id="rId_hyperlink_4186" tooltip="Перейти" display="Перейти"/>
    <hyperlink ref="E4188" r:id="rId_hyperlink_4187" tooltip="Перейти" display="Перейти"/>
    <hyperlink ref="E4189" r:id="rId_hyperlink_4188" tooltip="Перейти" display="Перейти"/>
    <hyperlink ref="E4190" r:id="rId_hyperlink_4189" tooltip="Перейти" display="Перейти"/>
    <hyperlink ref="E4191" r:id="rId_hyperlink_4190" tooltip="Перейти" display="Перейти"/>
    <hyperlink ref="E4192" r:id="rId_hyperlink_4191" tooltip="Перейти" display="Перейти"/>
    <hyperlink ref="E4193" r:id="rId_hyperlink_4192" tooltip="Перейти" display="Перейти"/>
    <hyperlink ref="E4194" r:id="rId_hyperlink_4193" tooltip="Перейти" display="Перейти"/>
    <hyperlink ref="E4195" r:id="rId_hyperlink_4194" tooltip="Перейти" display="Перейти"/>
    <hyperlink ref="E4196" r:id="rId_hyperlink_4195" tooltip="Перейти" display="Перейти"/>
    <hyperlink ref="E4197" r:id="rId_hyperlink_4196" tooltip="Перейти" display="Перейти"/>
    <hyperlink ref="E4198" r:id="rId_hyperlink_4197" tooltip="Перейти" display="Перейти"/>
    <hyperlink ref="E4199" r:id="rId_hyperlink_4198" tooltip="Перейти" display="Перейти"/>
    <hyperlink ref="E4200" r:id="rId_hyperlink_4199" tooltip="Перейти" display="Перейти"/>
    <hyperlink ref="E4201" r:id="rId_hyperlink_4200" tooltip="Перейти" display="Перейти"/>
    <hyperlink ref="E4202" r:id="rId_hyperlink_4201" tooltip="Перейти" display="Перейти"/>
    <hyperlink ref="E4203" r:id="rId_hyperlink_4202" tooltip="Перейти" display="Перейти"/>
    <hyperlink ref="E4204" r:id="rId_hyperlink_4203" tooltip="Перейти" display="Перейти"/>
    <hyperlink ref="E4205" r:id="rId_hyperlink_4204" tooltip="Перейти" display="Перейти"/>
    <hyperlink ref="E4206" r:id="rId_hyperlink_4205" tooltip="Перейти" display="Перейти"/>
    <hyperlink ref="E4207" r:id="rId_hyperlink_4206" tooltip="Перейти" display="Перейти"/>
    <hyperlink ref="E4208" r:id="rId_hyperlink_4207" tooltip="Перейти" display="Перейти"/>
    <hyperlink ref="E4209" r:id="rId_hyperlink_4208" tooltip="Перейти" display="Перейти"/>
    <hyperlink ref="E4210" r:id="rId_hyperlink_4209" tooltip="Перейти" display="Перейти"/>
    <hyperlink ref="E4211" r:id="rId_hyperlink_4210" tooltip="Перейти" display="Перейти"/>
    <hyperlink ref="E4212" r:id="rId_hyperlink_4211" tooltip="Перейти" display="Перейти"/>
    <hyperlink ref="E4213" r:id="rId_hyperlink_4212" tooltip="Перейти" display="Перейти"/>
    <hyperlink ref="E4214" r:id="rId_hyperlink_4213" tooltip="Перейти" display="Перейти"/>
    <hyperlink ref="E4215" r:id="rId_hyperlink_4214" tooltip="Перейти" display="Перейти"/>
    <hyperlink ref="E4216" r:id="rId_hyperlink_4215" tooltip="Перейти" display="Перейти"/>
    <hyperlink ref="E4217" r:id="rId_hyperlink_4216" tooltip="Перейти" display="Перейти"/>
    <hyperlink ref="E4218" r:id="rId_hyperlink_4217" tooltip="Перейти" display="Перейти"/>
    <hyperlink ref="E4219" r:id="rId_hyperlink_4218" tooltip="Перейти" display="Перейти"/>
    <hyperlink ref="E4220" r:id="rId_hyperlink_4219" tooltip="Перейти" display="Перейти"/>
    <hyperlink ref="E4221" r:id="rId_hyperlink_4220" tooltip="Перейти" display="Перейти"/>
    <hyperlink ref="E4222" r:id="rId_hyperlink_4221" tooltip="Перейти" display="Перейти"/>
    <hyperlink ref="E4223" r:id="rId_hyperlink_4222" tooltip="Перейти" display="Перейти"/>
    <hyperlink ref="E4224" r:id="rId_hyperlink_4223" tooltip="Перейти" display="Перейти"/>
    <hyperlink ref="E4225" r:id="rId_hyperlink_4224" tooltip="Перейти" display="Перейти"/>
    <hyperlink ref="E4226" r:id="rId_hyperlink_4225" tooltip="Перейти" display="Перейти"/>
    <hyperlink ref="E4227" r:id="rId_hyperlink_4226" tooltip="Перейти" display="Перейти"/>
    <hyperlink ref="E4228" r:id="rId_hyperlink_4227" tooltip="Перейти" display="Перейти"/>
    <hyperlink ref="E4229" r:id="rId_hyperlink_4228" tooltip="Перейти" display="Перейти"/>
    <hyperlink ref="E4230" r:id="rId_hyperlink_4229" tooltip="Перейти" display="Перейти"/>
    <hyperlink ref="E4231" r:id="rId_hyperlink_4230" tooltip="Перейти" display="Перейти"/>
    <hyperlink ref="E4232" r:id="rId_hyperlink_4231" tooltip="Перейти" display="Перейти"/>
    <hyperlink ref="E4233" r:id="rId_hyperlink_4232" tooltip="Перейти" display="Перейти"/>
    <hyperlink ref="E4234" r:id="rId_hyperlink_4233" tooltip="Перейти" display="Перейти"/>
    <hyperlink ref="E4235" r:id="rId_hyperlink_4234" tooltip="Перейти" display="Перейти"/>
    <hyperlink ref="E4236" r:id="rId_hyperlink_4235" tooltip="Перейти" display="Перейти"/>
    <hyperlink ref="E4237" r:id="rId_hyperlink_4236" tooltip="Перейти" display="Перейти"/>
    <hyperlink ref="E4238" r:id="rId_hyperlink_4237" tooltip="Перейти" display="Перейти"/>
    <hyperlink ref="E4239" r:id="rId_hyperlink_4238" tooltip="Перейти" display="Перейти"/>
    <hyperlink ref="E4240" r:id="rId_hyperlink_4239" tooltip="Перейти" display="Перейти"/>
    <hyperlink ref="E4241" r:id="rId_hyperlink_4240" tooltip="Перейти" display="Перейти"/>
    <hyperlink ref="E4242" r:id="rId_hyperlink_4241" tooltip="Перейти" display="Перейти"/>
    <hyperlink ref="E4243" r:id="rId_hyperlink_4242" tooltip="Перейти" display="Перейти"/>
    <hyperlink ref="E4244" r:id="rId_hyperlink_4243" tooltip="Перейти" display="Перейти"/>
    <hyperlink ref="E4245" r:id="rId_hyperlink_4244" tooltip="Перейти" display="Перейти"/>
    <hyperlink ref="E4246" r:id="rId_hyperlink_4245" tooltip="Перейти" display="Перейти"/>
    <hyperlink ref="E4247" r:id="rId_hyperlink_4246" tooltip="Перейти" display="Перейти"/>
    <hyperlink ref="E4248" r:id="rId_hyperlink_4247" tooltip="Перейти" display="Перейти"/>
    <hyperlink ref="E4249" r:id="rId_hyperlink_4248" tooltip="Перейти" display="Перейти"/>
    <hyperlink ref="E4250" r:id="rId_hyperlink_4249" tooltip="Перейти" display="Перейти"/>
    <hyperlink ref="E4251" r:id="rId_hyperlink_4250" tooltip="Перейти" display="Перейти"/>
    <hyperlink ref="E4252" r:id="rId_hyperlink_4251" tooltip="Перейти" display="Перейти"/>
    <hyperlink ref="E4253" r:id="rId_hyperlink_4252" tooltip="Перейти" display="Перейти"/>
    <hyperlink ref="E4254" r:id="rId_hyperlink_4253" tooltip="Перейти" display="Перейти"/>
    <hyperlink ref="E4255" r:id="rId_hyperlink_4254" tooltip="Перейти" display="Перейти"/>
    <hyperlink ref="E4256" r:id="rId_hyperlink_4255" tooltip="Перейти" display="Перейти"/>
    <hyperlink ref="E4257" r:id="rId_hyperlink_4256" tooltip="Перейти" display="Перейти"/>
    <hyperlink ref="E4258" r:id="rId_hyperlink_4257" tooltip="Перейти" display="Перейти"/>
    <hyperlink ref="E4259" r:id="rId_hyperlink_4258" tooltip="Перейти" display="Перейти"/>
    <hyperlink ref="E4260" r:id="rId_hyperlink_4259" tooltip="Перейти" display="Перейти"/>
    <hyperlink ref="E4261" r:id="rId_hyperlink_4260" tooltip="Перейти" display="Перейти"/>
    <hyperlink ref="E4262" r:id="rId_hyperlink_4261" tooltip="Перейти" display="Перейти"/>
    <hyperlink ref="E4263" r:id="rId_hyperlink_4262" tooltip="Перейти" display="Перейти"/>
    <hyperlink ref="E4264" r:id="rId_hyperlink_4263" tooltip="Перейти" display="Перейти"/>
    <hyperlink ref="E4265" r:id="rId_hyperlink_4264" tooltip="Перейти" display="Перейти"/>
    <hyperlink ref="E4266" r:id="rId_hyperlink_4265" tooltip="Перейти" display="Перейти"/>
    <hyperlink ref="E4267" r:id="rId_hyperlink_4266" tooltip="Перейти" display="Перейти"/>
    <hyperlink ref="E4268" r:id="rId_hyperlink_4267" tooltip="Перейти" display="Перейти"/>
    <hyperlink ref="E4269" r:id="rId_hyperlink_4268" tooltip="Перейти" display="Перейти"/>
    <hyperlink ref="E4270" r:id="rId_hyperlink_4269" tooltip="Перейти" display="Перейти"/>
    <hyperlink ref="E4271" r:id="rId_hyperlink_4270" tooltip="Перейти" display="Перейти"/>
    <hyperlink ref="E4272" r:id="rId_hyperlink_4271" tooltip="Перейти" display="Перейти"/>
    <hyperlink ref="E4273" r:id="rId_hyperlink_4272" tooltip="Перейти" display="Перейти"/>
    <hyperlink ref="E4274" r:id="rId_hyperlink_4273" tooltip="Перейти" display="Перейти"/>
    <hyperlink ref="E4275" r:id="rId_hyperlink_4274" tooltip="Перейти" display="Перейти"/>
    <hyperlink ref="E4276" r:id="rId_hyperlink_4275" tooltip="Перейти" display="Перейти"/>
    <hyperlink ref="E4277" r:id="rId_hyperlink_4276" tooltip="Перейти" display="Перейти"/>
    <hyperlink ref="E4278" r:id="rId_hyperlink_4277" tooltip="Перейти" display="Перейти"/>
    <hyperlink ref="E4279" r:id="rId_hyperlink_4278" tooltip="Перейти" display="Перейти"/>
    <hyperlink ref="E4280" r:id="rId_hyperlink_4279" tooltip="Перейти" display="Перейти"/>
    <hyperlink ref="E4281" r:id="rId_hyperlink_4280" tooltip="Перейти" display="Перейти"/>
    <hyperlink ref="E4282" r:id="rId_hyperlink_4281" tooltip="Перейти" display="Перейти"/>
    <hyperlink ref="E4283" r:id="rId_hyperlink_4282" tooltip="Перейти" display="Перейти"/>
    <hyperlink ref="E4284" r:id="rId_hyperlink_4283" tooltip="Перейти" display="Перейти"/>
    <hyperlink ref="E4285" r:id="rId_hyperlink_4284" tooltip="Перейти" display="Перейти"/>
    <hyperlink ref="E4286" r:id="rId_hyperlink_4285" tooltip="Перейти" display="Перейти"/>
    <hyperlink ref="E4287" r:id="rId_hyperlink_4286" tooltip="Перейти" display="Перейти"/>
    <hyperlink ref="E4288" r:id="rId_hyperlink_4287" tooltip="Перейти" display="Перейти"/>
    <hyperlink ref="E4289" r:id="rId_hyperlink_4288" tooltip="Перейти" display="Перейти"/>
    <hyperlink ref="E4290" r:id="rId_hyperlink_4289" tooltip="Перейти" display="Перейти"/>
    <hyperlink ref="E4291" r:id="rId_hyperlink_4290" tooltip="Перейти" display="Перейти"/>
    <hyperlink ref="E4292" r:id="rId_hyperlink_4291" tooltip="Перейти" display="Перейти"/>
    <hyperlink ref="E4293" r:id="rId_hyperlink_4292" tooltip="Перейти" display="Перейти"/>
    <hyperlink ref="E4294" r:id="rId_hyperlink_4293" tooltip="Перейти" display="Перейти"/>
    <hyperlink ref="E4295" r:id="rId_hyperlink_4294" tooltip="Перейти" display="Перейти"/>
    <hyperlink ref="E4296" r:id="rId_hyperlink_4295" tooltip="Перейти" display="Перейти"/>
    <hyperlink ref="E4297" r:id="rId_hyperlink_4296" tooltip="Перейти" display="Перейти"/>
    <hyperlink ref="E4298" r:id="rId_hyperlink_4297" tooltip="Перейти" display="Перейти"/>
    <hyperlink ref="E4299" r:id="rId_hyperlink_4298" tooltip="Перейти" display="Перейти"/>
    <hyperlink ref="E4300" r:id="rId_hyperlink_4299" tooltip="Перейти" display="Перейти"/>
    <hyperlink ref="E4301" r:id="rId_hyperlink_4300" tooltip="Перейти" display="Перейти"/>
    <hyperlink ref="E4302" r:id="rId_hyperlink_4301" tooltip="Перейти" display="Перейти"/>
    <hyperlink ref="E4303" r:id="rId_hyperlink_4302" tooltip="Перейти" display="Перейти"/>
    <hyperlink ref="E4304" r:id="rId_hyperlink_4303" tooltip="Перейти" display="Перейти"/>
    <hyperlink ref="E4305" r:id="rId_hyperlink_4304" tooltip="Перейти" display="Перейти"/>
    <hyperlink ref="E4306" r:id="rId_hyperlink_4305" tooltip="Перейти" display="Перейти"/>
    <hyperlink ref="E4307" r:id="rId_hyperlink_4306" tooltip="Перейти" display="Перейти"/>
    <hyperlink ref="E4308" r:id="rId_hyperlink_4307" tooltip="Перейти" display="Перейти"/>
    <hyperlink ref="E4309" r:id="rId_hyperlink_4308" tooltip="Перейти" display="Перейти"/>
    <hyperlink ref="E4310" r:id="rId_hyperlink_4309" tooltip="Перейти" display="Перейти"/>
    <hyperlink ref="E4311" r:id="rId_hyperlink_4310" tooltip="Перейти" display="Перейти"/>
    <hyperlink ref="E4312" r:id="rId_hyperlink_4311" tooltip="Перейти" display="Перейти"/>
    <hyperlink ref="E4313" r:id="rId_hyperlink_4312" tooltip="Перейти" display="Перейти"/>
    <hyperlink ref="E4314" r:id="rId_hyperlink_4313" tooltip="Перейти" display="Перейти"/>
    <hyperlink ref="E4315" r:id="rId_hyperlink_4314" tooltip="Перейти" display="Перейти"/>
    <hyperlink ref="E4316" r:id="rId_hyperlink_4315" tooltip="Перейти" display="Перейти"/>
    <hyperlink ref="E4317" r:id="rId_hyperlink_4316" tooltip="Перейти" display="Перейти"/>
    <hyperlink ref="E4318" r:id="rId_hyperlink_4317" tooltip="Перейти" display="Перейти"/>
    <hyperlink ref="E4319" r:id="rId_hyperlink_4318" tooltip="Перейти" display="Перейти"/>
    <hyperlink ref="E4320" r:id="rId_hyperlink_4319" tooltip="Перейти" display="Перейти"/>
    <hyperlink ref="E4321" r:id="rId_hyperlink_4320" tooltip="Перейти" display="Перейти"/>
    <hyperlink ref="E4322" r:id="rId_hyperlink_4321" tooltip="Перейти" display="Перейти"/>
    <hyperlink ref="E4323" r:id="rId_hyperlink_4322" tooltip="Перейти" display="Перейти"/>
    <hyperlink ref="E4324" r:id="rId_hyperlink_4323" tooltip="Перейти" display="Перейти"/>
    <hyperlink ref="E4325" r:id="rId_hyperlink_4324" tooltip="Перейти" display="Перейти"/>
    <hyperlink ref="E4326" r:id="rId_hyperlink_4325" tooltip="Перейти" display="Перейти"/>
    <hyperlink ref="E4327" r:id="rId_hyperlink_4326" tooltip="Перейти" display="Перейти"/>
    <hyperlink ref="E4328" r:id="rId_hyperlink_4327" tooltip="Перейти" display="Перейти"/>
    <hyperlink ref="E4329" r:id="rId_hyperlink_4328" tooltip="Перейти" display="Перейти"/>
    <hyperlink ref="E4330" r:id="rId_hyperlink_4329" tooltip="Перейти" display="Перейти"/>
    <hyperlink ref="E4331" r:id="rId_hyperlink_4330" tooltip="Перейти" display="Перейти"/>
    <hyperlink ref="E4332" r:id="rId_hyperlink_4331" tooltip="Перейти" display="Перейти"/>
    <hyperlink ref="E4333" r:id="rId_hyperlink_4332" tooltip="Перейти" display="Перейти"/>
    <hyperlink ref="E4334" r:id="rId_hyperlink_4333" tooltip="Перейти" display="Перейти"/>
    <hyperlink ref="E4335" r:id="rId_hyperlink_4334" tooltip="Перейти" display="Перейти"/>
    <hyperlink ref="E4336" r:id="rId_hyperlink_4335" tooltip="Перейти" display="Перейти"/>
    <hyperlink ref="E4337" r:id="rId_hyperlink_4336" tooltip="Перейти" display="Перейти"/>
    <hyperlink ref="E4338" r:id="rId_hyperlink_4337" tooltip="Перейти" display="Перейти"/>
    <hyperlink ref="E4339" r:id="rId_hyperlink_4338" tooltip="Перейти" display="Перейти"/>
    <hyperlink ref="E4340" r:id="rId_hyperlink_4339" tooltip="Перейти" display="Перейти"/>
    <hyperlink ref="E4341" r:id="rId_hyperlink_4340" tooltip="Перейти" display="Перейти"/>
    <hyperlink ref="E4342" r:id="rId_hyperlink_4341" tooltip="Перейти" display="Перейти"/>
    <hyperlink ref="E4343" r:id="rId_hyperlink_4342" tooltip="Перейти" display="Перейти"/>
    <hyperlink ref="E4344" r:id="rId_hyperlink_4343" tooltip="Перейти" display="Перейти"/>
    <hyperlink ref="E4345" r:id="rId_hyperlink_4344" tooltip="Перейти" display="Перейти"/>
    <hyperlink ref="E4346" r:id="rId_hyperlink_4345" tooltip="Перейти" display="Перейти"/>
    <hyperlink ref="E4347" r:id="rId_hyperlink_4346" tooltip="Перейти" display="Перейти"/>
    <hyperlink ref="E4348" r:id="rId_hyperlink_4347" tooltip="Перейти" display="Перейти"/>
    <hyperlink ref="E4349" r:id="rId_hyperlink_4348" tooltip="Перейти" display="Перейти"/>
    <hyperlink ref="E4350" r:id="rId_hyperlink_4349" tooltip="Перейти" display="Перейти"/>
    <hyperlink ref="E4351" r:id="rId_hyperlink_4350" tooltip="Перейти" display="Перейти"/>
    <hyperlink ref="E4352" r:id="rId_hyperlink_4351" tooltip="Перейти" display="Перейти"/>
    <hyperlink ref="E4353" r:id="rId_hyperlink_4352" tooltip="Перейти" display="Перейти"/>
    <hyperlink ref="E4354" r:id="rId_hyperlink_4353" tooltip="Перейти" display="Перейти"/>
    <hyperlink ref="E4355" r:id="rId_hyperlink_4354" tooltip="Перейти" display="Перейти"/>
    <hyperlink ref="E4356" r:id="rId_hyperlink_4355" tooltip="Перейти" display="Перейти"/>
    <hyperlink ref="E4357" r:id="rId_hyperlink_4356" tooltip="Перейти" display="Перейти"/>
    <hyperlink ref="E4358" r:id="rId_hyperlink_4357" tooltip="Перейти" display="Перейти"/>
    <hyperlink ref="E4359" r:id="rId_hyperlink_4358" tooltip="Перейти" display="Перейти"/>
    <hyperlink ref="E4360" r:id="rId_hyperlink_4359" tooltip="Перейти" display="Перейти"/>
    <hyperlink ref="E4361" r:id="rId_hyperlink_4360" tooltip="Перейти" display="Перейти"/>
    <hyperlink ref="E4362" r:id="rId_hyperlink_4361" tooltip="Перейти" display="Перейти"/>
    <hyperlink ref="E4363" r:id="rId_hyperlink_4362" tooltip="Перейти" display="Перейти"/>
    <hyperlink ref="E4364" r:id="rId_hyperlink_4363" tooltip="Перейти" display="Перейти"/>
    <hyperlink ref="E4365" r:id="rId_hyperlink_4364" tooltip="Перейти" display="Перейти"/>
    <hyperlink ref="E4366" r:id="rId_hyperlink_4365" tooltip="Перейти" display="Перейти"/>
    <hyperlink ref="E4367" r:id="rId_hyperlink_4366" tooltip="Перейти" display="Перейти"/>
    <hyperlink ref="E4368" r:id="rId_hyperlink_4367" tooltip="Перейти" display="Перейти"/>
    <hyperlink ref="E4369" r:id="rId_hyperlink_4368" tooltip="Перейти" display="Перейти"/>
    <hyperlink ref="E4370" r:id="rId_hyperlink_4369" tooltip="Перейти" display="Перейти"/>
    <hyperlink ref="E4371" r:id="rId_hyperlink_4370" tooltip="Перейти" display="Перейти"/>
    <hyperlink ref="E4372" r:id="rId_hyperlink_4371" tooltip="Перейти" display="Перейти"/>
    <hyperlink ref="E4373" r:id="rId_hyperlink_4372" tooltip="Перейти" display="Перейти"/>
    <hyperlink ref="E4374" r:id="rId_hyperlink_4373" tooltip="Перейти" display="Перейти"/>
    <hyperlink ref="E4375" r:id="rId_hyperlink_4374" tooltip="Перейти" display="Перейти"/>
    <hyperlink ref="E4376" r:id="rId_hyperlink_4375" tooltip="Перейти" display="Перейти"/>
    <hyperlink ref="E4377" r:id="rId_hyperlink_4376" tooltip="Перейти" display="Перейти"/>
    <hyperlink ref="E4378" r:id="rId_hyperlink_4377" tooltip="Перейти" display="Перейти"/>
    <hyperlink ref="E4379" r:id="rId_hyperlink_4378" tooltip="Перейти" display="Перейти"/>
    <hyperlink ref="E4380" r:id="rId_hyperlink_4379" tooltip="Перейти" display="Перейти"/>
    <hyperlink ref="E4381" r:id="rId_hyperlink_4380" tooltip="Перейти" display="Перейти"/>
    <hyperlink ref="E4382" r:id="rId_hyperlink_4381" tooltip="Перейти" display="Перейти"/>
    <hyperlink ref="E4383" r:id="rId_hyperlink_4382" tooltip="Перейти" display="Перейти"/>
    <hyperlink ref="E4384" r:id="rId_hyperlink_4383" tooltip="Перейти" display="Перейти"/>
    <hyperlink ref="E4385" r:id="rId_hyperlink_4384" tooltip="Перейти" display="Перейти"/>
    <hyperlink ref="E4386" r:id="rId_hyperlink_4385" tooltip="Перейти" display="Перейти"/>
    <hyperlink ref="E4387" r:id="rId_hyperlink_4386" tooltip="Перейти" display="Перейти"/>
    <hyperlink ref="E4388" r:id="rId_hyperlink_4387" tooltip="Перейти" display="Перейти"/>
    <hyperlink ref="E4389" r:id="rId_hyperlink_4388" tooltip="Перейти" display="Перейти"/>
    <hyperlink ref="E4390" r:id="rId_hyperlink_4389" tooltip="Перейти" display="Перейти"/>
    <hyperlink ref="E4391" r:id="rId_hyperlink_4390" tooltip="Перейти" display="Перейти"/>
    <hyperlink ref="E4392" r:id="rId_hyperlink_4391" tooltip="Перейти" display="Перейти"/>
    <hyperlink ref="E4393" r:id="rId_hyperlink_4392" tooltip="Перейти" display="Перейти"/>
    <hyperlink ref="E4394" r:id="rId_hyperlink_4393" tooltip="Перейти" display="Перейти"/>
    <hyperlink ref="E4395" r:id="rId_hyperlink_4394" tooltip="Перейти" display="Перейти"/>
    <hyperlink ref="E4396" r:id="rId_hyperlink_4395" tooltip="Перейти" display="Перейти"/>
    <hyperlink ref="E4397" r:id="rId_hyperlink_4396" tooltip="Перейти" display="Перейти"/>
    <hyperlink ref="E4398" r:id="rId_hyperlink_4397" tooltip="Перейти" display="Перейти"/>
    <hyperlink ref="E4399" r:id="rId_hyperlink_4398" tooltip="Перейти" display="Перейти"/>
    <hyperlink ref="E4400" r:id="rId_hyperlink_4399" tooltip="Перейти" display="Перейти"/>
    <hyperlink ref="E4401" r:id="rId_hyperlink_4400" tooltip="Перейти" display="Перейти"/>
    <hyperlink ref="E4402" r:id="rId_hyperlink_4401" tooltip="Перейти" display="Перейти"/>
    <hyperlink ref="E4403" r:id="rId_hyperlink_4402" tooltip="Перейти" display="Перейти"/>
    <hyperlink ref="E4404" r:id="rId_hyperlink_4403" tooltip="Перейти" display="Перейти"/>
    <hyperlink ref="E4405" r:id="rId_hyperlink_4404" tooltip="Перейти" display="Перейти"/>
    <hyperlink ref="E4406" r:id="rId_hyperlink_4405" tooltip="Перейти" display="Перейти"/>
    <hyperlink ref="E4407" r:id="rId_hyperlink_4406" tooltip="Перейти" display="Перейти"/>
    <hyperlink ref="E4408" r:id="rId_hyperlink_4407" tooltip="Перейти" display="Перейти"/>
    <hyperlink ref="E4409" r:id="rId_hyperlink_4408" tooltip="Перейти" display="Перейти"/>
    <hyperlink ref="E4410" r:id="rId_hyperlink_4409" tooltip="Перейти" display="Перейти"/>
    <hyperlink ref="E4411" r:id="rId_hyperlink_4410" tooltip="Перейти" display="Перейти"/>
    <hyperlink ref="E4412" r:id="rId_hyperlink_4411" tooltip="Перейти" display="Перейти"/>
    <hyperlink ref="E4413" r:id="rId_hyperlink_4412" tooltip="Перейти" display="Перейти"/>
    <hyperlink ref="E4414" r:id="rId_hyperlink_4413" tooltip="Перейти" display="Перейти"/>
    <hyperlink ref="E4415" r:id="rId_hyperlink_4414" tooltip="Перейти" display="Перейти"/>
    <hyperlink ref="E4416" r:id="rId_hyperlink_4415" tooltip="Перейти" display="Перейти"/>
    <hyperlink ref="E4417" r:id="rId_hyperlink_4416" tooltip="Перейти" display="Перейти"/>
    <hyperlink ref="E4418" r:id="rId_hyperlink_4417" tooltip="Перейти" display="Перейти"/>
    <hyperlink ref="E4419" r:id="rId_hyperlink_4418" tooltip="Перейти" display="Перейти"/>
    <hyperlink ref="E4420" r:id="rId_hyperlink_4419" tooltip="Перейти" display="Перейти"/>
    <hyperlink ref="E4421" r:id="rId_hyperlink_4420" tooltip="Перейти" display="Перейти"/>
    <hyperlink ref="E4422" r:id="rId_hyperlink_4421" tooltip="Перейти" display="Перейти"/>
    <hyperlink ref="E4423" r:id="rId_hyperlink_4422" tooltip="Перейти" display="Перейти"/>
    <hyperlink ref="E4424" r:id="rId_hyperlink_4423" tooltip="Перейти" display="Перейти"/>
    <hyperlink ref="E4425" r:id="rId_hyperlink_4424" tooltip="Перейти" display="Перейти"/>
    <hyperlink ref="E4426" r:id="rId_hyperlink_4425" tooltip="Перейти" display="Перейти"/>
    <hyperlink ref="E4427" r:id="rId_hyperlink_4426" tooltip="Перейти" display="Перейти"/>
    <hyperlink ref="E4428" r:id="rId_hyperlink_4427" tooltip="Перейти" display="Перейти"/>
    <hyperlink ref="E4429" r:id="rId_hyperlink_4428" tooltip="Перейти" display="Перейти"/>
    <hyperlink ref="E4430" r:id="rId_hyperlink_4429" tooltip="Перейти" display="Перейти"/>
    <hyperlink ref="E4431" r:id="rId_hyperlink_4430" tooltip="Перейти" display="Перейти"/>
    <hyperlink ref="E4432" r:id="rId_hyperlink_4431" tooltip="Перейти" display="Перейти"/>
    <hyperlink ref="E4433" r:id="rId_hyperlink_4432" tooltip="Перейти" display="Перейти"/>
    <hyperlink ref="E4434" r:id="rId_hyperlink_4433" tooltip="Перейти" display="Перейти"/>
    <hyperlink ref="E4435" r:id="rId_hyperlink_4434" tooltip="Перейти" display="Перейти"/>
    <hyperlink ref="E4436" r:id="rId_hyperlink_4435" tooltip="Перейти" display="Перейти"/>
    <hyperlink ref="E4437" r:id="rId_hyperlink_4436" tooltip="Перейти" display="Перейти"/>
    <hyperlink ref="E4438" r:id="rId_hyperlink_4437" tooltip="Перейти" display="Перейти"/>
    <hyperlink ref="E4439" r:id="rId_hyperlink_4438" tooltip="Перейти" display="Перейти"/>
    <hyperlink ref="E4440" r:id="rId_hyperlink_4439" tooltip="Перейти" display="Перейти"/>
    <hyperlink ref="E4441" r:id="rId_hyperlink_4440" tooltip="Перейти" display="Перейти"/>
    <hyperlink ref="E4442" r:id="rId_hyperlink_4441" tooltip="Перейти" display="Перейти"/>
    <hyperlink ref="E4443" r:id="rId_hyperlink_4442" tooltip="Перейти" display="Перейти"/>
    <hyperlink ref="E4444" r:id="rId_hyperlink_4443" tooltip="Перейти" display="Перейти"/>
    <hyperlink ref="E4445" r:id="rId_hyperlink_4444" tooltip="Перейти" display="Перейти"/>
    <hyperlink ref="E4446" r:id="rId_hyperlink_4445" tooltip="Перейти" display="Перейти"/>
    <hyperlink ref="E4447" r:id="rId_hyperlink_4446" tooltip="Перейти" display="Перейти"/>
    <hyperlink ref="E4448" r:id="rId_hyperlink_4447" tooltip="Перейти" display="Перейти"/>
    <hyperlink ref="E4449" r:id="rId_hyperlink_4448" tooltip="Перейти" display="Перейти"/>
    <hyperlink ref="E4450" r:id="rId_hyperlink_4449" tooltip="Перейти" display="Перейти"/>
    <hyperlink ref="E4451" r:id="rId_hyperlink_4450" tooltip="Перейти" display="Перейти"/>
    <hyperlink ref="E4452" r:id="rId_hyperlink_4451" tooltip="Перейти" display="Перейти"/>
    <hyperlink ref="E4453" r:id="rId_hyperlink_4452" tooltip="Перейти" display="Перейти"/>
    <hyperlink ref="E4454" r:id="rId_hyperlink_4453" tooltip="Перейти" display="Перейти"/>
    <hyperlink ref="E4455" r:id="rId_hyperlink_4454" tooltip="Перейти" display="Перейти"/>
    <hyperlink ref="E4456" r:id="rId_hyperlink_4455" tooltip="Перейти" display="Перейти"/>
    <hyperlink ref="E4457" r:id="rId_hyperlink_4456" tooltip="Перейти" display="Перейти"/>
    <hyperlink ref="E4458" r:id="rId_hyperlink_4457" tooltip="Перейти" display="Перейти"/>
    <hyperlink ref="E4459" r:id="rId_hyperlink_4458" tooltip="Перейти" display="Перейти"/>
    <hyperlink ref="E4460" r:id="rId_hyperlink_4459" tooltip="Перейти" display="Перейти"/>
    <hyperlink ref="E4461" r:id="rId_hyperlink_4460" tooltip="Перейти" display="Перейти"/>
    <hyperlink ref="E4462" r:id="rId_hyperlink_4461" tooltip="Перейти" display="Перейти"/>
    <hyperlink ref="E4463" r:id="rId_hyperlink_4462" tooltip="Перейти" display="Перейти"/>
    <hyperlink ref="E4464" r:id="rId_hyperlink_4463" tooltip="Перейти" display="Перейти"/>
    <hyperlink ref="E4465" r:id="rId_hyperlink_4464" tooltip="Перейти" display="Перейти"/>
    <hyperlink ref="E4466" r:id="rId_hyperlink_4465" tooltip="Перейти" display="Перейти"/>
    <hyperlink ref="E4467" r:id="rId_hyperlink_4466" tooltip="Перейти" display="Перейти"/>
    <hyperlink ref="E4468" r:id="rId_hyperlink_4467" tooltip="Перейти" display="Перейти"/>
    <hyperlink ref="E4469" r:id="rId_hyperlink_4468" tooltip="Перейти" display="Перейти"/>
    <hyperlink ref="E4470" r:id="rId_hyperlink_4469" tooltip="Перейти" display="Перейти"/>
    <hyperlink ref="E4471" r:id="rId_hyperlink_4470" tooltip="Перейти" display="Перейти"/>
    <hyperlink ref="E4472" r:id="rId_hyperlink_4471" tooltip="Перейти" display="Перейти"/>
    <hyperlink ref="E4473" r:id="rId_hyperlink_4472" tooltip="Перейти" display="Перейти"/>
    <hyperlink ref="E4474" r:id="rId_hyperlink_4473" tooltip="Перейти" display="Перейти"/>
    <hyperlink ref="E4475" r:id="rId_hyperlink_4474" tooltip="Перейти" display="Перейти"/>
    <hyperlink ref="E4476" r:id="rId_hyperlink_4475" tooltip="Перейти" display="Перейти"/>
    <hyperlink ref="E4477" r:id="rId_hyperlink_4476" tooltip="Перейти" display="Перейти"/>
    <hyperlink ref="E4478" r:id="rId_hyperlink_4477" tooltip="Перейти" display="Перейти"/>
    <hyperlink ref="E4479" r:id="rId_hyperlink_4478" tooltip="Перейти" display="Перейти"/>
    <hyperlink ref="E4480" r:id="rId_hyperlink_4479" tooltip="Перейти" display="Перейти"/>
    <hyperlink ref="E4481" r:id="rId_hyperlink_4480" tooltip="Перейти" display="Перейти"/>
    <hyperlink ref="E4482" r:id="rId_hyperlink_4481" tooltip="Перейти" display="Перейти"/>
    <hyperlink ref="E4483" r:id="rId_hyperlink_4482" tooltip="Перейти" display="Перейти"/>
    <hyperlink ref="E4484" r:id="rId_hyperlink_4483" tooltip="Перейти" display="Перейти"/>
    <hyperlink ref="E4485" r:id="rId_hyperlink_4484" tooltip="Перейти" display="Перейти"/>
    <hyperlink ref="E4486" r:id="rId_hyperlink_4485" tooltip="Перейти" display="Перейти"/>
    <hyperlink ref="E4487" r:id="rId_hyperlink_4486" tooltip="Перейти" display="Перейти"/>
    <hyperlink ref="E4488" r:id="rId_hyperlink_4487" tooltip="Перейти" display="Перейти"/>
    <hyperlink ref="E4489" r:id="rId_hyperlink_4488" tooltip="Перейти" display="Перейти"/>
    <hyperlink ref="E4490" r:id="rId_hyperlink_4489" tooltip="Перейти" display="Перейти"/>
    <hyperlink ref="E4491" r:id="rId_hyperlink_4490" tooltip="Перейти" display="Перейти"/>
    <hyperlink ref="E4492" r:id="rId_hyperlink_4491" tooltip="Перейти" display="Перейти"/>
    <hyperlink ref="E4493" r:id="rId_hyperlink_4492" tooltip="Перейти" display="Перейти"/>
    <hyperlink ref="E4494" r:id="rId_hyperlink_4493" tooltip="Перейти" display="Перейти"/>
    <hyperlink ref="E4495" r:id="rId_hyperlink_4494" tooltip="Перейти" display="Перейти"/>
    <hyperlink ref="E4496" r:id="rId_hyperlink_4495" tooltip="Перейти" display="Перейти"/>
    <hyperlink ref="E4497" r:id="rId_hyperlink_4496" tooltip="Перейти" display="Перейти"/>
    <hyperlink ref="E4498" r:id="rId_hyperlink_4497" tooltip="Перейти" display="Перейти"/>
    <hyperlink ref="E4499" r:id="rId_hyperlink_4498" tooltip="Перейти" display="Перейти"/>
    <hyperlink ref="E4500" r:id="rId_hyperlink_4499" tooltip="Перейти" display="Перейти"/>
    <hyperlink ref="E4501" r:id="rId_hyperlink_4500" tooltip="Перейти" display="Перейти"/>
    <hyperlink ref="E4502" r:id="rId_hyperlink_4501" tooltip="Перейти" display="Перейти"/>
    <hyperlink ref="E4503" r:id="rId_hyperlink_4502" tooltip="Перейти" display="Перейти"/>
    <hyperlink ref="E4504" r:id="rId_hyperlink_4503" tooltip="Перейти" display="Перейти"/>
    <hyperlink ref="E4505" r:id="rId_hyperlink_4504" tooltip="Перейти" display="Перейти"/>
    <hyperlink ref="E4506" r:id="rId_hyperlink_4505" tooltip="Перейти" display="Перейти"/>
    <hyperlink ref="E4507" r:id="rId_hyperlink_4506" tooltip="Перейти" display="Перейти"/>
    <hyperlink ref="E4508" r:id="rId_hyperlink_4507" tooltip="Перейти" display="Перейти"/>
    <hyperlink ref="E4509" r:id="rId_hyperlink_4508" tooltip="Перейти" display="Перейти"/>
    <hyperlink ref="E4510" r:id="rId_hyperlink_4509" tooltip="Перейти" display="Перейти"/>
    <hyperlink ref="E4511" r:id="rId_hyperlink_4510" tooltip="Перейти" display="Перейти"/>
    <hyperlink ref="E4512" r:id="rId_hyperlink_4511" tooltip="Перейти" display="Перейти"/>
    <hyperlink ref="E4513" r:id="rId_hyperlink_4512" tooltip="Перейти" display="Перейти"/>
    <hyperlink ref="E4514" r:id="rId_hyperlink_4513" tooltip="Перейти" display="Перейти"/>
    <hyperlink ref="E4515" r:id="rId_hyperlink_4514" tooltip="Перейти" display="Перейти"/>
    <hyperlink ref="E4516" r:id="rId_hyperlink_4515" tooltip="Перейти" display="Перейти"/>
    <hyperlink ref="E4517" r:id="rId_hyperlink_4516" tooltip="Перейти" display="Перейти"/>
    <hyperlink ref="E4518" r:id="rId_hyperlink_4517" tooltip="Перейти" display="Перейти"/>
    <hyperlink ref="E4519" r:id="rId_hyperlink_4518" tooltip="Перейти" display="Перейти"/>
    <hyperlink ref="E4520" r:id="rId_hyperlink_4519" tooltip="Перейти" display="Перейти"/>
    <hyperlink ref="E4521" r:id="rId_hyperlink_4520" tooltip="Перейти" display="Перейти"/>
    <hyperlink ref="E4522" r:id="rId_hyperlink_4521" tooltip="Перейти" display="Перейти"/>
    <hyperlink ref="E4523" r:id="rId_hyperlink_4522" tooltip="Перейти" display="Перейти"/>
    <hyperlink ref="E4524" r:id="rId_hyperlink_4523" tooltip="Перейти" display="Перейти"/>
    <hyperlink ref="E4525" r:id="rId_hyperlink_4524" tooltip="Перейти" display="Перейти"/>
    <hyperlink ref="E4526" r:id="rId_hyperlink_4525" tooltip="Перейти" display="Перейти"/>
    <hyperlink ref="E4527" r:id="rId_hyperlink_4526" tooltip="Перейти" display="Перейти"/>
    <hyperlink ref="E4528" r:id="rId_hyperlink_4527" tooltip="Перейти" display="Перейти"/>
    <hyperlink ref="E4529" r:id="rId_hyperlink_4528" tooltip="Перейти" display="Перейти"/>
    <hyperlink ref="E4530" r:id="rId_hyperlink_4529" tooltip="Перейти" display="Перейти"/>
    <hyperlink ref="E4531" r:id="rId_hyperlink_4530" tooltip="Перейти" display="Перейти"/>
    <hyperlink ref="E4532" r:id="rId_hyperlink_4531" tooltip="Перейти" display="Перейти"/>
    <hyperlink ref="E4533" r:id="rId_hyperlink_4532" tooltip="Перейти" display="Перейти"/>
    <hyperlink ref="E4534" r:id="rId_hyperlink_4533" tooltip="Перейти" display="Перейти"/>
    <hyperlink ref="E4535" r:id="rId_hyperlink_4534" tooltip="Перейти" display="Перейти"/>
    <hyperlink ref="E4536" r:id="rId_hyperlink_4535" tooltip="Перейти" display="Перейти"/>
    <hyperlink ref="E4537" r:id="rId_hyperlink_4536" tooltip="Перейти" display="Перейти"/>
    <hyperlink ref="E4538" r:id="rId_hyperlink_4537" tooltip="Перейти" display="Перейти"/>
    <hyperlink ref="E4539" r:id="rId_hyperlink_4538" tooltip="Перейти" display="Перейти"/>
    <hyperlink ref="E4540" r:id="rId_hyperlink_4539" tooltip="Перейти" display="Перейти"/>
    <hyperlink ref="E4541" r:id="rId_hyperlink_4540" tooltip="Перейти" display="Перейти"/>
    <hyperlink ref="E4542" r:id="rId_hyperlink_4541" tooltip="Перейти" display="Перейти"/>
    <hyperlink ref="E4543" r:id="rId_hyperlink_4542" tooltip="Перейти" display="Перейти"/>
    <hyperlink ref="E4544" r:id="rId_hyperlink_4543" tooltip="Перейти" display="Перейти"/>
    <hyperlink ref="E4545" r:id="rId_hyperlink_4544" tooltip="Перейти" display="Перейти"/>
    <hyperlink ref="E4546" r:id="rId_hyperlink_4545" tooltip="Перейти" display="Перейти"/>
    <hyperlink ref="E4547" r:id="rId_hyperlink_4546" tooltip="Перейти" display="Перейти"/>
    <hyperlink ref="E4548" r:id="rId_hyperlink_4547" tooltip="Перейти" display="Перейти"/>
    <hyperlink ref="E4549" r:id="rId_hyperlink_4548" tooltip="Перейти" display="Перейти"/>
    <hyperlink ref="E4550" r:id="rId_hyperlink_4549" tooltip="Перейти" display="Перейти"/>
    <hyperlink ref="E4551" r:id="rId_hyperlink_4550" tooltip="Перейти" display="Перейти"/>
    <hyperlink ref="E4552" r:id="rId_hyperlink_4551" tooltip="Перейти" display="Перейти"/>
    <hyperlink ref="E4553" r:id="rId_hyperlink_4552" tooltip="Перейти" display="Перейти"/>
    <hyperlink ref="E4554" r:id="rId_hyperlink_4553" tooltip="Перейти" display="Перейти"/>
    <hyperlink ref="E4555" r:id="rId_hyperlink_4554" tooltip="Перейти" display="Перейти"/>
    <hyperlink ref="E4556" r:id="rId_hyperlink_4555" tooltip="Перейти" display="Перейти"/>
    <hyperlink ref="E4557" r:id="rId_hyperlink_4556" tooltip="Перейти" display="Перейти"/>
    <hyperlink ref="E4558" r:id="rId_hyperlink_4557" tooltip="Перейти" display="Перейти"/>
    <hyperlink ref="E4559" r:id="rId_hyperlink_4558" tooltip="Перейти" display="Перейти"/>
    <hyperlink ref="E4560" r:id="rId_hyperlink_4559" tooltip="Перейти" display="Перейти"/>
    <hyperlink ref="E4561" r:id="rId_hyperlink_4560" tooltip="Перейти" display="Перейти"/>
    <hyperlink ref="E4562" r:id="rId_hyperlink_4561" tooltip="Перейти" display="Перейти"/>
    <hyperlink ref="E4563" r:id="rId_hyperlink_4562" tooltip="Перейти" display="Перейти"/>
    <hyperlink ref="E4564" r:id="rId_hyperlink_4563" tooltip="Перейти" display="Перейти"/>
    <hyperlink ref="E4565" r:id="rId_hyperlink_4564" tooltip="Перейти" display="Перейти"/>
    <hyperlink ref="E4566" r:id="rId_hyperlink_4565" tooltip="Перейти" display="Перейти"/>
    <hyperlink ref="E4567" r:id="rId_hyperlink_4566" tooltip="Перейти" display="Перейти"/>
    <hyperlink ref="E4568" r:id="rId_hyperlink_4567" tooltip="Перейти" display="Перейти"/>
    <hyperlink ref="E4569" r:id="rId_hyperlink_4568" tooltip="Перейти" display="Перейти"/>
    <hyperlink ref="E4570" r:id="rId_hyperlink_4569" tooltip="Перейти" display="Перейти"/>
    <hyperlink ref="E4571" r:id="rId_hyperlink_4570" tooltip="Перейти" display="Перейти"/>
    <hyperlink ref="E4572" r:id="rId_hyperlink_4571" tooltip="Перейти" display="Перейти"/>
    <hyperlink ref="E4573" r:id="rId_hyperlink_4572" tooltip="Перейти" display="Перейти"/>
    <hyperlink ref="E4574" r:id="rId_hyperlink_4573" tooltip="Перейти" display="Перейти"/>
    <hyperlink ref="E4575" r:id="rId_hyperlink_4574" tooltip="Перейти" display="Перейти"/>
    <hyperlink ref="E4576" r:id="rId_hyperlink_4575" tooltip="Перейти" display="Перейти"/>
    <hyperlink ref="E4577" r:id="rId_hyperlink_4576" tooltip="Перейти" display="Перейти"/>
    <hyperlink ref="E4578" r:id="rId_hyperlink_4577" tooltip="Перейти" display="Перейти"/>
    <hyperlink ref="E4579" r:id="rId_hyperlink_4578" tooltip="Перейти" display="Перейти"/>
    <hyperlink ref="E4580" r:id="rId_hyperlink_4579" tooltip="Перейти" display="Перейти"/>
    <hyperlink ref="E4581" r:id="rId_hyperlink_4580" tooltip="Перейти" display="Перейти"/>
    <hyperlink ref="E4582" r:id="rId_hyperlink_4581" tooltip="Перейти" display="Перейти"/>
    <hyperlink ref="E4583" r:id="rId_hyperlink_4582" tooltip="Перейти" display="Перейти"/>
    <hyperlink ref="E4584" r:id="rId_hyperlink_4583" tooltip="Перейти" display="Перейти"/>
    <hyperlink ref="E4585" r:id="rId_hyperlink_4584" tooltip="Перейти" display="Перейти"/>
    <hyperlink ref="E4586" r:id="rId_hyperlink_4585" tooltip="Перейти" display="Перейти"/>
    <hyperlink ref="E4587" r:id="rId_hyperlink_4586" tooltip="Перейти" display="Перейти"/>
    <hyperlink ref="E4588" r:id="rId_hyperlink_4587" tooltip="Перейти" display="Перейти"/>
    <hyperlink ref="E4589" r:id="rId_hyperlink_4588" tooltip="Перейти" display="Перейти"/>
    <hyperlink ref="E4590" r:id="rId_hyperlink_4589" tooltip="Перейти" display="Перейти"/>
    <hyperlink ref="E4591" r:id="rId_hyperlink_4590" tooltip="Перейти" display="Перейти"/>
    <hyperlink ref="E4592" r:id="rId_hyperlink_4591" tooltip="Перейти" display="Перейти"/>
    <hyperlink ref="E4593" r:id="rId_hyperlink_4592" tooltip="Перейти" display="Перейти"/>
    <hyperlink ref="E4594" r:id="rId_hyperlink_4593" tooltip="Перейти" display="Перейти"/>
    <hyperlink ref="E4595" r:id="rId_hyperlink_4594" tooltip="Перейти" display="Перейти"/>
    <hyperlink ref="E4596" r:id="rId_hyperlink_4595" tooltip="Перейти" display="Перейти"/>
    <hyperlink ref="E4597" r:id="rId_hyperlink_4596" tooltip="Перейти" display="Перейти"/>
    <hyperlink ref="E4598" r:id="rId_hyperlink_4597" tooltip="Перейти" display="Перейти"/>
    <hyperlink ref="E4599" r:id="rId_hyperlink_4598" tooltip="Перейти" display="Перейти"/>
    <hyperlink ref="E4600" r:id="rId_hyperlink_4599" tooltip="Перейти" display="Перейти"/>
    <hyperlink ref="E4601" r:id="rId_hyperlink_4600" tooltip="Перейти" display="Перейти"/>
    <hyperlink ref="E4602" r:id="rId_hyperlink_4601" tooltip="Перейти" display="Перейти"/>
    <hyperlink ref="E4603" r:id="rId_hyperlink_4602" tooltip="Перейти" display="Перейти"/>
    <hyperlink ref="E4604" r:id="rId_hyperlink_4603" tooltip="Перейти" display="Перейти"/>
    <hyperlink ref="E4605" r:id="rId_hyperlink_4604" tooltip="Перейти" display="Перейти"/>
    <hyperlink ref="E4606" r:id="rId_hyperlink_4605" tooltip="Перейти" display="Перейти"/>
    <hyperlink ref="E4607" r:id="rId_hyperlink_4606" tooltip="Перейти" display="Перейти"/>
    <hyperlink ref="E4608" r:id="rId_hyperlink_4607" tooltip="Перейти" display="Перейти"/>
    <hyperlink ref="E4609" r:id="rId_hyperlink_4608" tooltip="Перейти" display="Перейти"/>
    <hyperlink ref="E4610" r:id="rId_hyperlink_4609" tooltip="Перейти" display="Перейти"/>
    <hyperlink ref="E4611" r:id="rId_hyperlink_4610" tooltip="Перейти" display="Перейти"/>
    <hyperlink ref="E4612" r:id="rId_hyperlink_4611" tooltip="Перейти" display="Перейти"/>
    <hyperlink ref="E4613" r:id="rId_hyperlink_4612" tooltip="Перейти" display="Перейти"/>
    <hyperlink ref="E4614" r:id="rId_hyperlink_4613" tooltip="Перейти" display="Перейти"/>
    <hyperlink ref="E4615" r:id="rId_hyperlink_4614" tooltip="Перейти" display="Перейти"/>
    <hyperlink ref="E4616" r:id="rId_hyperlink_4615" tooltip="Перейти" display="Перейти"/>
    <hyperlink ref="E4617" r:id="rId_hyperlink_4616" tooltip="Перейти" display="Перейти"/>
    <hyperlink ref="E4618" r:id="rId_hyperlink_4617" tooltip="Перейти" display="Перейти"/>
    <hyperlink ref="E4619" r:id="rId_hyperlink_4618" tooltip="Перейти" display="Перейти"/>
    <hyperlink ref="E4620" r:id="rId_hyperlink_4619" tooltip="Перейти" display="Перейти"/>
    <hyperlink ref="E4621" r:id="rId_hyperlink_4620" tooltip="Перейти" display="Перейти"/>
    <hyperlink ref="E4622" r:id="rId_hyperlink_4621" tooltip="Перейти" display="Перейти"/>
    <hyperlink ref="E4623" r:id="rId_hyperlink_4622" tooltip="Перейти" display="Перейти"/>
    <hyperlink ref="E4624" r:id="rId_hyperlink_4623" tooltip="Перейти" display="Перейти"/>
    <hyperlink ref="E4625" r:id="rId_hyperlink_4624" tooltip="Перейти" display="Перейти"/>
    <hyperlink ref="E4626" r:id="rId_hyperlink_4625" tooltip="Перейти" display="Перейти"/>
    <hyperlink ref="E4627" r:id="rId_hyperlink_4626" tooltip="Перейти" display="Перейти"/>
    <hyperlink ref="E4628" r:id="rId_hyperlink_4627" tooltip="Перейти" display="Перейти"/>
    <hyperlink ref="E4629" r:id="rId_hyperlink_4628" tooltip="Перейти" display="Перейти"/>
    <hyperlink ref="E4630" r:id="rId_hyperlink_4629" tooltip="Перейти" display="Перейти"/>
    <hyperlink ref="E4631" r:id="rId_hyperlink_4630" tooltip="Перейти" display="Перейти"/>
    <hyperlink ref="E4632" r:id="rId_hyperlink_4631" tooltip="Перейти" display="Перейти"/>
    <hyperlink ref="E4633" r:id="rId_hyperlink_4632" tooltip="Перейти" display="Перейти"/>
    <hyperlink ref="E4634" r:id="rId_hyperlink_4633" tooltip="Перейти" display="Перейти"/>
    <hyperlink ref="E4635" r:id="rId_hyperlink_4634" tooltip="Перейти" display="Перейти"/>
    <hyperlink ref="E4636" r:id="rId_hyperlink_4635" tooltip="Перейти" display="Перейти"/>
    <hyperlink ref="E4637" r:id="rId_hyperlink_4636" tooltip="Перейти" display="Перейти"/>
    <hyperlink ref="E4638" r:id="rId_hyperlink_4637" tooltip="Перейти" display="Перейти"/>
    <hyperlink ref="E4639" r:id="rId_hyperlink_4638" tooltip="Перейти" display="Перейти"/>
    <hyperlink ref="E4640" r:id="rId_hyperlink_4639" tooltip="Перейти" display="Перейти"/>
    <hyperlink ref="E4641" r:id="rId_hyperlink_4640" tooltip="Перейти" display="Перейти"/>
    <hyperlink ref="E4642" r:id="rId_hyperlink_4641" tooltip="Перейти" display="Перейти"/>
    <hyperlink ref="E4643" r:id="rId_hyperlink_4642" tooltip="Перейти" display="Перейти"/>
    <hyperlink ref="E4644" r:id="rId_hyperlink_4643" tooltip="Перейти" display="Перейти"/>
    <hyperlink ref="E4645" r:id="rId_hyperlink_4644" tooltip="Перейти" display="Перейти"/>
    <hyperlink ref="E4646" r:id="rId_hyperlink_4645" tooltip="Перейти" display="Перейти"/>
    <hyperlink ref="E4647" r:id="rId_hyperlink_4646" tooltip="Перейти" display="Перейти"/>
    <hyperlink ref="E4648" r:id="rId_hyperlink_4647" tooltip="Перейти" display="Перейти"/>
    <hyperlink ref="E4649" r:id="rId_hyperlink_4648" tooltip="Перейти" display="Перейти"/>
    <hyperlink ref="E4650" r:id="rId_hyperlink_4649" tooltip="Перейти" display="Перейти"/>
    <hyperlink ref="E4651" r:id="rId_hyperlink_4650" tooltip="Перейти" display="Перейти"/>
    <hyperlink ref="E4652" r:id="rId_hyperlink_4651" tooltip="Перейти" display="Перейти"/>
    <hyperlink ref="E4653" r:id="rId_hyperlink_4652" tooltip="Перейти" display="Перейти"/>
    <hyperlink ref="E4654" r:id="rId_hyperlink_4653" tooltip="Перейти" display="Перейти"/>
    <hyperlink ref="E4655" r:id="rId_hyperlink_4654" tooltip="Перейти" display="Перейти"/>
    <hyperlink ref="E4656" r:id="rId_hyperlink_4655" tooltip="Перейти" display="Перейти"/>
    <hyperlink ref="E4657" r:id="rId_hyperlink_4656" tooltip="Перейти" display="Перейти"/>
    <hyperlink ref="E4658" r:id="rId_hyperlink_4657" tooltip="Перейти" display="Перейти"/>
    <hyperlink ref="E4659" r:id="rId_hyperlink_4658" tooltip="Перейти" display="Перейти"/>
    <hyperlink ref="E4660" r:id="rId_hyperlink_4659" tooltip="Перейти" display="Перейти"/>
    <hyperlink ref="E4661" r:id="rId_hyperlink_4660" tooltip="Перейти" display="Перейти"/>
    <hyperlink ref="E4662" r:id="rId_hyperlink_4661" tooltip="Перейти" display="Перейти"/>
    <hyperlink ref="E4663" r:id="rId_hyperlink_4662" tooltip="Перейти" display="Перейти"/>
    <hyperlink ref="E4664" r:id="rId_hyperlink_4663" tooltip="Перейти" display="Перейти"/>
    <hyperlink ref="E4665" r:id="rId_hyperlink_4664" tooltip="Перейти" display="Перейти"/>
    <hyperlink ref="E4666" r:id="rId_hyperlink_4665" tooltip="Перейти" display="Перейти"/>
    <hyperlink ref="E4667" r:id="rId_hyperlink_4666" tooltip="Перейти" display="Перейти"/>
    <hyperlink ref="E4668" r:id="rId_hyperlink_4667" tooltip="Перейти" display="Перейти"/>
    <hyperlink ref="E4669" r:id="rId_hyperlink_4668" tooltip="Перейти" display="Перейти"/>
    <hyperlink ref="E4670" r:id="rId_hyperlink_4669" tooltip="Перейти" display="Перейти"/>
    <hyperlink ref="E4671" r:id="rId_hyperlink_4670" tooltip="Перейти" display="Перейти"/>
    <hyperlink ref="E4672" r:id="rId_hyperlink_4671" tooltip="Перейти" display="Перейти"/>
    <hyperlink ref="E4673" r:id="rId_hyperlink_4672" tooltip="Перейти" display="Перейти"/>
    <hyperlink ref="E4674" r:id="rId_hyperlink_4673" tooltip="Перейти" display="Перейти"/>
    <hyperlink ref="E4675" r:id="rId_hyperlink_4674" tooltip="Перейти" display="Перейти"/>
    <hyperlink ref="E4676" r:id="rId_hyperlink_4675" tooltip="Перейти" display="Перейти"/>
    <hyperlink ref="E4677" r:id="rId_hyperlink_4676" tooltip="Перейти" display="Перейти"/>
    <hyperlink ref="E4678" r:id="rId_hyperlink_4677" tooltip="Перейти" display="Перейти"/>
    <hyperlink ref="E4679" r:id="rId_hyperlink_4678" tooltip="Перейти" display="Перейти"/>
    <hyperlink ref="E4680" r:id="rId_hyperlink_4679" tooltip="Перейти" display="Перейти"/>
    <hyperlink ref="E4681" r:id="rId_hyperlink_4680" tooltip="Перейти" display="Перейти"/>
    <hyperlink ref="E4682" r:id="rId_hyperlink_4681" tooltip="Перейти" display="Перейти"/>
    <hyperlink ref="E4683" r:id="rId_hyperlink_4682" tooltip="Перейти" display="Перейти"/>
    <hyperlink ref="E4684" r:id="rId_hyperlink_4683" tooltip="Перейти" display="Перейти"/>
    <hyperlink ref="E4685" r:id="rId_hyperlink_4684" tooltip="Перейти" display="Перейти"/>
    <hyperlink ref="E4686" r:id="rId_hyperlink_4685" tooltip="Перейти" display="Перейти"/>
    <hyperlink ref="E4687" r:id="rId_hyperlink_4686" tooltip="Перейти" display="Перейти"/>
    <hyperlink ref="E4688" r:id="rId_hyperlink_4687" tooltip="Перейти" display="Перейти"/>
    <hyperlink ref="E4689" r:id="rId_hyperlink_4688" tooltip="Перейти" display="Перейти"/>
    <hyperlink ref="E4690" r:id="rId_hyperlink_4689" tooltip="Перейти" display="Перейти"/>
    <hyperlink ref="E4691" r:id="rId_hyperlink_4690" tooltip="Перейти" display="Перейти"/>
    <hyperlink ref="E4692" r:id="rId_hyperlink_4691" tooltip="Перейти" display="Перейти"/>
    <hyperlink ref="E4693" r:id="rId_hyperlink_4692" tooltip="Перейти" display="Перейти"/>
    <hyperlink ref="E4694" r:id="rId_hyperlink_4693" tooltip="Перейти" display="Перейти"/>
    <hyperlink ref="E4695" r:id="rId_hyperlink_4694" tooltip="Перейти" display="Перейти"/>
    <hyperlink ref="E4696" r:id="rId_hyperlink_4695" tooltip="Перейти" display="Перейти"/>
    <hyperlink ref="E4697" r:id="rId_hyperlink_4696" tooltip="Перейти" display="Перейти"/>
    <hyperlink ref="E4698" r:id="rId_hyperlink_4697" tooltip="Перейти" display="Перейти"/>
    <hyperlink ref="E4699" r:id="rId_hyperlink_4698" tooltip="Перейти" display="Перейти"/>
    <hyperlink ref="E4700" r:id="rId_hyperlink_4699" tooltip="Перейти" display="Перейти"/>
    <hyperlink ref="E4701" r:id="rId_hyperlink_4700" tooltip="Перейти" display="Перейти"/>
    <hyperlink ref="E4702" r:id="rId_hyperlink_4701" tooltip="Перейти" display="Перейти"/>
    <hyperlink ref="E4703" r:id="rId_hyperlink_4702" tooltip="Перейти" display="Перейти"/>
    <hyperlink ref="E4704" r:id="rId_hyperlink_4703" tooltip="Перейти" display="Перейти"/>
    <hyperlink ref="E4705" r:id="rId_hyperlink_4704" tooltip="Перейти" display="Перейти"/>
    <hyperlink ref="E4706" r:id="rId_hyperlink_4705" tooltip="Перейти" display="Перейти"/>
    <hyperlink ref="E4707" r:id="rId_hyperlink_4706" tooltip="Перейти" display="Перейти"/>
    <hyperlink ref="E4708" r:id="rId_hyperlink_4707" tooltip="Перейти" display="Перейти"/>
    <hyperlink ref="E4709" r:id="rId_hyperlink_4708" tooltip="Перейти" display="Перейти"/>
    <hyperlink ref="E4710" r:id="rId_hyperlink_4709" tooltip="Перейти" display="Перейти"/>
    <hyperlink ref="E4711" r:id="rId_hyperlink_4710" tooltip="Перейти" display="Перейти"/>
    <hyperlink ref="E4712" r:id="rId_hyperlink_4711" tooltip="Перейти" display="Перейти"/>
    <hyperlink ref="E4713" r:id="rId_hyperlink_4712" tooltip="Перейти" display="Перейти"/>
    <hyperlink ref="E4714" r:id="rId_hyperlink_4713" tooltip="Перейти" display="Перейти"/>
    <hyperlink ref="E4715" r:id="rId_hyperlink_4714" tooltip="Перейти" display="Перейти"/>
    <hyperlink ref="E4716" r:id="rId_hyperlink_4715" tooltip="Перейти" display="Перейти"/>
    <hyperlink ref="E4717" r:id="rId_hyperlink_4716" tooltip="Перейти" display="Перейти"/>
    <hyperlink ref="E4718" r:id="rId_hyperlink_4717" tooltip="Перейти" display="Перейти"/>
    <hyperlink ref="E4719" r:id="rId_hyperlink_4718" tooltip="Перейти" display="Перейти"/>
    <hyperlink ref="E4720" r:id="rId_hyperlink_4719" tooltip="Перейти" display="Перейти"/>
    <hyperlink ref="E4721" r:id="rId_hyperlink_4720" tooltip="Перейти" display="Перейти"/>
    <hyperlink ref="E4722" r:id="rId_hyperlink_4721" tooltip="Перейти" display="Перейти"/>
    <hyperlink ref="E4723" r:id="rId_hyperlink_4722" tooltip="Перейти" display="Перейти"/>
    <hyperlink ref="E4724" r:id="rId_hyperlink_4723" tooltip="Перейти" display="Перейти"/>
    <hyperlink ref="E4725" r:id="rId_hyperlink_4724" tooltip="Перейти" display="Перейти"/>
    <hyperlink ref="E4726" r:id="rId_hyperlink_4725" tooltip="Перейти" display="Перейти"/>
    <hyperlink ref="E4727" r:id="rId_hyperlink_4726" tooltip="Перейти" display="Перейти"/>
    <hyperlink ref="E4728" r:id="rId_hyperlink_4727" tooltip="Перейти" display="Перейти"/>
    <hyperlink ref="E4729" r:id="rId_hyperlink_4728" tooltip="Перейти" display="Перейти"/>
    <hyperlink ref="E4730" r:id="rId_hyperlink_4729" tooltip="Перейти" display="Перейти"/>
    <hyperlink ref="E4731" r:id="rId_hyperlink_4730" tooltip="Перейти" display="Перейти"/>
    <hyperlink ref="E4732" r:id="rId_hyperlink_4731" tooltip="Перейти" display="Перейти"/>
    <hyperlink ref="E4733" r:id="rId_hyperlink_4732" tooltip="Перейти" display="Перейти"/>
    <hyperlink ref="E4734" r:id="rId_hyperlink_4733" tooltip="Перейти" display="Перейти"/>
    <hyperlink ref="E4735" r:id="rId_hyperlink_4734" tooltip="Перейти" display="Перейти"/>
    <hyperlink ref="E4736" r:id="rId_hyperlink_4735" tooltip="Перейти" display="Перейти"/>
    <hyperlink ref="E4737" r:id="rId_hyperlink_4736" tooltip="Перейти" display="Перейти"/>
    <hyperlink ref="E4738" r:id="rId_hyperlink_4737" tooltip="Перейти" display="Перейти"/>
    <hyperlink ref="E4739" r:id="rId_hyperlink_4738" tooltip="Перейти" display="Перейти"/>
    <hyperlink ref="E4740" r:id="rId_hyperlink_4739" tooltip="Перейти" display="Перейти"/>
    <hyperlink ref="E4741" r:id="rId_hyperlink_4740" tooltip="Перейти" display="Перейти"/>
    <hyperlink ref="E4742" r:id="rId_hyperlink_4741" tooltip="Перейти" display="Перейти"/>
    <hyperlink ref="E4743" r:id="rId_hyperlink_4742" tooltip="Перейти" display="Перейти"/>
    <hyperlink ref="E4744" r:id="rId_hyperlink_4743" tooltip="Перейти" display="Перейти"/>
    <hyperlink ref="E4745" r:id="rId_hyperlink_4744" tooltip="Перейти" display="Перейти"/>
    <hyperlink ref="E4746" r:id="rId_hyperlink_4745" tooltip="Перейти" display="Перейти"/>
    <hyperlink ref="E4747" r:id="rId_hyperlink_4746" tooltip="Перейти" display="Перейти"/>
    <hyperlink ref="E4748" r:id="rId_hyperlink_4747" tooltip="Перейти" display="Перейти"/>
    <hyperlink ref="E4749" r:id="rId_hyperlink_4748" tooltip="Перейти" display="Перейти"/>
    <hyperlink ref="E4750" r:id="rId_hyperlink_4749" tooltip="Перейти" display="Перейти"/>
    <hyperlink ref="E4751" r:id="rId_hyperlink_4750" tooltip="Перейти" display="Перейти"/>
    <hyperlink ref="E4752" r:id="rId_hyperlink_4751" tooltip="Перейти" display="Перейти"/>
    <hyperlink ref="E4753" r:id="rId_hyperlink_4752" tooltip="Перейти" display="Перейти"/>
    <hyperlink ref="E4754" r:id="rId_hyperlink_4753" tooltip="Перейти" display="Перейти"/>
    <hyperlink ref="E4755" r:id="rId_hyperlink_4754" tooltip="Перейти" display="Перейти"/>
    <hyperlink ref="E4756" r:id="rId_hyperlink_4755" tooltip="Перейти" display="Перейти"/>
    <hyperlink ref="E4757" r:id="rId_hyperlink_4756" tooltip="Перейти" display="Перейти"/>
    <hyperlink ref="E4758" r:id="rId_hyperlink_4757" tooltip="Перейти" display="Перейти"/>
    <hyperlink ref="E4759" r:id="rId_hyperlink_4758" tooltip="Перейти" display="Перейти"/>
    <hyperlink ref="E4760" r:id="rId_hyperlink_4759" tooltip="Перейти" display="Перейти"/>
    <hyperlink ref="E4761" r:id="rId_hyperlink_4760" tooltip="Перейти" display="Перейти"/>
    <hyperlink ref="E4762" r:id="rId_hyperlink_4761" tooltip="Перейти" display="Перейти"/>
    <hyperlink ref="E4763" r:id="rId_hyperlink_4762" tooltip="Перейти" display="Перейти"/>
    <hyperlink ref="E4764" r:id="rId_hyperlink_4763" tooltip="Перейти" display="Перейти"/>
    <hyperlink ref="E4765" r:id="rId_hyperlink_4764" tooltip="Перейти" display="Перейти"/>
    <hyperlink ref="E4766" r:id="rId_hyperlink_4765" tooltip="Перейти" display="Перейти"/>
    <hyperlink ref="E4767" r:id="rId_hyperlink_4766" tooltip="Перейти" display="Перейти"/>
    <hyperlink ref="E4768" r:id="rId_hyperlink_4767" tooltip="Перейти" display="Перейти"/>
    <hyperlink ref="E4769" r:id="rId_hyperlink_4768" tooltip="Перейти" display="Перейти"/>
    <hyperlink ref="E4770" r:id="rId_hyperlink_4769" tooltip="Перейти" display="Перейти"/>
    <hyperlink ref="E4771" r:id="rId_hyperlink_4770" tooltip="Перейти" display="Перейти"/>
    <hyperlink ref="E4772" r:id="rId_hyperlink_4771" tooltip="Перейти" display="Перейти"/>
    <hyperlink ref="E4773" r:id="rId_hyperlink_4772" tooltip="Перейти" display="Перейти"/>
    <hyperlink ref="E4774" r:id="rId_hyperlink_4773" tooltip="Перейти" display="Перейти"/>
    <hyperlink ref="E4775" r:id="rId_hyperlink_4774" tooltip="Перейти" display="Перейти"/>
    <hyperlink ref="E4776" r:id="rId_hyperlink_4775" tooltip="Перейти" display="Перейти"/>
    <hyperlink ref="E4777" r:id="rId_hyperlink_4776" tooltip="Перейти" display="Перейти"/>
    <hyperlink ref="E4778" r:id="rId_hyperlink_4777" tooltip="Перейти" display="Перейти"/>
    <hyperlink ref="E4779" r:id="rId_hyperlink_4778" tooltip="Перейти" display="Перейти"/>
    <hyperlink ref="E4780" r:id="rId_hyperlink_4779" tooltip="Перейти" display="Перейти"/>
    <hyperlink ref="E4781" r:id="rId_hyperlink_4780" tooltip="Перейти" display="Перейти"/>
    <hyperlink ref="E4782" r:id="rId_hyperlink_4781" tooltip="Перейти" display="Перейти"/>
    <hyperlink ref="E4783" r:id="rId_hyperlink_4782" tooltip="Перейти" display="Перейти"/>
    <hyperlink ref="E4784" r:id="rId_hyperlink_4783" tooltip="Перейти" display="Перейти"/>
    <hyperlink ref="E4785" r:id="rId_hyperlink_4784" tooltip="Перейти" display="Перейти"/>
    <hyperlink ref="E4786" r:id="rId_hyperlink_4785" tooltip="Перейти" display="Перейти"/>
    <hyperlink ref="E4787" r:id="rId_hyperlink_4786" tooltip="Перейти" display="Перейти"/>
    <hyperlink ref="E4788" r:id="rId_hyperlink_4787" tooltip="Перейти" display="Перейти"/>
    <hyperlink ref="E4789" r:id="rId_hyperlink_4788" tooltip="Перейти" display="Перейти"/>
    <hyperlink ref="E4790" r:id="rId_hyperlink_4789" tooltip="Перейти" display="Перейти"/>
    <hyperlink ref="E4791" r:id="rId_hyperlink_4790" tooltip="Перейти" display="Перейти"/>
    <hyperlink ref="E4792" r:id="rId_hyperlink_4791" tooltip="Перейти" display="Перейти"/>
    <hyperlink ref="E4793" r:id="rId_hyperlink_4792" tooltip="Перейти" display="Перейти"/>
    <hyperlink ref="E4794" r:id="rId_hyperlink_4793" tooltip="Перейти" display="Перейти"/>
    <hyperlink ref="E4795" r:id="rId_hyperlink_4794" tooltip="Перейти" display="Перейти"/>
    <hyperlink ref="E4796" r:id="rId_hyperlink_4795" tooltip="Перейти" display="Перейти"/>
    <hyperlink ref="E4797" r:id="rId_hyperlink_4796" tooltip="Перейти" display="Перейти"/>
    <hyperlink ref="E4798" r:id="rId_hyperlink_4797" tooltip="Перейти" display="Перейти"/>
    <hyperlink ref="E4799" r:id="rId_hyperlink_4798" tooltip="Перейти" display="Перейти"/>
    <hyperlink ref="E4800" r:id="rId_hyperlink_4799" tooltip="Перейти" display="Перейти"/>
    <hyperlink ref="E4801" r:id="rId_hyperlink_4800" tooltip="Перейти" display="Перейти"/>
    <hyperlink ref="E4802" r:id="rId_hyperlink_4801" tooltip="Перейти" display="Перейти"/>
    <hyperlink ref="E4803" r:id="rId_hyperlink_4802" tooltip="Перейти" display="Перейти"/>
    <hyperlink ref="E4804" r:id="rId_hyperlink_4803" tooltip="Перейти" display="Перейти"/>
    <hyperlink ref="E4805" r:id="rId_hyperlink_4804" tooltip="Перейти" display="Перейти"/>
    <hyperlink ref="E4806" r:id="rId_hyperlink_4805" tooltip="Перейти" display="Перейти"/>
    <hyperlink ref="E4807" r:id="rId_hyperlink_4806" tooltip="Перейти" display="Перейти"/>
    <hyperlink ref="E4808" r:id="rId_hyperlink_4807" tooltip="Перейти" display="Перейти"/>
    <hyperlink ref="E4809" r:id="rId_hyperlink_4808" tooltip="Перейти" display="Перейти"/>
    <hyperlink ref="E4810" r:id="rId_hyperlink_4809" tooltip="Перейти" display="Перейти"/>
    <hyperlink ref="E4811" r:id="rId_hyperlink_4810" tooltip="Перейти" display="Перейти"/>
    <hyperlink ref="E4812" r:id="rId_hyperlink_4811" tooltip="Перейти" display="Перейти"/>
    <hyperlink ref="E4813" r:id="rId_hyperlink_4812" tooltip="Перейти" display="Перейти"/>
    <hyperlink ref="E4814" r:id="rId_hyperlink_4813" tooltip="Перейти" display="Перейти"/>
    <hyperlink ref="E4815" r:id="rId_hyperlink_4814" tooltip="Перейти" display="Перейти"/>
    <hyperlink ref="E4816" r:id="rId_hyperlink_4815" tooltip="Перейти" display="Перейти"/>
    <hyperlink ref="E4817" r:id="rId_hyperlink_4816" tooltip="Перейти" display="Перейти"/>
    <hyperlink ref="E4818" r:id="rId_hyperlink_4817" tooltip="Перейти" display="Перейти"/>
    <hyperlink ref="E4819" r:id="rId_hyperlink_4818" tooltip="Перейти" display="Перейти"/>
    <hyperlink ref="E4820" r:id="rId_hyperlink_4819" tooltip="Перейти" display="Перейти"/>
    <hyperlink ref="E4821" r:id="rId_hyperlink_4820" tooltip="Перейти" display="Перейти"/>
    <hyperlink ref="E4822" r:id="rId_hyperlink_4821" tooltip="Перейти" display="Перейти"/>
    <hyperlink ref="E4823" r:id="rId_hyperlink_4822" tooltip="Перейти" display="Перейти"/>
    <hyperlink ref="E4824" r:id="rId_hyperlink_4823" tooltip="Перейти" display="Перейти"/>
    <hyperlink ref="E4825" r:id="rId_hyperlink_4824" tooltip="Перейти" display="Перейти"/>
    <hyperlink ref="E4826" r:id="rId_hyperlink_4825" tooltip="Перейти" display="Перейти"/>
    <hyperlink ref="E4827" r:id="rId_hyperlink_4826" tooltip="Перейти" display="Перейти"/>
    <hyperlink ref="E4828" r:id="rId_hyperlink_4827" tooltip="Перейти" display="Перейти"/>
    <hyperlink ref="E4829" r:id="rId_hyperlink_4828" tooltip="Перейти" display="Перейти"/>
    <hyperlink ref="E4830" r:id="rId_hyperlink_4829" tooltip="Перейти" display="Перейти"/>
    <hyperlink ref="E4831" r:id="rId_hyperlink_4830" tooltip="Перейти" display="Перейти"/>
    <hyperlink ref="E4832" r:id="rId_hyperlink_4831" tooltip="Перейти" display="Перейти"/>
    <hyperlink ref="E4833" r:id="rId_hyperlink_4832" tooltip="Перейти" display="Перейти"/>
    <hyperlink ref="E4834" r:id="rId_hyperlink_4833" tooltip="Перейти" display="Перейти"/>
    <hyperlink ref="E4835" r:id="rId_hyperlink_4834" tooltip="Перейти" display="Перейти"/>
    <hyperlink ref="E4836" r:id="rId_hyperlink_4835" tooltip="Перейти" display="Перейти"/>
    <hyperlink ref="E4837" r:id="rId_hyperlink_4836" tooltip="Перейти" display="Перейти"/>
    <hyperlink ref="E4838" r:id="rId_hyperlink_4837" tooltip="Перейти" display="Перейти"/>
    <hyperlink ref="E4839" r:id="rId_hyperlink_4838" tooltip="Перейти" display="Перейти"/>
    <hyperlink ref="E4840" r:id="rId_hyperlink_4839" tooltip="Перейти" display="Перейти"/>
    <hyperlink ref="E4841" r:id="rId_hyperlink_4840" tooltip="Перейти" display="Перейти"/>
    <hyperlink ref="E4842" r:id="rId_hyperlink_4841" tooltip="Перейти" display="Перейти"/>
    <hyperlink ref="E4843" r:id="rId_hyperlink_4842" tooltip="Перейти" display="Перейти"/>
    <hyperlink ref="E4844" r:id="rId_hyperlink_4843" tooltip="Перейти" display="Перейти"/>
    <hyperlink ref="E4845" r:id="rId_hyperlink_4844" tooltip="Перейти" display="Перейти"/>
    <hyperlink ref="E4846" r:id="rId_hyperlink_4845" tooltip="Перейти" display="Перейти"/>
    <hyperlink ref="E4847" r:id="rId_hyperlink_4846" tooltip="Перейти" display="Перейти"/>
    <hyperlink ref="E4848" r:id="rId_hyperlink_4847" tooltip="Перейти" display="Перейти"/>
    <hyperlink ref="E4849" r:id="rId_hyperlink_4848" tooltip="Перейти" display="Перейти"/>
    <hyperlink ref="E4850" r:id="rId_hyperlink_4849" tooltip="Перейти" display="Перейти"/>
    <hyperlink ref="E4851" r:id="rId_hyperlink_4850" tooltip="Перейти" display="Перейти"/>
    <hyperlink ref="E4852" r:id="rId_hyperlink_4851" tooltip="Перейти" display="Перейти"/>
    <hyperlink ref="E4853" r:id="rId_hyperlink_4852" tooltip="Перейти" display="Перейти"/>
    <hyperlink ref="E4854" r:id="rId_hyperlink_4853" tooltip="Перейти" display="Перейти"/>
    <hyperlink ref="E4855" r:id="rId_hyperlink_4854" tooltip="Перейти" display="Перейти"/>
    <hyperlink ref="E4856" r:id="rId_hyperlink_4855" tooltip="Перейти" display="Перейти"/>
    <hyperlink ref="E4857" r:id="rId_hyperlink_4856" tooltip="Перейти" display="Перейти"/>
    <hyperlink ref="E4858" r:id="rId_hyperlink_4857" tooltip="Перейти" display="Перейти"/>
    <hyperlink ref="E4859" r:id="rId_hyperlink_4858" tooltip="Перейти" display="Перейти"/>
    <hyperlink ref="E4860" r:id="rId_hyperlink_4859" tooltip="Перейти" display="Перейти"/>
    <hyperlink ref="E4861" r:id="rId_hyperlink_4860" tooltip="Перейти" display="Перейти"/>
    <hyperlink ref="E4862" r:id="rId_hyperlink_4861" tooltip="Перейти" display="Перейти"/>
    <hyperlink ref="E4863" r:id="rId_hyperlink_4862" tooltip="Перейти" display="Перейти"/>
    <hyperlink ref="E4864" r:id="rId_hyperlink_4863" tooltip="Перейти" display="Перейти"/>
    <hyperlink ref="E4865" r:id="rId_hyperlink_4864" tooltip="Перейти" display="Перейти"/>
    <hyperlink ref="E4866" r:id="rId_hyperlink_4865" tooltip="Перейти" display="Перейти"/>
    <hyperlink ref="E4867" r:id="rId_hyperlink_4866" tooltip="Перейти" display="Перейти"/>
    <hyperlink ref="E4868" r:id="rId_hyperlink_4867" tooltip="Перейти" display="Перейти"/>
    <hyperlink ref="E4869" r:id="rId_hyperlink_4868" tooltip="Перейти" display="Перейти"/>
    <hyperlink ref="E4870" r:id="rId_hyperlink_4869" tooltip="Перейти" display="Перейти"/>
    <hyperlink ref="E4871" r:id="rId_hyperlink_4870" tooltip="Перейти" display="Перейти"/>
    <hyperlink ref="E4872" r:id="rId_hyperlink_4871" tooltip="Перейти" display="Перейти"/>
    <hyperlink ref="E4873" r:id="rId_hyperlink_4872" tooltip="Перейти" display="Перейти"/>
    <hyperlink ref="E4874" r:id="rId_hyperlink_4873" tooltip="Перейти" display="Перейти"/>
    <hyperlink ref="E4875" r:id="rId_hyperlink_4874" tooltip="Перейти" display="Перейти"/>
    <hyperlink ref="E4876" r:id="rId_hyperlink_4875" tooltip="Перейти" display="Перейти"/>
    <hyperlink ref="E4877" r:id="rId_hyperlink_4876" tooltip="Перейти" display="Перейти"/>
    <hyperlink ref="E4878" r:id="rId_hyperlink_4877" tooltip="Перейти" display="Перейти"/>
    <hyperlink ref="E4879" r:id="rId_hyperlink_4878" tooltip="Перейти" display="Перейти"/>
    <hyperlink ref="E4880" r:id="rId_hyperlink_4879" tooltip="Перейти" display="Перейти"/>
    <hyperlink ref="E4881" r:id="rId_hyperlink_4880" tooltip="Перейти" display="Перейти"/>
    <hyperlink ref="E4882" r:id="rId_hyperlink_4881" tooltip="Перейти" display="Перейти"/>
    <hyperlink ref="E4883" r:id="rId_hyperlink_4882" tooltip="Перейти" display="Перейти"/>
    <hyperlink ref="E4884" r:id="rId_hyperlink_4883" tooltip="Перейти" display="Перейти"/>
    <hyperlink ref="E4885" r:id="rId_hyperlink_4884" tooltip="Перейти" display="Перейти"/>
    <hyperlink ref="E4886" r:id="rId_hyperlink_4885" tooltip="Перейти" display="Перейти"/>
    <hyperlink ref="E4887" r:id="rId_hyperlink_4886" tooltip="Перейти" display="Перейти"/>
    <hyperlink ref="E4888" r:id="rId_hyperlink_4887" tooltip="Перейти" display="Перейти"/>
    <hyperlink ref="E4889" r:id="rId_hyperlink_4888" tooltip="Перейти" display="Перейти"/>
    <hyperlink ref="E4890" r:id="rId_hyperlink_4889" tooltip="Перейти" display="Перейти"/>
    <hyperlink ref="E4891" r:id="rId_hyperlink_4890" tooltip="Перейти" display="Перейти"/>
    <hyperlink ref="E4892" r:id="rId_hyperlink_4891" tooltip="Перейти" display="Перейти"/>
    <hyperlink ref="E4893" r:id="rId_hyperlink_4892" tooltip="Перейти" display="Перейти"/>
    <hyperlink ref="E4894" r:id="rId_hyperlink_4893" tooltip="Перейти" display="Перейти"/>
    <hyperlink ref="E4895" r:id="rId_hyperlink_4894" tooltip="Перейти" display="Перейти"/>
    <hyperlink ref="E4896" r:id="rId_hyperlink_4895" tooltip="Перейти" display="Перейти"/>
    <hyperlink ref="E4897" r:id="rId_hyperlink_4896" tooltip="Перейти" display="Перейти"/>
    <hyperlink ref="E4898" r:id="rId_hyperlink_4897" tooltip="Перейти" display="Перейти"/>
    <hyperlink ref="E4899" r:id="rId_hyperlink_4898" tooltip="Перейти" display="Перейти"/>
    <hyperlink ref="E4900" r:id="rId_hyperlink_4899" tooltip="Перейти" display="Перейти"/>
    <hyperlink ref="E4901" r:id="rId_hyperlink_4900" tooltip="Перейти" display="Перейти"/>
    <hyperlink ref="E4902" r:id="rId_hyperlink_4901" tooltip="Перейти" display="Перейти"/>
    <hyperlink ref="E4903" r:id="rId_hyperlink_4902" tooltip="Перейти" display="Перейти"/>
    <hyperlink ref="E4904" r:id="rId_hyperlink_4903" tooltip="Перейти" display="Перейти"/>
    <hyperlink ref="E4905" r:id="rId_hyperlink_4904" tooltip="Перейти" display="Перейти"/>
    <hyperlink ref="E4906" r:id="rId_hyperlink_4905" tooltip="Перейти" display="Перейти"/>
    <hyperlink ref="E4907" r:id="rId_hyperlink_4906" tooltip="Перейти" display="Перейти"/>
    <hyperlink ref="E4908" r:id="rId_hyperlink_4907" tooltip="Перейти" display="Перейти"/>
    <hyperlink ref="E4909" r:id="rId_hyperlink_4908" tooltip="Перейти" display="Перейти"/>
    <hyperlink ref="E4910" r:id="rId_hyperlink_4909" tooltip="Перейти" display="Перейти"/>
    <hyperlink ref="E4911" r:id="rId_hyperlink_4910" tooltip="Перейти" display="Перейти"/>
    <hyperlink ref="E4912" r:id="rId_hyperlink_4911" tooltip="Перейти" display="Перейти"/>
    <hyperlink ref="E4913" r:id="rId_hyperlink_4912" tooltip="Перейти" display="Перейти"/>
    <hyperlink ref="E4914" r:id="rId_hyperlink_4913" tooltip="Перейти" display="Перейти"/>
    <hyperlink ref="E4915" r:id="rId_hyperlink_4914" tooltip="Перейти" display="Перейти"/>
    <hyperlink ref="E4916" r:id="rId_hyperlink_4915" tooltip="Перейти" display="Перейти"/>
    <hyperlink ref="E4917" r:id="rId_hyperlink_4916" tooltip="Перейти" display="Перейти"/>
    <hyperlink ref="E4918" r:id="rId_hyperlink_4917" tooltip="Перейти" display="Перейти"/>
    <hyperlink ref="E4919" r:id="rId_hyperlink_4918" tooltip="Перейти" display="Перейти"/>
    <hyperlink ref="E4920" r:id="rId_hyperlink_4919" tooltip="Перейти" display="Перейти"/>
    <hyperlink ref="E4921" r:id="rId_hyperlink_4920" tooltip="Перейти" display="Перейти"/>
    <hyperlink ref="E4922" r:id="rId_hyperlink_4921" tooltip="Перейти" display="Перейти"/>
    <hyperlink ref="E4923" r:id="rId_hyperlink_4922" tooltip="Перейти" display="Перейти"/>
    <hyperlink ref="E4924" r:id="rId_hyperlink_4923" tooltip="Перейти" display="Перейти"/>
    <hyperlink ref="E4925" r:id="rId_hyperlink_4924" tooltip="Перейти" display="Перейти"/>
    <hyperlink ref="E4926" r:id="rId_hyperlink_4925" tooltip="Перейти" display="Перейти"/>
    <hyperlink ref="E4927" r:id="rId_hyperlink_4926" tooltip="Перейти" display="Перейти"/>
    <hyperlink ref="E4928" r:id="rId_hyperlink_4927" tooltip="Перейти" display="Перейти"/>
    <hyperlink ref="E4929" r:id="rId_hyperlink_4928" tooltip="Перейти" display="Перейти"/>
    <hyperlink ref="E4930" r:id="rId_hyperlink_4929" tooltip="Перейти" display="Перейти"/>
    <hyperlink ref="E4931" r:id="rId_hyperlink_4930" tooltip="Перейти" display="Перейти"/>
    <hyperlink ref="E4932" r:id="rId_hyperlink_4931" tooltip="Перейти" display="Перейти"/>
    <hyperlink ref="E4933" r:id="rId_hyperlink_4932" tooltip="Перейти" display="Перейти"/>
    <hyperlink ref="E4934" r:id="rId_hyperlink_4933" tooltip="Перейти" display="Перейти"/>
    <hyperlink ref="E4935" r:id="rId_hyperlink_4934" tooltip="Перейти" display="Перейти"/>
    <hyperlink ref="E4936" r:id="rId_hyperlink_4935" tooltip="Перейти" display="Перейти"/>
    <hyperlink ref="E4937" r:id="rId_hyperlink_4936" tooltip="Перейти" display="Перейти"/>
    <hyperlink ref="E4938" r:id="rId_hyperlink_4937" tooltip="Перейти" display="Перейти"/>
    <hyperlink ref="E4939" r:id="rId_hyperlink_4938" tooltip="Перейти" display="Перейти"/>
    <hyperlink ref="E4940" r:id="rId_hyperlink_4939" tooltip="Перейти" display="Перейти"/>
    <hyperlink ref="E4941" r:id="rId_hyperlink_4940" tooltip="Перейти" display="Перейти"/>
    <hyperlink ref="E4942" r:id="rId_hyperlink_4941" tooltip="Перейти" display="Перейти"/>
    <hyperlink ref="E4943" r:id="rId_hyperlink_4942" tooltip="Перейти" display="Перейти"/>
    <hyperlink ref="E4944" r:id="rId_hyperlink_4943" tooltip="Перейти" display="Перейти"/>
    <hyperlink ref="E4945" r:id="rId_hyperlink_4944" tooltip="Перейти" display="Перейти"/>
    <hyperlink ref="E4946" r:id="rId_hyperlink_4945" tooltip="Перейти" display="Перейти"/>
    <hyperlink ref="E4947" r:id="rId_hyperlink_4946" tooltip="Перейти" display="Перейти"/>
    <hyperlink ref="E4948" r:id="rId_hyperlink_4947" tooltip="Перейти" display="Перейти"/>
    <hyperlink ref="E4949" r:id="rId_hyperlink_4948" tooltip="Перейти" display="Перейти"/>
    <hyperlink ref="E4950" r:id="rId_hyperlink_4949" tooltip="Перейти" display="Перейти"/>
    <hyperlink ref="E4951" r:id="rId_hyperlink_4950" tooltip="Перейти" display="Перейти"/>
    <hyperlink ref="E4952" r:id="rId_hyperlink_4951" tooltip="Перейти" display="Перейти"/>
    <hyperlink ref="E4953" r:id="rId_hyperlink_4952" tooltip="Перейти" display="Перейти"/>
    <hyperlink ref="E4954" r:id="rId_hyperlink_4953" tooltip="Перейти" display="Перейти"/>
    <hyperlink ref="E4955" r:id="rId_hyperlink_4954" tooltip="Перейти" display="Перейти"/>
    <hyperlink ref="E4956" r:id="rId_hyperlink_4955" tooltip="Перейти" display="Перейти"/>
    <hyperlink ref="E4957" r:id="rId_hyperlink_4956" tooltip="Перейти" display="Перейти"/>
    <hyperlink ref="E4958" r:id="rId_hyperlink_4957" tooltip="Перейти" display="Перейти"/>
    <hyperlink ref="E4959" r:id="rId_hyperlink_4958" tooltip="Перейти" display="Перейти"/>
    <hyperlink ref="E4960" r:id="rId_hyperlink_4959" tooltip="Перейти" display="Перейти"/>
    <hyperlink ref="E4961" r:id="rId_hyperlink_4960" tooltip="Перейти" display="Перейти"/>
    <hyperlink ref="E4962" r:id="rId_hyperlink_4961" tooltip="Перейти" display="Перейти"/>
    <hyperlink ref="E4963" r:id="rId_hyperlink_4962" tooltip="Перейти" display="Перейти"/>
    <hyperlink ref="E4964" r:id="rId_hyperlink_4963" tooltip="Перейти" display="Перейти"/>
    <hyperlink ref="E4965" r:id="rId_hyperlink_4964" tooltip="Перейти" display="Перейти"/>
    <hyperlink ref="E4966" r:id="rId_hyperlink_4965" tooltip="Перейти" display="Перейти"/>
    <hyperlink ref="E4967" r:id="rId_hyperlink_4966" tooltip="Перейти" display="Перейти"/>
    <hyperlink ref="E4968" r:id="rId_hyperlink_4967" tooltip="Перейти" display="Перейти"/>
    <hyperlink ref="E4969" r:id="rId_hyperlink_4968" tooltip="Перейти" display="Перейти"/>
    <hyperlink ref="E4970" r:id="rId_hyperlink_4969" tooltip="Перейти" display="Перейти"/>
    <hyperlink ref="E4971" r:id="rId_hyperlink_4970" tooltip="Перейти" display="Перейти"/>
    <hyperlink ref="E4972" r:id="rId_hyperlink_4971" tooltip="Перейти" display="Перейти"/>
    <hyperlink ref="E4973" r:id="rId_hyperlink_4972" tooltip="Перейти" display="Перейти"/>
    <hyperlink ref="E4974" r:id="rId_hyperlink_4973" tooltip="Перейти" display="Перейти"/>
    <hyperlink ref="E4975" r:id="rId_hyperlink_4974" tooltip="Перейти" display="Перейти"/>
    <hyperlink ref="E4976" r:id="rId_hyperlink_4975" tooltip="Перейти" display="Перейти"/>
    <hyperlink ref="E4977" r:id="rId_hyperlink_4976" tooltip="Перейти" display="Перейти"/>
    <hyperlink ref="E4978" r:id="rId_hyperlink_4977" tooltip="Перейти" display="Перейти"/>
    <hyperlink ref="E4979" r:id="rId_hyperlink_4978" tooltip="Перейти" display="Перейти"/>
    <hyperlink ref="E4980" r:id="rId_hyperlink_4979" tooltip="Перейти" display="Перейти"/>
    <hyperlink ref="E4981" r:id="rId_hyperlink_4980" tooltip="Перейти" display="Перейти"/>
    <hyperlink ref="E4982" r:id="rId_hyperlink_4981" tooltip="Перейти" display="Перейти"/>
    <hyperlink ref="E4983" r:id="rId_hyperlink_4982" tooltip="Перейти" display="Перейти"/>
    <hyperlink ref="E4984" r:id="rId_hyperlink_4983" tooltip="Перейти" display="Перейти"/>
    <hyperlink ref="E4985" r:id="rId_hyperlink_4984" tooltip="Перейти" display="Перейти"/>
    <hyperlink ref="E4986" r:id="rId_hyperlink_4985" tooltip="Перейти" display="Перейти"/>
    <hyperlink ref="E4987" r:id="rId_hyperlink_4986" tooltip="Перейти" display="Перейти"/>
    <hyperlink ref="E4988" r:id="rId_hyperlink_4987" tooltip="Перейти" display="Перейти"/>
    <hyperlink ref="E4989" r:id="rId_hyperlink_4988" tooltip="Перейти" display="Перейти"/>
    <hyperlink ref="E4990" r:id="rId_hyperlink_4989" tooltip="Перейти" display="Перейти"/>
    <hyperlink ref="E4991" r:id="rId_hyperlink_4990" tooltip="Перейти" display="Перейти"/>
    <hyperlink ref="E4992" r:id="rId_hyperlink_4991" tooltip="Перейти" display="Перейти"/>
    <hyperlink ref="E4993" r:id="rId_hyperlink_4992" tooltip="Перейти" display="Перейти"/>
    <hyperlink ref="E4994" r:id="rId_hyperlink_4993" tooltip="Перейти" display="Перейти"/>
    <hyperlink ref="E4995" r:id="rId_hyperlink_4994" tooltip="Перейти" display="Перейти"/>
    <hyperlink ref="E4996" r:id="rId_hyperlink_4995" tooltip="Перейти" display="Перейти"/>
    <hyperlink ref="E4997" r:id="rId_hyperlink_4996" tooltip="Перейти" display="Перейти"/>
    <hyperlink ref="E4998" r:id="rId_hyperlink_4997" tooltip="Перейти" display="Перейти"/>
    <hyperlink ref="E4999" r:id="rId_hyperlink_4998" tooltip="Перейти" display="Перейти"/>
    <hyperlink ref="E5000" r:id="rId_hyperlink_4999" tooltip="Перейти" display="Перейти"/>
    <hyperlink ref="E5001" r:id="rId_hyperlink_5000" tooltip="Перейти" display="Перейти"/>
    <hyperlink ref="E5002" r:id="rId_hyperlink_5001" tooltip="Перейти" display="Перейти"/>
    <hyperlink ref="E5003" r:id="rId_hyperlink_5002" tooltip="Перейти" display="Перейти"/>
    <hyperlink ref="E5004" r:id="rId_hyperlink_5003" tooltip="Перейти" display="Перейти"/>
    <hyperlink ref="E5005" r:id="rId_hyperlink_5004" tooltip="Перейти" display="Перейти"/>
    <hyperlink ref="E5006" r:id="rId_hyperlink_5005" tooltip="Перейти" display="Перейти"/>
    <hyperlink ref="E5007" r:id="rId_hyperlink_5006" tooltip="Перейти" display="Перейти"/>
    <hyperlink ref="E5008" r:id="rId_hyperlink_5007" tooltip="Перейти" display="Перейти"/>
    <hyperlink ref="E5009" r:id="rId_hyperlink_5008" tooltip="Перейти" display="Перейти"/>
    <hyperlink ref="E5010" r:id="rId_hyperlink_5009" tooltip="Перейти" display="Перейти"/>
    <hyperlink ref="E5011" r:id="rId_hyperlink_5010" tooltip="Перейти" display="Перейти"/>
    <hyperlink ref="E5012" r:id="rId_hyperlink_5011" tooltip="Перейти" display="Перейти"/>
    <hyperlink ref="E5013" r:id="rId_hyperlink_5012" tooltip="Перейти" display="Перейти"/>
    <hyperlink ref="E5014" r:id="rId_hyperlink_5013" tooltip="Перейти" display="Перейти"/>
    <hyperlink ref="E5015" r:id="rId_hyperlink_5014" tooltip="Перейти" display="Перейти"/>
    <hyperlink ref="E5016" r:id="rId_hyperlink_5015" tooltip="Перейти" display="Перейти"/>
    <hyperlink ref="E5017" r:id="rId_hyperlink_5016" tooltip="Перейти" display="Перейти"/>
    <hyperlink ref="E5018" r:id="rId_hyperlink_5017" tooltip="Перейти" display="Перейти"/>
    <hyperlink ref="E5019" r:id="rId_hyperlink_5018" tooltip="Перейти" display="Перейти"/>
    <hyperlink ref="E5020" r:id="rId_hyperlink_5019" tooltip="Перейти" display="Перейти"/>
    <hyperlink ref="E5021" r:id="rId_hyperlink_5020" tooltip="Перейти" display="Перейти"/>
    <hyperlink ref="E5022" r:id="rId_hyperlink_5021" tooltip="Перейти" display="Перейти"/>
    <hyperlink ref="E5023" r:id="rId_hyperlink_5022" tooltip="Перейти" display="Перейти"/>
    <hyperlink ref="E5024" r:id="rId_hyperlink_5023" tooltip="Перейти" display="Перейти"/>
    <hyperlink ref="E5025" r:id="rId_hyperlink_5024" tooltip="Перейти" display="Перейти"/>
    <hyperlink ref="E5026" r:id="rId_hyperlink_5025" tooltip="Перейти" display="Перейти"/>
    <hyperlink ref="E5027" r:id="rId_hyperlink_5026" tooltip="Перейти" display="Перейти"/>
    <hyperlink ref="E5028" r:id="rId_hyperlink_5027" tooltip="Перейти" display="Перейти"/>
    <hyperlink ref="E5029" r:id="rId_hyperlink_5028" tooltip="Перейти" display="Перейти"/>
    <hyperlink ref="E5030" r:id="rId_hyperlink_5029" tooltip="Перейти" display="Перейти"/>
    <hyperlink ref="E5031" r:id="rId_hyperlink_5030" tooltip="Перейти" display="Перейти"/>
    <hyperlink ref="E5032" r:id="rId_hyperlink_5031" tooltip="Перейти" display="Перейти"/>
    <hyperlink ref="E5033" r:id="rId_hyperlink_5032" tooltip="Перейти" display="Перейти"/>
    <hyperlink ref="E5034" r:id="rId_hyperlink_5033" tooltip="Перейти" display="Перейти"/>
    <hyperlink ref="E5035" r:id="rId_hyperlink_5034" tooltip="Перейти" display="Перейти"/>
    <hyperlink ref="E5036" r:id="rId_hyperlink_5035" tooltip="Перейти" display="Перейти"/>
    <hyperlink ref="E5037" r:id="rId_hyperlink_5036" tooltip="Перейти" display="Перейти"/>
    <hyperlink ref="E5038" r:id="rId_hyperlink_5037" tooltip="Перейти" display="Перейти"/>
    <hyperlink ref="E5039" r:id="rId_hyperlink_5038" tooltip="Перейти" display="Перейти"/>
    <hyperlink ref="E5040" r:id="rId_hyperlink_5039" tooltip="Перейти" display="Перейти"/>
    <hyperlink ref="E5041" r:id="rId_hyperlink_5040" tooltip="Перейти" display="Перейти"/>
    <hyperlink ref="E5042" r:id="rId_hyperlink_5041" tooltip="Перейти" display="Перейти"/>
    <hyperlink ref="E5043" r:id="rId_hyperlink_5042" tooltip="Перейти" display="Перейти"/>
    <hyperlink ref="E5044" r:id="rId_hyperlink_5043" tooltip="Перейти" display="Перейти"/>
    <hyperlink ref="E5045" r:id="rId_hyperlink_5044" tooltip="Перейти" display="Перейти"/>
    <hyperlink ref="E5046" r:id="rId_hyperlink_5045" tooltip="Перейти" display="Перейти"/>
    <hyperlink ref="E5047" r:id="rId_hyperlink_5046" tooltip="Перейти" display="Перейти"/>
    <hyperlink ref="E5048" r:id="rId_hyperlink_5047" tooltip="Перейти" display="Перейти"/>
    <hyperlink ref="E5049" r:id="rId_hyperlink_5048" tooltip="Перейти" display="Перейти"/>
    <hyperlink ref="E5050" r:id="rId_hyperlink_5049" tooltip="Перейти" display="Перейти"/>
    <hyperlink ref="E5051" r:id="rId_hyperlink_5050" tooltip="Перейти" display="Перейти"/>
    <hyperlink ref="E5052" r:id="rId_hyperlink_5051" tooltip="Перейти" display="Перейти"/>
    <hyperlink ref="E5053" r:id="rId_hyperlink_5052" tooltip="Перейти" display="Перейти"/>
    <hyperlink ref="E5054" r:id="rId_hyperlink_5053" tooltip="Перейти" display="Перейти"/>
    <hyperlink ref="E5055" r:id="rId_hyperlink_5054" tooltip="Перейти" display="Перейти"/>
    <hyperlink ref="E5056" r:id="rId_hyperlink_5055" tooltip="Перейти" display="Перейти"/>
    <hyperlink ref="E5057" r:id="rId_hyperlink_5056" tooltip="Перейти" display="Перейти"/>
    <hyperlink ref="E5058" r:id="rId_hyperlink_5057" tooltip="Перейти" display="Перейти"/>
    <hyperlink ref="E5059" r:id="rId_hyperlink_5058" tooltip="Перейти" display="Перейти"/>
    <hyperlink ref="E5060" r:id="rId_hyperlink_5059" tooltip="Перейти" display="Перейти"/>
    <hyperlink ref="E5061" r:id="rId_hyperlink_5060" tooltip="Перейти" display="Перейти"/>
    <hyperlink ref="E5062" r:id="rId_hyperlink_5061" tooltip="Перейти" display="Перейти"/>
    <hyperlink ref="E5063" r:id="rId_hyperlink_5062" tooltip="Перейти" display="Перейти"/>
    <hyperlink ref="E5064" r:id="rId_hyperlink_5063" tooltip="Перейти" display="Перейти"/>
    <hyperlink ref="E5065" r:id="rId_hyperlink_5064" tooltip="Перейти" display="Перейти"/>
    <hyperlink ref="E5066" r:id="rId_hyperlink_5065" tooltip="Перейти" display="Перейти"/>
    <hyperlink ref="E5067" r:id="rId_hyperlink_5066" tooltip="Перейти" display="Перейти"/>
    <hyperlink ref="E5068" r:id="rId_hyperlink_5067" tooltip="Перейти" display="Перейти"/>
    <hyperlink ref="E5069" r:id="rId_hyperlink_5068" tooltip="Перейти" display="Перейти"/>
    <hyperlink ref="E5070" r:id="rId_hyperlink_5069" tooltip="Перейти" display="Перейти"/>
    <hyperlink ref="E5071" r:id="rId_hyperlink_5070" tooltip="Перейти" display="Перейти"/>
    <hyperlink ref="E5072" r:id="rId_hyperlink_5071" tooltip="Перейти" display="Перейти"/>
    <hyperlink ref="E5073" r:id="rId_hyperlink_5072" tooltip="Перейти" display="Перейти"/>
    <hyperlink ref="E5074" r:id="rId_hyperlink_5073" tooltip="Перейти" display="Перейти"/>
    <hyperlink ref="E5075" r:id="rId_hyperlink_5074" tooltip="Перейти" display="Перейти"/>
    <hyperlink ref="E5076" r:id="rId_hyperlink_5075" tooltip="Перейти" display="Перейти"/>
    <hyperlink ref="E5077" r:id="rId_hyperlink_5076" tooltip="Перейти" display="Перейти"/>
    <hyperlink ref="E5078" r:id="rId_hyperlink_5077" tooltip="Перейти" display="Перейти"/>
    <hyperlink ref="E5079" r:id="rId_hyperlink_5078" tooltip="Перейти" display="Перейти"/>
    <hyperlink ref="E5080" r:id="rId_hyperlink_5079" tooltip="Перейти" display="Перейти"/>
    <hyperlink ref="E5081" r:id="rId_hyperlink_5080" tooltip="Перейти" display="Перейти"/>
    <hyperlink ref="E5082" r:id="rId_hyperlink_5081" tooltip="Перейти" display="Перейти"/>
    <hyperlink ref="E5083" r:id="rId_hyperlink_5082" tooltip="Перейти" display="Перейти"/>
    <hyperlink ref="E5084" r:id="rId_hyperlink_5083" tooltip="Перейти" display="Перейти"/>
    <hyperlink ref="E5085" r:id="rId_hyperlink_5084" tooltip="Перейти" display="Перейти"/>
    <hyperlink ref="E5086" r:id="rId_hyperlink_5085" tooltip="Перейти" display="Перейти"/>
    <hyperlink ref="E5087" r:id="rId_hyperlink_5086" tooltip="Перейти" display="Перейти"/>
    <hyperlink ref="E5088" r:id="rId_hyperlink_5087" tooltip="Перейти" display="Перейти"/>
    <hyperlink ref="E5089" r:id="rId_hyperlink_5088" tooltip="Перейти" display="Перейти"/>
    <hyperlink ref="E5090" r:id="rId_hyperlink_5089" tooltip="Перейти" display="Перейти"/>
    <hyperlink ref="E5091" r:id="rId_hyperlink_5090" tooltip="Перейти" display="Перейти"/>
    <hyperlink ref="E5092" r:id="rId_hyperlink_5091" tooltip="Перейти" display="Перейти"/>
    <hyperlink ref="E5093" r:id="rId_hyperlink_5092" tooltip="Перейти" display="Перейти"/>
    <hyperlink ref="E5094" r:id="rId_hyperlink_5093" tooltip="Перейти" display="Перейти"/>
    <hyperlink ref="E5095" r:id="rId_hyperlink_5094" tooltip="Перейти" display="Перейти"/>
    <hyperlink ref="E5096" r:id="rId_hyperlink_5095" tooltip="Перейти" display="Перейти"/>
    <hyperlink ref="E5097" r:id="rId_hyperlink_5096" tooltip="Перейти" display="Перейти"/>
    <hyperlink ref="E5098" r:id="rId_hyperlink_5097" tooltip="Перейти" display="Перейти"/>
    <hyperlink ref="E5099" r:id="rId_hyperlink_5098" tooltip="Перейти" display="Перейти"/>
    <hyperlink ref="E5100" r:id="rId_hyperlink_5099" tooltip="Перейти" display="Перейти"/>
    <hyperlink ref="E5101" r:id="rId_hyperlink_5100" tooltip="Перейти" display="Перейти"/>
    <hyperlink ref="E5102" r:id="rId_hyperlink_5101" tooltip="Перейти" display="Перейти"/>
    <hyperlink ref="E5103" r:id="rId_hyperlink_5102" tooltip="Перейти" display="Перейти"/>
    <hyperlink ref="E5104" r:id="rId_hyperlink_5103" tooltip="Перейти" display="Перейти"/>
    <hyperlink ref="E5105" r:id="rId_hyperlink_5104" tooltip="Перейти" display="Перейти"/>
    <hyperlink ref="E5106" r:id="rId_hyperlink_5105" tooltip="Перейти" display="Перейти"/>
    <hyperlink ref="E5107" r:id="rId_hyperlink_5106" tooltip="Перейти" display="Перейти"/>
    <hyperlink ref="E5108" r:id="rId_hyperlink_5107" tooltip="Перейти" display="Перейти"/>
    <hyperlink ref="E5109" r:id="rId_hyperlink_5108" tooltip="Перейти" display="Перейти"/>
    <hyperlink ref="E5110" r:id="rId_hyperlink_5109" tooltip="Перейти" display="Перейти"/>
    <hyperlink ref="E5111" r:id="rId_hyperlink_5110" tooltip="Перейти" display="Перейти"/>
    <hyperlink ref="E5112" r:id="rId_hyperlink_5111" tooltip="Перейти" display="Перейти"/>
    <hyperlink ref="E5113" r:id="rId_hyperlink_5112" tooltip="Перейти" display="Перейти"/>
    <hyperlink ref="E5114" r:id="rId_hyperlink_5113" tooltip="Перейти" display="Перейти"/>
    <hyperlink ref="E5115" r:id="rId_hyperlink_5114" tooltip="Перейти" display="Перейти"/>
    <hyperlink ref="E5116" r:id="rId_hyperlink_5115" tooltip="Перейти" display="Перейти"/>
    <hyperlink ref="E5117" r:id="rId_hyperlink_5116" tooltip="Перейти" display="Перейти"/>
    <hyperlink ref="E5118" r:id="rId_hyperlink_5117" tooltip="Перейти" display="Перейти"/>
    <hyperlink ref="E5119" r:id="rId_hyperlink_5118" tooltip="Перейти" display="Перейти"/>
    <hyperlink ref="E5120" r:id="rId_hyperlink_5119" tooltip="Перейти" display="Перейти"/>
    <hyperlink ref="E5121" r:id="rId_hyperlink_5120" tooltip="Перейти" display="Перейти"/>
    <hyperlink ref="E5122" r:id="rId_hyperlink_5121" tooltip="Перейти" display="Перейти"/>
    <hyperlink ref="E5123" r:id="rId_hyperlink_5122" tooltip="Перейти" display="Перейти"/>
    <hyperlink ref="E5124" r:id="rId_hyperlink_5123" tooltip="Перейти" display="Перейти"/>
    <hyperlink ref="E5125" r:id="rId_hyperlink_5124" tooltip="Перейти" display="Перейти"/>
    <hyperlink ref="E5126" r:id="rId_hyperlink_5125" tooltip="Перейти" display="Перейти"/>
    <hyperlink ref="E5127" r:id="rId_hyperlink_5126" tooltip="Перейти" display="Перейти"/>
    <hyperlink ref="E5128" r:id="rId_hyperlink_5127" tooltip="Перейти" display="Перейти"/>
    <hyperlink ref="E5129" r:id="rId_hyperlink_5128" tooltip="Перейти" display="Перейти"/>
    <hyperlink ref="E5130" r:id="rId_hyperlink_5129" tooltip="Перейти" display="Перейти"/>
    <hyperlink ref="E5131" r:id="rId_hyperlink_5130" tooltip="Перейти" display="Перейти"/>
    <hyperlink ref="E5132" r:id="rId_hyperlink_5131" tooltip="Перейти" display="Перейти"/>
    <hyperlink ref="E5133" r:id="rId_hyperlink_5132" tooltip="Перейти" display="Перейти"/>
    <hyperlink ref="E5134" r:id="rId_hyperlink_5133" tooltip="Перейти" display="Перейти"/>
    <hyperlink ref="E5135" r:id="rId_hyperlink_5134" tooltip="Перейти" display="Перейти"/>
    <hyperlink ref="E5136" r:id="rId_hyperlink_5135" tooltip="Перейти" display="Перейти"/>
    <hyperlink ref="E5137" r:id="rId_hyperlink_5136" tooltip="Перейти" display="Перейти"/>
    <hyperlink ref="E5138" r:id="rId_hyperlink_5137" tooltip="Перейти" display="Перейти"/>
    <hyperlink ref="E5139" r:id="rId_hyperlink_5138" tooltip="Перейти" display="Перейти"/>
    <hyperlink ref="E5140" r:id="rId_hyperlink_5139" tooltip="Перейти" display="Перейти"/>
    <hyperlink ref="E5141" r:id="rId_hyperlink_5140" tooltip="Перейти" display="Перейти"/>
    <hyperlink ref="E5142" r:id="rId_hyperlink_5141" tooltip="Перейти" display="Перейти"/>
    <hyperlink ref="E5143" r:id="rId_hyperlink_5142" tooltip="Перейти" display="Перейти"/>
    <hyperlink ref="E5144" r:id="rId_hyperlink_5143" tooltip="Перейти" display="Перейти"/>
    <hyperlink ref="E5145" r:id="rId_hyperlink_5144" tooltip="Перейти" display="Перейти"/>
    <hyperlink ref="E5146" r:id="rId_hyperlink_5145" tooltip="Перейти" display="Перейти"/>
    <hyperlink ref="E5147" r:id="rId_hyperlink_5146" tooltip="Перейти" display="Перейти"/>
    <hyperlink ref="E5148" r:id="rId_hyperlink_5147" tooltip="Перейти" display="Перейти"/>
    <hyperlink ref="E5149" r:id="rId_hyperlink_5148" tooltip="Перейти" display="Перейти"/>
    <hyperlink ref="E5150" r:id="rId_hyperlink_5149" tooltip="Перейти" display="Перейти"/>
    <hyperlink ref="E5151" r:id="rId_hyperlink_5150" tooltip="Перейти" display="Перейти"/>
    <hyperlink ref="E5152" r:id="rId_hyperlink_5151" tooltip="Перейти" display="Перейти"/>
    <hyperlink ref="E5153" r:id="rId_hyperlink_5152" tooltip="Перейти" display="Перейти"/>
    <hyperlink ref="E5154" r:id="rId_hyperlink_5153" tooltip="Перейти" display="Перейти"/>
    <hyperlink ref="E5155" r:id="rId_hyperlink_5154" tooltip="Перейти" display="Перейти"/>
    <hyperlink ref="E5156" r:id="rId_hyperlink_5155" tooltip="Перейти" display="Перейти"/>
    <hyperlink ref="E5157" r:id="rId_hyperlink_5156" tooltip="Перейти" display="Перейти"/>
    <hyperlink ref="E5158" r:id="rId_hyperlink_5157" tooltip="Перейти" display="Перейти"/>
    <hyperlink ref="E5159" r:id="rId_hyperlink_5158" tooltip="Перейти" display="Перейти"/>
    <hyperlink ref="E5160" r:id="rId_hyperlink_5159" tooltip="Перейти" display="Перейти"/>
    <hyperlink ref="E5161" r:id="rId_hyperlink_5160" tooltip="Перейти" display="Перейти"/>
    <hyperlink ref="E5162" r:id="rId_hyperlink_5161" tooltip="Перейти" display="Перейти"/>
    <hyperlink ref="E5163" r:id="rId_hyperlink_5162" tooltip="Перейти" display="Перейти"/>
    <hyperlink ref="E5164" r:id="rId_hyperlink_5163" tooltip="Перейти" display="Перейти"/>
    <hyperlink ref="E5165" r:id="rId_hyperlink_5164" tooltip="Перейти" display="Перейти"/>
    <hyperlink ref="E5166" r:id="rId_hyperlink_5165" tooltip="Перейти" display="Перейти"/>
    <hyperlink ref="E5167" r:id="rId_hyperlink_5166" tooltip="Перейти" display="Перейти"/>
    <hyperlink ref="E5168" r:id="rId_hyperlink_5167" tooltip="Перейти" display="Перейти"/>
    <hyperlink ref="E5169" r:id="rId_hyperlink_5168" tooltip="Перейти" display="Перейти"/>
    <hyperlink ref="E5170" r:id="rId_hyperlink_5169" tooltip="Перейти" display="Перейти"/>
    <hyperlink ref="E5171" r:id="rId_hyperlink_5170" tooltip="Перейти" display="Перейти"/>
    <hyperlink ref="E5172" r:id="rId_hyperlink_5171" tooltip="Перейти" display="Перейти"/>
    <hyperlink ref="E5173" r:id="rId_hyperlink_5172" tooltip="Перейти" display="Перейти"/>
    <hyperlink ref="E5174" r:id="rId_hyperlink_5173" tooltip="Перейти" display="Перейти"/>
    <hyperlink ref="E5175" r:id="rId_hyperlink_5174" tooltip="Перейти" display="Перейти"/>
    <hyperlink ref="E5176" r:id="rId_hyperlink_5175" tooltip="Перейти" display="Перейти"/>
    <hyperlink ref="E5177" r:id="rId_hyperlink_5176" tooltip="Перейти" display="Перейти"/>
    <hyperlink ref="E5178" r:id="rId_hyperlink_5177" tooltip="Перейти" display="Перейти"/>
    <hyperlink ref="E5179" r:id="rId_hyperlink_5178" tooltip="Перейти" display="Перейти"/>
    <hyperlink ref="E5180" r:id="rId_hyperlink_5179" tooltip="Перейти" display="Перейти"/>
    <hyperlink ref="E5181" r:id="rId_hyperlink_5180" tooltip="Перейти" display="Перейти"/>
    <hyperlink ref="E5182" r:id="rId_hyperlink_5181" tooltip="Перейти" display="Перейти"/>
    <hyperlink ref="E5183" r:id="rId_hyperlink_5182" tooltip="Перейти" display="Перейти"/>
    <hyperlink ref="E5184" r:id="rId_hyperlink_5183" tooltip="Перейти" display="Перейти"/>
    <hyperlink ref="E5185" r:id="rId_hyperlink_5184" tooltip="Перейти" display="Перейти"/>
    <hyperlink ref="E5186" r:id="rId_hyperlink_5185" tooltip="Перейти" display="Перейти"/>
    <hyperlink ref="E5187" r:id="rId_hyperlink_5186" tooltip="Перейти" display="Перейти"/>
    <hyperlink ref="E5188" r:id="rId_hyperlink_5187" tooltip="Перейти" display="Перейти"/>
    <hyperlink ref="E5189" r:id="rId_hyperlink_5188" tooltip="Перейти" display="Перейти"/>
    <hyperlink ref="E5190" r:id="rId_hyperlink_5189" tooltip="Перейти" display="Перейти"/>
    <hyperlink ref="E5191" r:id="rId_hyperlink_5190" tooltip="Перейти" display="Перейти"/>
    <hyperlink ref="E5192" r:id="rId_hyperlink_5191" tooltip="Перейти" display="Перейти"/>
    <hyperlink ref="E5193" r:id="rId_hyperlink_5192" tooltip="Перейти" display="Перейти"/>
    <hyperlink ref="E5194" r:id="rId_hyperlink_5193" tooltip="Перейти" display="Перейти"/>
    <hyperlink ref="E5195" r:id="rId_hyperlink_5194" tooltip="Перейти" display="Перейти"/>
    <hyperlink ref="E5196" r:id="rId_hyperlink_5195" tooltip="Перейти" display="Перейти"/>
    <hyperlink ref="E5197" r:id="rId_hyperlink_5196" tooltip="Перейти" display="Перейти"/>
    <hyperlink ref="E5198" r:id="rId_hyperlink_5197" tooltip="Перейти" display="Перейти"/>
    <hyperlink ref="E5199" r:id="rId_hyperlink_5198" tooltip="Перейти" display="Перейти"/>
    <hyperlink ref="E5200" r:id="rId_hyperlink_5199" tooltip="Перейти" display="Перейти"/>
    <hyperlink ref="E5201" r:id="rId_hyperlink_5200" tooltip="Перейти" display="Перейти"/>
    <hyperlink ref="E5202" r:id="rId_hyperlink_5201" tooltip="Перейти" display="Перейти"/>
    <hyperlink ref="E5203" r:id="rId_hyperlink_5202" tooltip="Перейти" display="Перейти"/>
    <hyperlink ref="E5204" r:id="rId_hyperlink_5203" tooltip="Перейти" display="Перейти"/>
    <hyperlink ref="E5205" r:id="rId_hyperlink_5204" tooltip="Перейти" display="Перейти"/>
    <hyperlink ref="E5206" r:id="rId_hyperlink_5205" tooltip="Перейти" display="Перейти"/>
    <hyperlink ref="E5207" r:id="rId_hyperlink_5206" tooltip="Перейти" display="Перейти"/>
    <hyperlink ref="E5208" r:id="rId_hyperlink_5207" tooltip="Перейти" display="Перейти"/>
    <hyperlink ref="E5209" r:id="rId_hyperlink_5208" tooltip="Перейти" display="Перейти"/>
    <hyperlink ref="E5210" r:id="rId_hyperlink_5209" tooltip="Перейти" display="Перейти"/>
    <hyperlink ref="E5211" r:id="rId_hyperlink_5210" tooltip="Перейти" display="Перейти"/>
    <hyperlink ref="E5212" r:id="rId_hyperlink_5211" tooltip="Перейти" display="Перейти"/>
    <hyperlink ref="E5213" r:id="rId_hyperlink_5212" tooltip="Перейти" display="Перейти"/>
    <hyperlink ref="E5214" r:id="rId_hyperlink_5213" tooltip="Перейти" display="Перейти"/>
    <hyperlink ref="E5215" r:id="rId_hyperlink_5214" tooltip="Перейти" display="Перейти"/>
    <hyperlink ref="E5216" r:id="rId_hyperlink_5215" tooltip="Перейти" display="Перейти"/>
    <hyperlink ref="E5217" r:id="rId_hyperlink_5216" tooltip="Перейти" display="Перейти"/>
    <hyperlink ref="E5218" r:id="rId_hyperlink_5217" tooltip="Перейти" display="Перейти"/>
    <hyperlink ref="E5219" r:id="rId_hyperlink_5218" tooltip="Перейти" display="Перейти"/>
    <hyperlink ref="E5220" r:id="rId_hyperlink_5219" tooltip="Перейти" display="Перейти"/>
    <hyperlink ref="E5221" r:id="rId_hyperlink_5220" tooltip="Перейти" display="Перейти"/>
    <hyperlink ref="E5222" r:id="rId_hyperlink_5221" tooltip="Перейти" display="Перейти"/>
    <hyperlink ref="E5223" r:id="rId_hyperlink_5222" tooltip="Перейти" display="Перейти"/>
    <hyperlink ref="E5224" r:id="rId_hyperlink_5223" tooltip="Перейти" display="Перейти"/>
    <hyperlink ref="E5225" r:id="rId_hyperlink_5224" tooltip="Перейти" display="Перейти"/>
    <hyperlink ref="E5226" r:id="rId_hyperlink_5225" tooltip="Перейти" display="Перейти"/>
    <hyperlink ref="E5227" r:id="rId_hyperlink_5226" tooltip="Перейти" display="Перейти"/>
    <hyperlink ref="E5228" r:id="rId_hyperlink_5227" tooltip="Перейти" display="Перейти"/>
    <hyperlink ref="E5229" r:id="rId_hyperlink_5228" tooltip="Перейти" display="Перейти"/>
    <hyperlink ref="E5230" r:id="rId_hyperlink_5229" tooltip="Перейти" display="Перейти"/>
    <hyperlink ref="E5231" r:id="rId_hyperlink_5230" tooltip="Перейти" display="Перейти"/>
    <hyperlink ref="E5232" r:id="rId_hyperlink_5231" tooltip="Перейти" display="Перейти"/>
    <hyperlink ref="E5233" r:id="rId_hyperlink_5232" tooltip="Перейти" display="Перейти"/>
    <hyperlink ref="E5234" r:id="rId_hyperlink_5233" tooltip="Перейти" display="Перейти"/>
    <hyperlink ref="E5235" r:id="rId_hyperlink_5234" tooltip="Перейти" display="Перейти"/>
    <hyperlink ref="E5236" r:id="rId_hyperlink_5235" tooltip="Перейти" display="Перейти"/>
    <hyperlink ref="E5237" r:id="rId_hyperlink_5236" tooltip="Перейти" display="Перейти"/>
    <hyperlink ref="E5238" r:id="rId_hyperlink_5237" tooltip="Перейти" display="Перейти"/>
    <hyperlink ref="E5239" r:id="rId_hyperlink_5238" tooltip="Перейти" display="Перейти"/>
    <hyperlink ref="E5240" r:id="rId_hyperlink_5239" tooltip="Перейти" display="Перейти"/>
    <hyperlink ref="E5241" r:id="rId_hyperlink_5240" tooltip="Перейти" display="Перейти"/>
    <hyperlink ref="E5242" r:id="rId_hyperlink_5241" tooltip="Перейти" display="Перейти"/>
    <hyperlink ref="E5243" r:id="rId_hyperlink_5242" tooltip="Перейти" display="Перейти"/>
    <hyperlink ref="E5244" r:id="rId_hyperlink_5243" tooltip="Перейти" display="Перейти"/>
    <hyperlink ref="E5245" r:id="rId_hyperlink_5244" tooltip="Перейти" display="Перейти"/>
    <hyperlink ref="E5246" r:id="rId_hyperlink_5245" tooltip="Перейти" display="Перейти"/>
    <hyperlink ref="E5247" r:id="rId_hyperlink_5246" tooltip="Перейти" display="Перейти"/>
    <hyperlink ref="E5248" r:id="rId_hyperlink_5247" tooltip="Перейти" display="Перейти"/>
    <hyperlink ref="E5249" r:id="rId_hyperlink_5248" tooltip="Перейти" display="Перейти"/>
    <hyperlink ref="E5250" r:id="rId_hyperlink_5249" tooltip="Перейти" display="Перейти"/>
    <hyperlink ref="E5251" r:id="rId_hyperlink_5250" tooltip="Перейти" display="Перейти"/>
    <hyperlink ref="E5252" r:id="rId_hyperlink_5251" tooltip="Перейти" display="Перейти"/>
    <hyperlink ref="E5253" r:id="rId_hyperlink_5252" tooltip="Перейти" display="Перейти"/>
    <hyperlink ref="E5254" r:id="rId_hyperlink_5253" tooltip="Перейти" display="Перейти"/>
    <hyperlink ref="E5255" r:id="rId_hyperlink_5254" tooltip="Перейти" display="Перейти"/>
    <hyperlink ref="E5256" r:id="rId_hyperlink_5255" tooltip="Перейти" display="Перейти"/>
    <hyperlink ref="E5257" r:id="rId_hyperlink_5256" tooltip="Перейти" display="Перейти"/>
    <hyperlink ref="E5258" r:id="rId_hyperlink_5257" tooltip="Перейти" display="Перейти"/>
    <hyperlink ref="E5259" r:id="rId_hyperlink_5258" tooltip="Перейти" display="Перейти"/>
    <hyperlink ref="E5260" r:id="rId_hyperlink_5259" tooltip="Перейти" display="Перейти"/>
    <hyperlink ref="E5261" r:id="rId_hyperlink_5260" tooltip="Перейти" display="Перейти"/>
    <hyperlink ref="E5262" r:id="rId_hyperlink_5261" tooltip="Перейти" display="Перейти"/>
    <hyperlink ref="E5263" r:id="rId_hyperlink_5262" tooltip="Перейти" display="Перейти"/>
    <hyperlink ref="E5264" r:id="rId_hyperlink_5263" tooltip="Перейти" display="Перейти"/>
    <hyperlink ref="E5265" r:id="rId_hyperlink_5264" tooltip="Перейти" display="Перейти"/>
    <hyperlink ref="E5266" r:id="rId_hyperlink_5265" tooltip="Перейти" display="Перейти"/>
    <hyperlink ref="E5267" r:id="rId_hyperlink_5266" tooltip="Перейти" display="Перейти"/>
    <hyperlink ref="E5268" r:id="rId_hyperlink_5267" tooltip="Перейти" display="Перейти"/>
    <hyperlink ref="E5269" r:id="rId_hyperlink_5268" tooltip="Перейти" display="Перейти"/>
    <hyperlink ref="E5270" r:id="rId_hyperlink_5269" tooltip="Перейти" display="Перейти"/>
    <hyperlink ref="E5271" r:id="rId_hyperlink_5270" tooltip="Перейти" display="Перейти"/>
    <hyperlink ref="E5272" r:id="rId_hyperlink_5271" tooltip="Перейти" display="Перейти"/>
    <hyperlink ref="E5273" r:id="rId_hyperlink_5272" tooltip="Перейти" display="Перейти"/>
    <hyperlink ref="E5274" r:id="rId_hyperlink_5273" tooltip="Перейти" display="Перейти"/>
    <hyperlink ref="E5275" r:id="rId_hyperlink_5274" tooltip="Перейти" display="Перейти"/>
    <hyperlink ref="E5276" r:id="rId_hyperlink_5275" tooltip="Перейти" display="Перейти"/>
    <hyperlink ref="E5277" r:id="rId_hyperlink_5276" tooltip="Перейти" display="Перейти"/>
    <hyperlink ref="E5278" r:id="rId_hyperlink_5277" tooltip="Перейти" display="Перейти"/>
    <hyperlink ref="E5279" r:id="rId_hyperlink_5278" tooltip="Перейти" display="Перейти"/>
    <hyperlink ref="E5280" r:id="rId_hyperlink_5279" tooltip="Перейти" display="Перейти"/>
    <hyperlink ref="E5281" r:id="rId_hyperlink_5280" tooltip="Перейти" display="Перейти"/>
    <hyperlink ref="E5282" r:id="rId_hyperlink_5281" tooltip="Перейти" display="Перейти"/>
    <hyperlink ref="E5283" r:id="rId_hyperlink_5282" tooltip="Перейти" display="Перейти"/>
    <hyperlink ref="E5284" r:id="rId_hyperlink_5283" tooltip="Перейти" display="Перейти"/>
    <hyperlink ref="E5285" r:id="rId_hyperlink_5284" tooltip="Перейти" display="Перейти"/>
    <hyperlink ref="E5286" r:id="rId_hyperlink_5285" tooltip="Перейти" display="Перейти"/>
    <hyperlink ref="E5287" r:id="rId_hyperlink_5286" tooltip="Перейти" display="Перейти"/>
    <hyperlink ref="E5288" r:id="rId_hyperlink_5287" tooltip="Перейти" display="Перейти"/>
    <hyperlink ref="E5289" r:id="rId_hyperlink_5288" tooltip="Перейти" display="Перейти"/>
    <hyperlink ref="E5290" r:id="rId_hyperlink_5289" tooltip="Перейти" display="Перейти"/>
    <hyperlink ref="E5291" r:id="rId_hyperlink_5290" tooltip="Перейти" display="Перейти"/>
    <hyperlink ref="E5292" r:id="rId_hyperlink_5291" tooltip="Перейти" display="Перейти"/>
    <hyperlink ref="E5293" r:id="rId_hyperlink_5292" tooltip="Перейти" display="Перейти"/>
    <hyperlink ref="E5294" r:id="rId_hyperlink_5293" tooltip="Перейти" display="Перейти"/>
    <hyperlink ref="E5295" r:id="rId_hyperlink_5294" tooltip="Перейти" display="Перейти"/>
    <hyperlink ref="E5296" r:id="rId_hyperlink_5295" tooltip="Перейти" display="Перейти"/>
    <hyperlink ref="E5297" r:id="rId_hyperlink_5296" tooltip="Перейти" display="Перейти"/>
    <hyperlink ref="E5298" r:id="rId_hyperlink_5297" tooltip="Перейти" display="Перейти"/>
    <hyperlink ref="E5299" r:id="rId_hyperlink_5298" tooltip="Перейти" display="Перейти"/>
    <hyperlink ref="E5300" r:id="rId_hyperlink_5299" tooltip="Перейти" display="Перейти"/>
    <hyperlink ref="E5301" r:id="rId_hyperlink_5300" tooltip="Перейти" display="Перейти"/>
    <hyperlink ref="E5302" r:id="rId_hyperlink_5301" tooltip="Перейти" display="Перейти"/>
    <hyperlink ref="E5303" r:id="rId_hyperlink_5302" tooltip="Перейти" display="Перейти"/>
    <hyperlink ref="E5304" r:id="rId_hyperlink_5303" tooltip="Перейти" display="Перейти"/>
    <hyperlink ref="E5305" r:id="rId_hyperlink_5304" tooltip="Перейти" display="Перейти"/>
    <hyperlink ref="E5306" r:id="rId_hyperlink_5305" tooltip="Перейти" display="Перейти"/>
    <hyperlink ref="E5307" r:id="rId_hyperlink_5306" tooltip="Перейти" display="Перейти"/>
    <hyperlink ref="E5308" r:id="rId_hyperlink_5307" tooltip="Перейти" display="Перейти"/>
    <hyperlink ref="E5309" r:id="rId_hyperlink_5308" tooltip="Перейти" display="Перейти"/>
    <hyperlink ref="E5310" r:id="rId_hyperlink_5309" tooltip="Перейти" display="Перейти"/>
    <hyperlink ref="E5311" r:id="rId_hyperlink_5310" tooltip="Перейти" display="Перейти"/>
    <hyperlink ref="E5312" r:id="rId_hyperlink_5311" tooltip="Перейти" display="Перейти"/>
    <hyperlink ref="E5313" r:id="rId_hyperlink_5312" tooltip="Перейти" display="Перейти"/>
    <hyperlink ref="E5314" r:id="rId_hyperlink_5313" tooltip="Перейти" display="Перейти"/>
    <hyperlink ref="E5315" r:id="rId_hyperlink_5314" tooltip="Перейти" display="Перейти"/>
    <hyperlink ref="E5316" r:id="rId_hyperlink_5315" tooltip="Перейти" display="Перейти"/>
    <hyperlink ref="E5317" r:id="rId_hyperlink_5316" tooltip="Перейти" display="Перейти"/>
    <hyperlink ref="E5318" r:id="rId_hyperlink_5317" tooltip="Перейти" display="Перейти"/>
    <hyperlink ref="E5319" r:id="rId_hyperlink_5318" tooltip="Перейти" display="Перейти"/>
    <hyperlink ref="E5320" r:id="rId_hyperlink_5319" tooltip="Перейти" display="Перейти"/>
    <hyperlink ref="E5321" r:id="rId_hyperlink_5320" tooltip="Перейти" display="Перейти"/>
    <hyperlink ref="E5322" r:id="rId_hyperlink_5321" tooltip="Перейти" display="Перейти"/>
    <hyperlink ref="E5323" r:id="rId_hyperlink_5322" tooltip="Перейти" display="Перейти"/>
    <hyperlink ref="E5324" r:id="rId_hyperlink_5323" tooltip="Перейти" display="Перейти"/>
    <hyperlink ref="E5325" r:id="rId_hyperlink_5324" tooltip="Перейти" display="Перейти"/>
    <hyperlink ref="E5326" r:id="rId_hyperlink_5325" tooltip="Перейти" display="Перейти"/>
    <hyperlink ref="E5327" r:id="rId_hyperlink_5326" tooltip="Перейти" display="Перейти"/>
    <hyperlink ref="E5328" r:id="rId_hyperlink_5327" tooltip="Перейти" display="Перейти"/>
    <hyperlink ref="E5329" r:id="rId_hyperlink_5328" tooltip="Перейти" display="Перейти"/>
    <hyperlink ref="E5330" r:id="rId_hyperlink_5329" tooltip="Перейти" display="Перейти"/>
    <hyperlink ref="E5331" r:id="rId_hyperlink_5330" tooltip="Перейти" display="Перейти"/>
    <hyperlink ref="E5332" r:id="rId_hyperlink_5331" tooltip="Перейти" display="Перейти"/>
    <hyperlink ref="E5333" r:id="rId_hyperlink_5332" tooltip="Перейти" display="Перейти"/>
    <hyperlink ref="E5334" r:id="rId_hyperlink_5333" tooltip="Перейти" display="Перейти"/>
    <hyperlink ref="E5335" r:id="rId_hyperlink_5334" tooltip="Перейти" display="Перейти"/>
    <hyperlink ref="E5336" r:id="rId_hyperlink_5335" tooltip="Перейти" display="Перейти"/>
    <hyperlink ref="E5337" r:id="rId_hyperlink_5336" tooltip="Перейти" display="Перейти"/>
    <hyperlink ref="E5338" r:id="rId_hyperlink_5337" tooltip="Перейти" display="Перейти"/>
    <hyperlink ref="E5339" r:id="rId_hyperlink_5338" tooltip="Перейти" display="Перейти"/>
    <hyperlink ref="E5340" r:id="rId_hyperlink_5339" tooltip="Перейти" display="Перейти"/>
    <hyperlink ref="E5341" r:id="rId_hyperlink_5340" tooltip="Перейти" display="Перейти"/>
    <hyperlink ref="E5342" r:id="rId_hyperlink_5341" tooltip="Перейти" display="Перейти"/>
    <hyperlink ref="E5343" r:id="rId_hyperlink_5342" tooltip="Перейти" display="Перейти"/>
    <hyperlink ref="E5344" r:id="rId_hyperlink_5343" tooltip="Перейти" display="Перейти"/>
    <hyperlink ref="E5345" r:id="rId_hyperlink_5344" tooltip="Перейти" display="Перейти"/>
    <hyperlink ref="E5346" r:id="rId_hyperlink_5345" tooltip="Перейти" display="Перейти"/>
    <hyperlink ref="E5347" r:id="rId_hyperlink_5346" tooltip="Перейти" display="Перейти"/>
    <hyperlink ref="E5348" r:id="rId_hyperlink_5347" tooltip="Перейти" display="Перейти"/>
    <hyperlink ref="E5349" r:id="rId_hyperlink_5348" tooltip="Перейти" display="Перейти"/>
    <hyperlink ref="E5350" r:id="rId_hyperlink_5349" tooltip="Перейти" display="Перейти"/>
    <hyperlink ref="E5351" r:id="rId_hyperlink_5350" tooltip="Перейти" display="Перейти"/>
    <hyperlink ref="E5352" r:id="rId_hyperlink_5351" tooltip="Перейти" display="Перейти"/>
    <hyperlink ref="E5353" r:id="rId_hyperlink_5352" tooltip="Перейти" display="Перейти"/>
    <hyperlink ref="E5354" r:id="rId_hyperlink_5353" tooltip="Перейти" display="Перейти"/>
    <hyperlink ref="E5355" r:id="rId_hyperlink_5354" tooltip="Перейти" display="Перейти"/>
    <hyperlink ref="E5356" r:id="rId_hyperlink_5355" tooltip="Перейти" display="Перейти"/>
    <hyperlink ref="E5357" r:id="rId_hyperlink_5356" tooltip="Перейти" display="Перейти"/>
    <hyperlink ref="E5358" r:id="rId_hyperlink_5357" tooltip="Перейти" display="Перейти"/>
    <hyperlink ref="E5359" r:id="rId_hyperlink_5358" tooltip="Перейти" display="Перейти"/>
    <hyperlink ref="E5360" r:id="rId_hyperlink_5359" tooltip="Перейти" display="Перейти"/>
    <hyperlink ref="E5361" r:id="rId_hyperlink_5360" tooltip="Перейти" display="Перейти"/>
    <hyperlink ref="E5362" r:id="rId_hyperlink_5361" tooltip="Перейти" display="Перейти"/>
    <hyperlink ref="E5363" r:id="rId_hyperlink_5362" tooltip="Перейти" display="Перейти"/>
    <hyperlink ref="E5364" r:id="rId_hyperlink_5363" tooltip="Перейти" display="Перейти"/>
    <hyperlink ref="E5365" r:id="rId_hyperlink_5364" tooltip="Перейти" display="Перейти"/>
    <hyperlink ref="E5366" r:id="rId_hyperlink_5365" tooltip="Перейти" display="Перейти"/>
    <hyperlink ref="E5367" r:id="rId_hyperlink_5366" tooltip="Перейти" display="Перейти"/>
    <hyperlink ref="E5368" r:id="rId_hyperlink_5367" tooltip="Перейти" display="Перейти"/>
    <hyperlink ref="E5369" r:id="rId_hyperlink_5368" tooltip="Перейти" display="Перейти"/>
    <hyperlink ref="E5370" r:id="rId_hyperlink_5369" tooltip="Перейти" display="Перейти"/>
    <hyperlink ref="E5371" r:id="rId_hyperlink_5370" tooltip="Перейти" display="Перейти"/>
    <hyperlink ref="E5372" r:id="rId_hyperlink_5371" tooltip="Перейти" display="Перейти"/>
    <hyperlink ref="E5373" r:id="rId_hyperlink_5372" tooltip="Перейти" display="Перейти"/>
    <hyperlink ref="E5374" r:id="rId_hyperlink_5373" tooltip="Перейти" display="Перейти"/>
    <hyperlink ref="E5375" r:id="rId_hyperlink_5374" tooltip="Перейти" display="Перейти"/>
    <hyperlink ref="E5376" r:id="rId_hyperlink_5375" tooltip="Перейти" display="Перейти"/>
    <hyperlink ref="E5377" r:id="rId_hyperlink_5376" tooltip="Перейти" display="Перейти"/>
    <hyperlink ref="E5378" r:id="rId_hyperlink_5377" tooltip="Перейти" display="Перейти"/>
    <hyperlink ref="E5379" r:id="rId_hyperlink_5378" tooltip="Перейти" display="Перейти"/>
    <hyperlink ref="E5380" r:id="rId_hyperlink_5379" tooltip="Перейти" display="Перейти"/>
    <hyperlink ref="E5381" r:id="rId_hyperlink_5380" tooltip="Перейти" display="Перейти"/>
    <hyperlink ref="E5382" r:id="rId_hyperlink_5381" tooltip="Перейти" display="Перейти"/>
    <hyperlink ref="E5383" r:id="rId_hyperlink_5382" tooltip="Перейти" display="Перейти"/>
    <hyperlink ref="E5384" r:id="rId_hyperlink_5383" tooltip="Перейти" display="Перейти"/>
    <hyperlink ref="E5385" r:id="rId_hyperlink_5384" tooltip="Перейти" display="Перейти"/>
    <hyperlink ref="E5386" r:id="rId_hyperlink_5385" tooltip="Перейти" display="Перейти"/>
    <hyperlink ref="E5387" r:id="rId_hyperlink_5386" tooltip="Перейти" display="Перейти"/>
    <hyperlink ref="E5388" r:id="rId_hyperlink_5387" tooltip="Перейти" display="Перейти"/>
    <hyperlink ref="E5389" r:id="rId_hyperlink_5388" tooltip="Перейти" display="Перейти"/>
    <hyperlink ref="E5390" r:id="rId_hyperlink_5389" tooltip="Перейти" display="Перейти"/>
    <hyperlink ref="E5391" r:id="rId_hyperlink_5390" tooltip="Перейти" display="Перейти"/>
    <hyperlink ref="E5392" r:id="rId_hyperlink_5391" tooltip="Перейти" display="Перейти"/>
    <hyperlink ref="E5393" r:id="rId_hyperlink_5392" tooltip="Перейти" display="Перейти"/>
    <hyperlink ref="E5394" r:id="rId_hyperlink_5393" tooltip="Перейти" display="Перейти"/>
    <hyperlink ref="E5395" r:id="rId_hyperlink_5394" tooltip="Перейти" display="Перейти"/>
    <hyperlink ref="E5396" r:id="rId_hyperlink_5395" tooltip="Перейти" display="Перейти"/>
    <hyperlink ref="E5397" r:id="rId_hyperlink_5396" tooltip="Перейти" display="Перейти"/>
    <hyperlink ref="E5398" r:id="rId_hyperlink_5397" tooltip="Перейти" display="Перейти"/>
    <hyperlink ref="E5399" r:id="rId_hyperlink_5398" tooltip="Перейти" display="Перейти"/>
    <hyperlink ref="E5400" r:id="rId_hyperlink_5399" tooltip="Перейти" display="Перейти"/>
    <hyperlink ref="E5401" r:id="rId_hyperlink_5400" tooltip="Перейти" display="Перейти"/>
    <hyperlink ref="E5402" r:id="rId_hyperlink_5401" tooltip="Перейти" display="Перейти"/>
    <hyperlink ref="E5403" r:id="rId_hyperlink_5402" tooltip="Перейти" display="Перейти"/>
    <hyperlink ref="E5404" r:id="rId_hyperlink_5403" tooltip="Перейти" display="Перейти"/>
    <hyperlink ref="E5405" r:id="rId_hyperlink_5404" tooltip="Перейти" display="Перейти"/>
    <hyperlink ref="E5406" r:id="rId_hyperlink_5405" tooltip="Перейти" display="Перейти"/>
    <hyperlink ref="E5407" r:id="rId_hyperlink_5406" tooltip="Перейти" display="Перейти"/>
    <hyperlink ref="E5408" r:id="rId_hyperlink_5407" tooltip="Перейти" display="Перейти"/>
    <hyperlink ref="E5409" r:id="rId_hyperlink_5408" tooltip="Перейти" display="Перейти"/>
    <hyperlink ref="E5410" r:id="rId_hyperlink_5409" tooltip="Перейти" display="Перейти"/>
    <hyperlink ref="E5411" r:id="rId_hyperlink_5410" tooltip="Перейти" display="Перейти"/>
    <hyperlink ref="E5412" r:id="rId_hyperlink_5411" tooltip="Перейти" display="Перейти"/>
    <hyperlink ref="E5413" r:id="rId_hyperlink_5412" tooltip="Перейти" display="Перейти"/>
    <hyperlink ref="E5414" r:id="rId_hyperlink_5413" tooltip="Перейти" display="Перейти"/>
    <hyperlink ref="E5415" r:id="rId_hyperlink_5414" tooltip="Перейти" display="Перейти"/>
    <hyperlink ref="E5416" r:id="rId_hyperlink_5415" tooltip="Перейти" display="Перейти"/>
    <hyperlink ref="E5417" r:id="rId_hyperlink_5416" tooltip="Перейти" display="Перейти"/>
    <hyperlink ref="E5418" r:id="rId_hyperlink_5417" tooltip="Перейти" display="Перейти"/>
    <hyperlink ref="E5419" r:id="rId_hyperlink_5418" tooltip="Перейти" display="Перейти"/>
    <hyperlink ref="E5420" r:id="rId_hyperlink_5419" tooltip="Перейти" display="Перейти"/>
    <hyperlink ref="E5421" r:id="rId_hyperlink_5420" tooltip="Перейти" display="Перейти"/>
    <hyperlink ref="E5422" r:id="rId_hyperlink_5421" tooltip="Перейти" display="Перейти"/>
    <hyperlink ref="E5423" r:id="rId_hyperlink_5422" tooltip="Перейти" display="Перейти"/>
    <hyperlink ref="E5424" r:id="rId_hyperlink_5423" tooltip="Перейти" display="Перейти"/>
    <hyperlink ref="E5425" r:id="rId_hyperlink_5424" tooltip="Перейти" display="Перейти"/>
    <hyperlink ref="E5426" r:id="rId_hyperlink_5425" tooltip="Перейти" display="Перейти"/>
    <hyperlink ref="E5427" r:id="rId_hyperlink_5426" tooltip="Перейти" display="Перейти"/>
    <hyperlink ref="E5428" r:id="rId_hyperlink_5427" tooltip="Перейти" display="Перейти"/>
    <hyperlink ref="E5429" r:id="rId_hyperlink_5428" tooltip="Перейти" display="Перейти"/>
    <hyperlink ref="E5430" r:id="rId_hyperlink_5429" tooltip="Перейти" display="Перейти"/>
    <hyperlink ref="E5431" r:id="rId_hyperlink_5430" tooltip="Перейти" display="Перейти"/>
    <hyperlink ref="E5432" r:id="rId_hyperlink_5431" tooltip="Перейти" display="Перейти"/>
    <hyperlink ref="E5433" r:id="rId_hyperlink_5432" tooltip="Перейти" display="Перейти"/>
    <hyperlink ref="E5434" r:id="rId_hyperlink_5433" tooltip="Перейти" display="Перейти"/>
    <hyperlink ref="E5435" r:id="rId_hyperlink_5434" tooltip="Перейти" display="Перейти"/>
    <hyperlink ref="E5436" r:id="rId_hyperlink_5435" tooltip="Перейти" display="Перейти"/>
    <hyperlink ref="E5437" r:id="rId_hyperlink_5436" tooltip="Перейти" display="Перейти"/>
    <hyperlink ref="E5438" r:id="rId_hyperlink_5437" tooltip="Перейти" display="Перейти"/>
    <hyperlink ref="E5439" r:id="rId_hyperlink_5438" tooltip="Перейти" display="Перейти"/>
    <hyperlink ref="E5440" r:id="rId_hyperlink_5439" tooltip="Перейти" display="Перейти"/>
    <hyperlink ref="E5441" r:id="rId_hyperlink_5440" tooltip="Перейти" display="Перейти"/>
    <hyperlink ref="E5442" r:id="rId_hyperlink_5441" tooltip="Перейти" display="Перейти"/>
    <hyperlink ref="E5443" r:id="rId_hyperlink_5442" tooltip="Перейти" display="Перейти"/>
    <hyperlink ref="E5444" r:id="rId_hyperlink_5443" tooltip="Перейти" display="Перейти"/>
    <hyperlink ref="E5445" r:id="rId_hyperlink_5444" tooltip="Перейти" display="Перейти"/>
    <hyperlink ref="E5446" r:id="rId_hyperlink_5445" tooltip="Перейти" display="Перейти"/>
    <hyperlink ref="E5447" r:id="rId_hyperlink_5446" tooltip="Перейти" display="Перейти"/>
    <hyperlink ref="E5448" r:id="rId_hyperlink_5447" tooltip="Перейти" display="Перейти"/>
    <hyperlink ref="E5449" r:id="rId_hyperlink_5448" tooltip="Перейти" display="Перейти"/>
    <hyperlink ref="E5450" r:id="rId_hyperlink_5449" tooltip="Перейти" display="Перейти"/>
    <hyperlink ref="E5451" r:id="rId_hyperlink_5450" tooltip="Перейти" display="Перейти"/>
    <hyperlink ref="E5452" r:id="rId_hyperlink_5451" tooltip="Перейти" display="Перейти"/>
    <hyperlink ref="E5453" r:id="rId_hyperlink_5452" tooltip="Перейти" display="Перейти"/>
    <hyperlink ref="E5454" r:id="rId_hyperlink_5453" tooltip="Перейти" display="Перейти"/>
    <hyperlink ref="E5455" r:id="rId_hyperlink_5454" tooltip="Перейти" display="Перейти"/>
    <hyperlink ref="E5456" r:id="rId_hyperlink_5455" tooltip="Перейти" display="Перейти"/>
    <hyperlink ref="E5457" r:id="rId_hyperlink_5456" tooltip="Перейти" display="Перейти"/>
    <hyperlink ref="E5458" r:id="rId_hyperlink_5457" tooltip="Перейти" display="Перейти"/>
    <hyperlink ref="E5459" r:id="rId_hyperlink_5458" tooltip="Перейти" display="Перейти"/>
    <hyperlink ref="E5460" r:id="rId_hyperlink_5459" tooltip="Перейти" display="Перейти"/>
    <hyperlink ref="E5461" r:id="rId_hyperlink_5460" tooltip="Перейти" display="Перейти"/>
    <hyperlink ref="E5462" r:id="rId_hyperlink_5461" tooltip="Перейти" display="Перейти"/>
    <hyperlink ref="E5463" r:id="rId_hyperlink_5462" tooltip="Перейти" display="Перейти"/>
    <hyperlink ref="E5464" r:id="rId_hyperlink_5463" tooltip="Перейти" display="Перейти"/>
    <hyperlink ref="E5465" r:id="rId_hyperlink_5464" tooltip="Перейти" display="Перейти"/>
    <hyperlink ref="E5466" r:id="rId_hyperlink_5465" tooltip="Перейти" display="Перейти"/>
    <hyperlink ref="E5467" r:id="rId_hyperlink_5466" tooltip="Перейти" display="Перейти"/>
    <hyperlink ref="E5468" r:id="rId_hyperlink_5467" tooltip="Перейти" display="Перейти"/>
    <hyperlink ref="E5469" r:id="rId_hyperlink_5468" tooltip="Перейти" display="Перейти"/>
    <hyperlink ref="E5470" r:id="rId_hyperlink_5469" tooltip="Перейти" display="Перейти"/>
    <hyperlink ref="E5471" r:id="rId_hyperlink_5470" tooltip="Перейти" display="Перейти"/>
    <hyperlink ref="E5472" r:id="rId_hyperlink_5471" tooltip="Перейти" display="Перейти"/>
    <hyperlink ref="E5473" r:id="rId_hyperlink_5472" tooltip="Перейти" display="Перейти"/>
    <hyperlink ref="E5474" r:id="rId_hyperlink_5473" tooltip="Перейти" display="Перейти"/>
    <hyperlink ref="E5475" r:id="rId_hyperlink_5474" tooltip="Перейти" display="Перейти"/>
    <hyperlink ref="E5476" r:id="rId_hyperlink_5475" tooltip="Перейти" display="Перейти"/>
    <hyperlink ref="E5477" r:id="rId_hyperlink_5476" tooltip="Перейти" display="Перейти"/>
    <hyperlink ref="E5478" r:id="rId_hyperlink_5477" tooltip="Перейти" display="Перейти"/>
    <hyperlink ref="E5479" r:id="rId_hyperlink_5478" tooltip="Перейти" display="Перейти"/>
    <hyperlink ref="E5480" r:id="rId_hyperlink_5479" tooltip="Перейти" display="Перейти"/>
    <hyperlink ref="E5481" r:id="rId_hyperlink_5480" tooltip="Перейти" display="Перейти"/>
    <hyperlink ref="E5482" r:id="rId_hyperlink_5481" tooltip="Перейти" display="Перейти"/>
    <hyperlink ref="E5483" r:id="rId_hyperlink_5482" tooltip="Перейти" display="Перейти"/>
    <hyperlink ref="E5484" r:id="rId_hyperlink_5483" tooltip="Перейти" display="Перейти"/>
    <hyperlink ref="E5485" r:id="rId_hyperlink_5484" tooltip="Перейти" display="Перейти"/>
    <hyperlink ref="E5486" r:id="rId_hyperlink_5485" tooltip="Перейти" display="Перейти"/>
    <hyperlink ref="E5487" r:id="rId_hyperlink_5486" tooltip="Перейти" display="Перейти"/>
    <hyperlink ref="E5488" r:id="rId_hyperlink_5487" tooltip="Перейти" display="Перейти"/>
    <hyperlink ref="E5489" r:id="rId_hyperlink_5488" tooltip="Перейти" display="Перейти"/>
    <hyperlink ref="E5490" r:id="rId_hyperlink_5489" tooltip="Перейти" display="Перейти"/>
    <hyperlink ref="E5491" r:id="rId_hyperlink_5490" tooltip="Перейти" display="Перейти"/>
    <hyperlink ref="E5492" r:id="rId_hyperlink_5491" tooltip="Перейти" display="Перейти"/>
    <hyperlink ref="E5493" r:id="rId_hyperlink_5492" tooltip="Перейти" display="Перейти"/>
    <hyperlink ref="E5494" r:id="rId_hyperlink_5493" tooltip="Перейти" display="Перейти"/>
    <hyperlink ref="E5495" r:id="rId_hyperlink_5494" tooltip="Перейти" display="Перейти"/>
    <hyperlink ref="E5496" r:id="rId_hyperlink_5495" tooltip="Перейти" display="Перейти"/>
    <hyperlink ref="E5497" r:id="rId_hyperlink_5496" tooltip="Перейти" display="Перейти"/>
    <hyperlink ref="E5498" r:id="rId_hyperlink_5497" tooltip="Перейти" display="Перейти"/>
    <hyperlink ref="E5499" r:id="rId_hyperlink_5498" tooltip="Перейти" display="Перейти"/>
    <hyperlink ref="E5500" r:id="rId_hyperlink_5499" tooltip="Перейти" display="Перейти"/>
    <hyperlink ref="E5501" r:id="rId_hyperlink_5500" tooltip="Перейти" display="Перейти"/>
    <hyperlink ref="E5502" r:id="rId_hyperlink_5501" tooltip="Перейти" display="Перейти"/>
    <hyperlink ref="E5503" r:id="rId_hyperlink_5502" tooltip="Перейти" display="Перейти"/>
    <hyperlink ref="E5504" r:id="rId_hyperlink_5503" tooltip="Перейти" display="Перейти"/>
    <hyperlink ref="E5505" r:id="rId_hyperlink_5504" tooltip="Перейти" display="Перейти"/>
    <hyperlink ref="E5506" r:id="rId_hyperlink_5505" tooltip="Перейти" display="Перейти"/>
    <hyperlink ref="E5507" r:id="rId_hyperlink_5506" tooltip="Перейти" display="Перейти"/>
    <hyperlink ref="E5508" r:id="rId_hyperlink_5507" tooltip="Перейти" display="Перейти"/>
    <hyperlink ref="E5509" r:id="rId_hyperlink_5508" tooltip="Перейти" display="Перейти"/>
    <hyperlink ref="E5510" r:id="rId_hyperlink_5509" tooltip="Перейти" display="Перейти"/>
    <hyperlink ref="E5511" r:id="rId_hyperlink_5510" tooltip="Перейти" display="Перейти"/>
    <hyperlink ref="E5512" r:id="rId_hyperlink_5511" tooltip="Перейти" display="Перейти"/>
    <hyperlink ref="E5513" r:id="rId_hyperlink_5512" tooltip="Перейти" display="Перейти"/>
    <hyperlink ref="E5514" r:id="rId_hyperlink_5513" tooltip="Перейти" display="Перейти"/>
    <hyperlink ref="E5515" r:id="rId_hyperlink_5514" tooltip="Перейти" display="Перейти"/>
    <hyperlink ref="E5516" r:id="rId_hyperlink_5515" tooltip="Перейти" display="Перейти"/>
    <hyperlink ref="E5517" r:id="rId_hyperlink_5516" tooltip="Перейти" display="Перейти"/>
    <hyperlink ref="E5518" r:id="rId_hyperlink_5517" tooltip="Перейти" display="Перейти"/>
    <hyperlink ref="E5519" r:id="rId_hyperlink_5518" tooltip="Перейти" display="Перейти"/>
    <hyperlink ref="E5520" r:id="rId_hyperlink_5519" tooltip="Перейти" display="Перейти"/>
    <hyperlink ref="E5521" r:id="rId_hyperlink_5520" tooltip="Перейти" display="Перейти"/>
    <hyperlink ref="E5522" r:id="rId_hyperlink_5521" tooltip="Перейти" display="Перейти"/>
    <hyperlink ref="E5523" r:id="rId_hyperlink_5522" tooltip="Перейти" display="Перейти"/>
    <hyperlink ref="E5524" r:id="rId_hyperlink_5523" tooltip="Перейти" display="Перейти"/>
    <hyperlink ref="E5525" r:id="rId_hyperlink_5524" tooltip="Перейти" display="Перейти"/>
    <hyperlink ref="E5526" r:id="rId_hyperlink_5525" tooltip="Перейти" display="Перейти"/>
    <hyperlink ref="E5527" r:id="rId_hyperlink_5526" tooltip="Перейти" display="Перейти"/>
    <hyperlink ref="E5528" r:id="rId_hyperlink_5527" tooltip="Перейти" display="Перейти"/>
    <hyperlink ref="E5529" r:id="rId_hyperlink_5528" tooltip="Перейти" display="Перейти"/>
    <hyperlink ref="E5530" r:id="rId_hyperlink_5529" tooltip="Перейти" display="Перейти"/>
    <hyperlink ref="E5531" r:id="rId_hyperlink_5530" tooltip="Перейти" display="Перейти"/>
    <hyperlink ref="E5532" r:id="rId_hyperlink_5531" tooltip="Перейти" display="Перейти"/>
    <hyperlink ref="E5533" r:id="rId_hyperlink_5532" tooltip="Перейти" display="Перейти"/>
    <hyperlink ref="E5534" r:id="rId_hyperlink_5533" tooltip="Перейти" display="Перейти"/>
    <hyperlink ref="E5535" r:id="rId_hyperlink_5534" tooltip="Перейти" display="Перейти"/>
    <hyperlink ref="E5536" r:id="rId_hyperlink_5535" tooltip="Перейти" display="Перейти"/>
    <hyperlink ref="E5537" r:id="rId_hyperlink_5536" tooltip="Перейти" display="Перейти"/>
    <hyperlink ref="E5538" r:id="rId_hyperlink_5537" tooltip="Перейти" display="Перейти"/>
    <hyperlink ref="E5539" r:id="rId_hyperlink_5538" tooltip="Перейти" display="Перейти"/>
    <hyperlink ref="E5540" r:id="rId_hyperlink_5539" tooltip="Перейти" display="Перейти"/>
    <hyperlink ref="E5541" r:id="rId_hyperlink_5540" tooltip="Перейти" display="Перейти"/>
    <hyperlink ref="E5542" r:id="rId_hyperlink_5541" tooltip="Перейти" display="Перейти"/>
    <hyperlink ref="E5543" r:id="rId_hyperlink_5542" tooltip="Перейти" display="Перейти"/>
    <hyperlink ref="E5544" r:id="rId_hyperlink_5543" tooltip="Перейти" display="Перейти"/>
    <hyperlink ref="E5545" r:id="rId_hyperlink_5544" tooltip="Перейти" display="Перейти"/>
    <hyperlink ref="E5546" r:id="rId_hyperlink_5545" tooltip="Перейти" display="Перейти"/>
    <hyperlink ref="E5547" r:id="rId_hyperlink_5546" tooltip="Перейти" display="Перейти"/>
    <hyperlink ref="E5548" r:id="rId_hyperlink_5547" tooltip="Перейти" display="Перейти"/>
    <hyperlink ref="E5549" r:id="rId_hyperlink_5548" tooltip="Перейти" display="Перейти"/>
    <hyperlink ref="E5550" r:id="rId_hyperlink_5549" tooltip="Перейти" display="Перейти"/>
    <hyperlink ref="E5551" r:id="rId_hyperlink_5550" tooltip="Перейти" display="Перейти"/>
    <hyperlink ref="E5552" r:id="rId_hyperlink_5551" tooltip="Перейти" display="Перейти"/>
    <hyperlink ref="E5553" r:id="rId_hyperlink_5552" tooltip="Перейти" display="Перейти"/>
    <hyperlink ref="E5554" r:id="rId_hyperlink_5553" tooltip="Перейти" display="Перейти"/>
    <hyperlink ref="E5555" r:id="rId_hyperlink_5554" tooltip="Перейти" display="Перейти"/>
    <hyperlink ref="E5556" r:id="rId_hyperlink_5555" tooltip="Перейти" display="Перейти"/>
    <hyperlink ref="E5557" r:id="rId_hyperlink_5556" tooltip="Перейти" display="Перейти"/>
    <hyperlink ref="E5558" r:id="rId_hyperlink_5557" tooltip="Перейти" display="Перейти"/>
    <hyperlink ref="E5559" r:id="rId_hyperlink_5558" tooltip="Перейти" display="Перейти"/>
    <hyperlink ref="E5560" r:id="rId_hyperlink_5559" tooltip="Перейти" display="Перейти"/>
    <hyperlink ref="E5561" r:id="rId_hyperlink_5560" tooltip="Перейти" display="Перейти"/>
    <hyperlink ref="E5562" r:id="rId_hyperlink_5561" tooltip="Перейти" display="Перейти"/>
    <hyperlink ref="E5563" r:id="rId_hyperlink_5562" tooltip="Перейти" display="Перейти"/>
    <hyperlink ref="E5564" r:id="rId_hyperlink_5563" tooltip="Перейти" display="Перейти"/>
    <hyperlink ref="E5565" r:id="rId_hyperlink_5564" tooltip="Перейти" display="Перейти"/>
    <hyperlink ref="E5566" r:id="rId_hyperlink_5565" tooltip="Перейти" display="Перейти"/>
    <hyperlink ref="E5567" r:id="rId_hyperlink_5566" tooltip="Перейти" display="Перейти"/>
    <hyperlink ref="E5568" r:id="rId_hyperlink_5567" tooltip="Перейти" display="Перейти"/>
    <hyperlink ref="E5569" r:id="rId_hyperlink_5568" tooltip="Перейти" display="Перейти"/>
    <hyperlink ref="E5570" r:id="rId_hyperlink_5569" tooltip="Перейти" display="Перейти"/>
    <hyperlink ref="E5571" r:id="rId_hyperlink_5570" tooltip="Перейти" display="Перейти"/>
    <hyperlink ref="E5572" r:id="rId_hyperlink_5571" tooltip="Перейти" display="Перейти"/>
    <hyperlink ref="E5573" r:id="rId_hyperlink_5572" tooltip="Перейти" display="Перейти"/>
    <hyperlink ref="E5574" r:id="rId_hyperlink_5573" tooltip="Перейти" display="Перейти"/>
    <hyperlink ref="E5575" r:id="rId_hyperlink_5574" tooltip="Перейти" display="Перейти"/>
    <hyperlink ref="E5576" r:id="rId_hyperlink_5575" tooltip="Перейти" display="Перейти"/>
    <hyperlink ref="E5577" r:id="rId_hyperlink_5576" tooltip="Перейти" display="Перейти"/>
    <hyperlink ref="E5578" r:id="rId_hyperlink_5577" tooltip="Перейти" display="Перейти"/>
    <hyperlink ref="E5579" r:id="rId_hyperlink_5578" tooltip="Перейти" display="Перейти"/>
    <hyperlink ref="E5580" r:id="rId_hyperlink_5579" tooltip="Перейти" display="Перейти"/>
    <hyperlink ref="E5581" r:id="rId_hyperlink_5580" tooltip="Перейти" display="Перейти"/>
    <hyperlink ref="E5582" r:id="rId_hyperlink_5581" tooltip="Перейти" display="Перейти"/>
    <hyperlink ref="E5583" r:id="rId_hyperlink_5582" tooltip="Перейти" display="Перейти"/>
    <hyperlink ref="E5584" r:id="rId_hyperlink_5583" tooltip="Перейти" display="Перейти"/>
    <hyperlink ref="E5585" r:id="rId_hyperlink_5584" tooltip="Перейти" display="Перейти"/>
    <hyperlink ref="E5586" r:id="rId_hyperlink_5585" tooltip="Перейти" display="Перейти"/>
    <hyperlink ref="E5587" r:id="rId_hyperlink_5586" tooltip="Перейти" display="Перейти"/>
    <hyperlink ref="E5588" r:id="rId_hyperlink_5587" tooltip="Перейти" display="Перейти"/>
    <hyperlink ref="E5589" r:id="rId_hyperlink_5588" tooltip="Перейти" display="Перейти"/>
    <hyperlink ref="E5590" r:id="rId_hyperlink_5589" tooltip="Перейти" display="Перейти"/>
    <hyperlink ref="E5591" r:id="rId_hyperlink_5590" tooltip="Перейти" display="Перейти"/>
    <hyperlink ref="E5592" r:id="rId_hyperlink_5591" tooltip="Перейти" display="Перейти"/>
    <hyperlink ref="E5593" r:id="rId_hyperlink_5592" tooltip="Перейти" display="Перейти"/>
    <hyperlink ref="E5594" r:id="rId_hyperlink_5593" tooltip="Перейти" display="Перейти"/>
    <hyperlink ref="E5595" r:id="rId_hyperlink_5594" tooltip="Перейти" display="Перейти"/>
    <hyperlink ref="E5596" r:id="rId_hyperlink_5595" tooltip="Перейти" display="Перейти"/>
    <hyperlink ref="E5597" r:id="rId_hyperlink_5596" tooltip="Перейти" display="Перейти"/>
    <hyperlink ref="E5598" r:id="rId_hyperlink_5597" tooltip="Перейти" display="Перейти"/>
    <hyperlink ref="E5599" r:id="rId_hyperlink_5598" tooltip="Перейти" display="Перейти"/>
    <hyperlink ref="E5600" r:id="rId_hyperlink_5599" tooltip="Перейти" display="Перейти"/>
    <hyperlink ref="E5601" r:id="rId_hyperlink_5600" tooltip="Перейти" display="Перейти"/>
    <hyperlink ref="E5602" r:id="rId_hyperlink_5601" tooltip="Перейти" display="Перейти"/>
    <hyperlink ref="E5603" r:id="rId_hyperlink_5602" tooltip="Перейти" display="Перейти"/>
    <hyperlink ref="E5604" r:id="rId_hyperlink_5603" tooltip="Перейти" display="Перейти"/>
    <hyperlink ref="E5605" r:id="rId_hyperlink_5604" tooltip="Перейти" display="Перейти"/>
    <hyperlink ref="E5606" r:id="rId_hyperlink_5605" tooltip="Перейти" display="Перейти"/>
    <hyperlink ref="E5607" r:id="rId_hyperlink_5606" tooltip="Перейти" display="Перейти"/>
    <hyperlink ref="E5608" r:id="rId_hyperlink_5607" tooltip="Перейти" display="Перейти"/>
    <hyperlink ref="E5609" r:id="rId_hyperlink_5608" tooltip="Перейти" display="Перейти"/>
    <hyperlink ref="E5610" r:id="rId_hyperlink_5609" tooltip="Перейти" display="Перейти"/>
    <hyperlink ref="E5611" r:id="rId_hyperlink_5610" tooltip="Перейти" display="Перейти"/>
    <hyperlink ref="E5612" r:id="rId_hyperlink_5611" tooltip="Перейти" display="Перейти"/>
    <hyperlink ref="E5613" r:id="rId_hyperlink_5612" tooltip="Перейти" display="Перейти"/>
    <hyperlink ref="E5614" r:id="rId_hyperlink_5613" tooltip="Перейти" display="Перейти"/>
    <hyperlink ref="E5615" r:id="rId_hyperlink_5614" tooltip="Перейти" display="Перейти"/>
    <hyperlink ref="E5616" r:id="rId_hyperlink_5615" tooltip="Перейти" display="Перейти"/>
    <hyperlink ref="E5617" r:id="rId_hyperlink_5616" tooltip="Перейти" display="Перейти"/>
    <hyperlink ref="E5618" r:id="rId_hyperlink_5617" tooltip="Перейти" display="Перейти"/>
    <hyperlink ref="E5619" r:id="rId_hyperlink_5618" tooltip="Перейти" display="Перейти"/>
    <hyperlink ref="E5620" r:id="rId_hyperlink_5619" tooltip="Перейти" display="Перейти"/>
    <hyperlink ref="E5621" r:id="rId_hyperlink_5620" tooltip="Перейти" display="Перейти"/>
    <hyperlink ref="E5622" r:id="rId_hyperlink_5621" tooltip="Перейти" display="Перейти"/>
    <hyperlink ref="E5623" r:id="rId_hyperlink_5622" tooltip="Перейти" display="Перейти"/>
    <hyperlink ref="E5624" r:id="rId_hyperlink_5623" tooltip="Перейти" display="Перейти"/>
    <hyperlink ref="E5625" r:id="rId_hyperlink_5624" tooltip="Перейти" display="Перейти"/>
    <hyperlink ref="E5626" r:id="rId_hyperlink_5625" tooltip="Перейти" display="Перейти"/>
    <hyperlink ref="E5627" r:id="rId_hyperlink_5626" tooltip="Перейти" display="Перейти"/>
    <hyperlink ref="E5628" r:id="rId_hyperlink_5627" tooltip="Перейти" display="Перейти"/>
    <hyperlink ref="E5629" r:id="rId_hyperlink_5628" tooltip="Перейти" display="Перейти"/>
    <hyperlink ref="E5630" r:id="rId_hyperlink_5629" tooltip="Перейти" display="Перейти"/>
    <hyperlink ref="E5631" r:id="rId_hyperlink_5630" tooltip="Перейти" display="Перейти"/>
    <hyperlink ref="E5632" r:id="rId_hyperlink_5631" tooltip="Перейти" display="Перейти"/>
    <hyperlink ref="E5633" r:id="rId_hyperlink_5632" tooltip="Перейти" display="Перейти"/>
    <hyperlink ref="E5634" r:id="rId_hyperlink_5633" tooltip="Перейти" display="Перейти"/>
    <hyperlink ref="E5635" r:id="rId_hyperlink_5634" tooltip="Перейти" display="Перейти"/>
    <hyperlink ref="E5636" r:id="rId_hyperlink_5635" tooltip="Перейти" display="Перейти"/>
    <hyperlink ref="E5637" r:id="rId_hyperlink_5636" tooltip="Перейти" display="Перейти"/>
    <hyperlink ref="E5638" r:id="rId_hyperlink_5637" tooltip="Перейти" display="Перейти"/>
    <hyperlink ref="E5639" r:id="rId_hyperlink_5638" tooltip="Перейти" display="Перейти"/>
    <hyperlink ref="E5640" r:id="rId_hyperlink_5639" tooltip="Перейти" display="Перейти"/>
    <hyperlink ref="E5641" r:id="rId_hyperlink_5640" tooltip="Перейти" display="Перейти"/>
    <hyperlink ref="E5642" r:id="rId_hyperlink_5641" tooltip="Перейти" display="Перейти"/>
    <hyperlink ref="E5643" r:id="rId_hyperlink_5642" tooltip="Перейти" display="Перейти"/>
    <hyperlink ref="E5644" r:id="rId_hyperlink_5643" tooltip="Перейти" display="Перейти"/>
    <hyperlink ref="E5645" r:id="rId_hyperlink_5644" tooltip="Перейти" display="Перейти"/>
    <hyperlink ref="E5646" r:id="rId_hyperlink_5645" tooltip="Перейти" display="Перейти"/>
    <hyperlink ref="E5647" r:id="rId_hyperlink_5646" tooltip="Перейти" display="Перейти"/>
    <hyperlink ref="E5648" r:id="rId_hyperlink_5647" tooltip="Перейти" display="Перейти"/>
    <hyperlink ref="E5649" r:id="rId_hyperlink_5648" tooltip="Перейти" display="Перейти"/>
    <hyperlink ref="E5650" r:id="rId_hyperlink_5649" tooltip="Перейти" display="Перейти"/>
    <hyperlink ref="E5651" r:id="rId_hyperlink_5650" tooltip="Перейти" display="Перейти"/>
    <hyperlink ref="E5652" r:id="rId_hyperlink_5651" tooltip="Перейти" display="Перейти"/>
    <hyperlink ref="E5653" r:id="rId_hyperlink_5652" tooltip="Перейти" display="Перейти"/>
    <hyperlink ref="E5654" r:id="rId_hyperlink_5653" tooltip="Перейти" display="Перейти"/>
    <hyperlink ref="E5655" r:id="rId_hyperlink_5654" tooltip="Перейти" display="Перейти"/>
    <hyperlink ref="E5656" r:id="rId_hyperlink_5655" tooltip="Перейти" display="Перейти"/>
    <hyperlink ref="E5657" r:id="rId_hyperlink_5656" tooltip="Перейти" display="Перейти"/>
    <hyperlink ref="E5658" r:id="rId_hyperlink_5657" tooltip="Перейти" display="Перейти"/>
    <hyperlink ref="E5659" r:id="rId_hyperlink_5658" tooltip="Перейти" display="Перейти"/>
    <hyperlink ref="E5660" r:id="rId_hyperlink_5659" tooltip="Перейти" display="Перейти"/>
    <hyperlink ref="E5661" r:id="rId_hyperlink_5660" tooltip="Перейти" display="Перейти"/>
    <hyperlink ref="E5662" r:id="rId_hyperlink_5661" tooltip="Перейти" display="Перейти"/>
    <hyperlink ref="E5663" r:id="rId_hyperlink_5662" tooltip="Перейти" display="Перейти"/>
    <hyperlink ref="E5664" r:id="rId_hyperlink_5663" tooltip="Перейти" display="Перейти"/>
    <hyperlink ref="E5665" r:id="rId_hyperlink_5664" tooltip="Перейти" display="Перейти"/>
    <hyperlink ref="E5666" r:id="rId_hyperlink_5665" tooltip="Перейти" display="Перейти"/>
    <hyperlink ref="E5667" r:id="rId_hyperlink_5666" tooltip="Перейти" display="Перейти"/>
    <hyperlink ref="E5668" r:id="rId_hyperlink_5667" tooltip="Перейти" display="Перейти"/>
    <hyperlink ref="E5669" r:id="rId_hyperlink_5668" tooltip="Перейти" display="Перейти"/>
    <hyperlink ref="E5670" r:id="rId_hyperlink_5669" tooltip="Перейти" display="Перейти"/>
    <hyperlink ref="E5671" r:id="rId_hyperlink_5670" tooltip="Перейти" display="Перейти"/>
    <hyperlink ref="E5672" r:id="rId_hyperlink_5671" tooltip="Перейти" display="Перейти"/>
    <hyperlink ref="E5673" r:id="rId_hyperlink_5672" tooltip="Перейти" display="Перейти"/>
    <hyperlink ref="E5674" r:id="rId_hyperlink_5673" tooltip="Перейти" display="Перейти"/>
    <hyperlink ref="E5675" r:id="rId_hyperlink_5674" tooltip="Перейти" display="Перейти"/>
    <hyperlink ref="E5676" r:id="rId_hyperlink_5675" tooltip="Перейти" display="Перейти"/>
    <hyperlink ref="E5677" r:id="rId_hyperlink_5676" tooltip="Перейти" display="Перейти"/>
    <hyperlink ref="E5678" r:id="rId_hyperlink_5677" tooltip="Перейти" display="Перейти"/>
    <hyperlink ref="E5679" r:id="rId_hyperlink_5678" tooltip="Перейти" display="Перейти"/>
    <hyperlink ref="E5680" r:id="rId_hyperlink_5679" tooltip="Перейти" display="Перейти"/>
    <hyperlink ref="E5681" r:id="rId_hyperlink_5680" tooltip="Перейти" display="Перейти"/>
    <hyperlink ref="E5682" r:id="rId_hyperlink_5681" tooltip="Перейти" display="Перейти"/>
    <hyperlink ref="E5683" r:id="rId_hyperlink_5682" tooltip="Перейти" display="Перейти"/>
    <hyperlink ref="E5684" r:id="rId_hyperlink_5683" tooltip="Перейти" display="Перейти"/>
    <hyperlink ref="E5685" r:id="rId_hyperlink_5684" tooltip="Перейти" display="Перейти"/>
    <hyperlink ref="E5686" r:id="rId_hyperlink_5685" tooltip="Перейти" display="Перейти"/>
    <hyperlink ref="E5687" r:id="rId_hyperlink_5686" tooltip="Перейти" display="Перейти"/>
    <hyperlink ref="E5688" r:id="rId_hyperlink_5687" tooltip="Перейти" display="Перейти"/>
    <hyperlink ref="E5689" r:id="rId_hyperlink_5688" tooltip="Перейти" display="Перейти"/>
    <hyperlink ref="E5690" r:id="rId_hyperlink_5689" tooltip="Перейти" display="Перейти"/>
    <hyperlink ref="E5691" r:id="rId_hyperlink_5690" tooltip="Перейти" display="Перейти"/>
    <hyperlink ref="E5692" r:id="rId_hyperlink_5691" tooltip="Перейти" display="Перейти"/>
    <hyperlink ref="E5693" r:id="rId_hyperlink_5692" tooltip="Перейти" display="Перейти"/>
    <hyperlink ref="E5694" r:id="rId_hyperlink_5693" tooltip="Перейти" display="Перейти"/>
    <hyperlink ref="E5695" r:id="rId_hyperlink_5694" tooltip="Перейти" display="Перейти"/>
    <hyperlink ref="E5696" r:id="rId_hyperlink_5695" tooltip="Перейти" display="Перейти"/>
    <hyperlink ref="E5697" r:id="rId_hyperlink_5696" tooltip="Перейти" display="Перейти"/>
    <hyperlink ref="E5698" r:id="rId_hyperlink_5697" tooltip="Перейти" display="Перейти"/>
    <hyperlink ref="E5699" r:id="rId_hyperlink_5698" tooltip="Перейти" display="Перейти"/>
    <hyperlink ref="E5700" r:id="rId_hyperlink_5699" tooltip="Перейти" display="Перейти"/>
    <hyperlink ref="E5701" r:id="rId_hyperlink_5700" tooltip="Перейти" display="Перейти"/>
    <hyperlink ref="E5702" r:id="rId_hyperlink_5701" tooltip="Перейти" display="Перейти"/>
    <hyperlink ref="E5703" r:id="rId_hyperlink_5702" tooltip="Перейти" display="Перейти"/>
    <hyperlink ref="E5704" r:id="rId_hyperlink_5703" tooltip="Перейти" display="Перейти"/>
    <hyperlink ref="E5705" r:id="rId_hyperlink_5704" tooltip="Перейти" display="Перейти"/>
    <hyperlink ref="E5706" r:id="rId_hyperlink_5705" tooltip="Перейти" display="Перейти"/>
    <hyperlink ref="E5707" r:id="rId_hyperlink_5706" tooltip="Перейти" display="Перейти"/>
    <hyperlink ref="E5708" r:id="rId_hyperlink_5707" tooltip="Перейти" display="Перейти"/>
    <hyperlink ref="E5709" r:id="rId_hyperlink_5708" tooltip="Перейти" display="Перейти"/>
    <hyperlink ref="E5710" r:id="rId_hyperlink_5709" tooltip="Перейти" display="Перейти"/>
    <hyperlink ref="E5711" r:id="rId_hyperlink_5710" tooltip="Перейти" display="Перейти"/>
    <hyperlink ref="E5712" r:id="rId_hyperlink_5711" tooltip="Перейти" display="Перейти"/>
    <hyperlink ref="E5713" r:id="rId_hyperlink_5712" tooltip="Перейти" display="Перейти"/>
    <hyperlink ref="E5714" r:id="rId_hyperlink_5713" tooltip="Перейти" display="Перейти"/>
    <hyperlink ref="E5715" r:id="rId_hyperlink_5714" tooltip="Перейти" display="Перейти"/>
    <hyperlink ref="E5716" r:id="rId_hyperlink_5715" tooltip="Перейти" display="Перейти"/>
    <hyperlink ref="E5717" r:id="rId_hyperlink_5716" tooltip="Перейти" display="Перейти"/>
    <hyperlink ref="E5718" r:id="rId_hyperlink_5717" tooltip="Перейти" display="Перейти"/>
    <hyperlink ref="E5719" r:id="rId_hyperlink_5718" tooltip="Перейти" display="Перейти"/>
    <hyperlink ref="E5720" r:id="rId_hyperlink_5719" tooltip="Перейти" display="Перейти"/>
    <hyperlink ref="E5721" r:id="rId_hyperlink_5720" tooltip="Перейти" display="Перейти"/>
    <hyperlink ref="E5722" r:id="rId_hyperlink_5721" tooltip="Перейти" display="Перейти"/>
    <hyperlink ref="E5723" r:id="rId_hyperlink_5722" tooltip="Перейти" display="Перейти"/>
    <hyperlink ref="E5724" r:id="rId_hyperlink_5723" tooltip="Перейти" display="Перейти"/>
    <hyperlink ref="E5725" r:id="rId_hyperlink_5724" tooltip="Перейти" display="Перейти"/>
    <hyperlink ref="E5726" r:id="rId_hyperlink_5725" tooltip="Перейти" display="Перейти"/>
    <hyperlink ref="E5727" r:id="rId_hyperlink_5726" tooltip="Перейти" display="Перейти"/>
    <hyperlink ref="E5728" r:id="rId_hyperlink_5727" tooltip="Перейти" display="Перейти"/>
    <hyperlink ref="E5729" r:id="rId_hyperlink_5728" tooltip="Перейти" display="Перейти"/>
    <hyperlink ref="E5730" r:id="rId_hyperlink_5729" tooltip="Перейти" display="Перейти"/>
    <hyperlink ref="E5731" r:id="rId_hyperlink_5730" tooltip="Перейти" display="Перейти"/>
    <hyperlink ref="E5732" r:id="rId_hyperlink_5731" tooltip="Перейти" display="Перейти"/>
    <hyperlink ref="E5733" r:id="rId_hyperlink_5732" tooltip="Перейти" display="Перейти"/>
    <hyperlink ref="E5734" r:id="rId_hyperlink_5733" tooltip="Перейти" display="Перейти"/>
    <hyperlink ref="E5735" r:id="rId_hyperlink_5734" tooltip="Перейти" display="Перейти"/>
    <hyperlink ref="E5736" r:id="rId_hyperlink_5735" tooltip="Перейти" display="Перейти"/>
    <hyperlink ref="E5737" r:id="rId_hyperlink_5736" tooltip="Перейти" display="Перейти"/>
    <hyperlink ref="E5738" r:id="rId_hyperlink_5737" tooltip="Перейти" display="Перейти"/>
    <hyperlink ref="E5739" r:id="rId_hyperlink_5738" tooltip="Перейти" display="Перейти"/>
    <hyperlink ref="E5740" r:id="rId_hyperlink_5739" tooltip="Перейти" display="Перейти"/>
    <hyperlink ref="E5741" r:id="rId_hyperlink_5740" tooltip="Перейти" display="Перейти"/>
    <hyperlink ref="E5742" r:id="rId_hyperlink_5741" tooltip="Перейти" display="Перейти"/>
    <hyperlink ref="E5743" r:id="rId_hyperlink_5742" tooltip="Перейти" display="Перейти"/>
    <hyperlink ref="E5744" r:id="rId_hyperlink_5743" tooltip="Перейти" display="Перейти"/>
    <hyperlink ref="E5745" r:id="rId_hyperlink_5744" tooltip="Перейти" display="Перейти"/>
    <hyperlink ref="E5746" r:id="rId_hyperlink_5745" tooltip="Перейти" display="Перейти"/>
    <hyperlink ref="E5747" r:id="rId_hyperlink_5746" tooltip="Перейти" display="Перейти"/>
    <hyperlink ref="E5748" r:id="rId_hyperlink_5747" tooltip="Перейти" display="Перейти"/>
    <hyperlink ref="E5749" r:id="rId_hyperlink_5748" tooltip="Перейти" display="Перейти"/>
    <hyperlink ref="E5750" r:id="rId_hyperlink_5749" tooltip="Перейти" display="Перейти"/>
    <hyperlink ref="E5751" r:id="rId_hyperlink_5750" tooltip="Перейти" display="Перейти"/>
    <hyperlink ref="E5752" r:id="rId_hyperlink_5751" tooltip="Перейти" display="Перейти"/>
    <hyperlink ref="E5753" r:id="rId_hyperlink_5752" tooltip="Перейти" display="Перейти"/>
    <hyperlink ref="E5754" r:id="rId_hyperlink_5753" tooltip="Перейти" display="Перейти"/>
    <hyperlink ref="E5755" r:id="rId_hyperlink_5754" tooltip="Перейти" display="Перейти"/>
    <hyperlink ref="E5756" r:id="rId_hyperlink_5755" tooltip="Перейти" display="Перейти"/>
    <hyperlink ref="E5757" r:id="rId_hyperlink_5756" tooltip="Перейти" display="Перейти"/>
    <hyperlink ref="E5758" r:id="rId_hyperlink_5757" tooltip="Перейти" display="Перейти"/>
    <hyperlink ref="E5759" r:id="rId_hyperlink_5758" tooltip="Перейти" display="Перейти"/>
    <hyperlink ref="E5760" r:id="rId_hyperlink_5759" tooltip="Перейти" display="Перейти"/>
    <hyperlink ref="E5761" r:id="rId_hyperlink_5760" tooltip="Перейти" display="Перейти"/>
    <hyperlink ref="E5762" r:id="rId_hyperlink_5761" tooltip="Перейти" display="Перейти"/>
    <hyperlink ref="E5763" r:id="rId_hyperlink_5762" tooltip="Перейти" display="Перейти"/>
    <hyperlink ref="E5764" r:id="rId_hyperlink_5763" tooltip="Перейти" display="Перейти"/>
    <hyperlink ref="E5765" r:id="rId_hyperlink_5764" tooltip="Перейти" display="Перейти"/>
    <hyperlink ref="E5766" r:id="rId_hyperlink_5765" tooltip="Перейти" display="Перейти"/>
    <hyperlink ref="E5767" r:id="rId_hyperlink_5766" tooltip="Перейти" display="Перейти"/>
    <hyperlink ref="E5768" r:id="rId_hyperlink_5767" tooltip="Перейти" display="Перейти"/>
    <hyperlink ref="E5769" r:id="rId_hyperlink_5768" tooltip="Перейти" display="Перейти"/>
    <hyperlink ref="E5770" r:id="rId_hyperlink_5769" tooltip="Перейти" display="Перейти"/>
    <hyperlink ref="E5771" r:id="rId_hyperlink_5770" tooltip="Перейти" display="Перейти"/>
    <hyperlink ref="E5772" r:id="rId_hyperlink_5771" tooltip="Перейти" display="Перейти"/>
    <hyperlink ref="E5773" r:id="rId_hyperlink_5772" tooltip="Перейти" display="Перейти"/>
    <hyperlink ref="E5774" r:id="rId_hyperlink_5773" tooltip="Перейти" display="Перейти"/>
    <hyperlink ref="E5775" r:id="rId_hyperlink_5774" tooltip="Перейти" display="Перейти"/>
    <hyperlink ref="E5776" r:id="rId_hyperlink_5775" tooltip="Перейти" display="Перейти"/>
    <hyperlink ref="E5777" r:id="rId_hyperlink_5776" tooltip="Перейти" display="Перейти"/>
    <hyperlink ref="E5778" r:id="rId_hyperlink_5777" tooltip="Перейти" display="Перейти"/>
    <hyperlink ref="E5779" r:id="rId_hyperlink_5778" tooltip="Перейти" display="Перейти"/>
    <hyperlink ref="E5780" r:id="rId_hyperlink_5779" tooltip="Перейти" display="Перейти"/>
    <hyperlink ref="E5781" r:id="rId_hyperlink_5780" tooltip="Перейти" display="Перейти"/>
    <hyperlink ref="E5782" r:id="rId_hyperlink_5781" tooltip="Перейти" display="Перейти"/>
    <hyperlink ref="E5783" r:id="rId_hyperlink_5782" tooltip="Перейти" display="Перейти"/>
    <hyperlink ref="E5784" r:id="rId_hyperlink_5783" tooltip="Перейти" display="Перейти"/>
    <hyperlink ref="E5785" r:id="rId_hyperlink_5784" tooltip="Перейти" display="Перейти"/>
    <hyperlink ref="E5786" r:id="rId_hyperlink_5785" tooltip="Перейти" display="Перейти"/>
    <hyperlink ref="E5787" r:id="rId_hyperlink_5786" tooltip="Перейти" display="Перейти"/>
    <hyperlink ref="E5788" r:id="rId_hyperlink_5787" tooltip="Перейти" display="Перейти"/>
    <hyperlink ref="E5789" r:id="rId_hyperlink_5788" tooltip="Перейти" display="Перейти"/>
    <hyperlink ref="E5790" r:id="rId_hyperlink_5789" tooltip="Перейти" display="Перейти"/>
    <hyperlink ref="E5791" r:id="rId_hyperlink_5790" tooltip="Перейти" display="Перейти"/>
    <hyperlink ref="E5792" r:id="rId_hyperlink_5791" tooltip="Перейти" display="Перейти"/>
    <hyperlink ref="E5793" r:id="rId_hyperlink_5792" tooltip="Перейти" display="Перейти"/>
    <hyperlink ref="E5794" r:id="rId_hyperlink_5793" tooltip="Перейти" display="Перейти"/>
    <hyperlink ref="E5795" r:id="rId_hyperlink_5794" tooltip="Перейти" display="Перейти"/>
    <hyperlink ref="E5796" r:id="rId_hyperlink_5795" tooltip="Перейти" display="Перейти"/>
    <hyperlink ref="E5797" r:id="rId_hyperlink_5796" tooltip="Перейти" display="Перейти"/>
    <hyperlink ref="E5798" r:id="rId_hyperlink_5797" tooltip="Перейти" display="Перейти"/>
    <hyperlink ref="E5799" r:id="rId_hyperlink_5798" tooltip="Перейти" display="Перейти"/>
    <hyperlink ref="E5800" r:id="rId_hyperlink_5799" tooltip="Перейти" display="Перейти"/>
    <hyperlink ref="E5801" r:id="rId_hyperlink_5800" tooltip="Перейти" display="Перейти"/>
    <hyperlink ref="E5802" r:id="rId_hyperlink_5801" tooltip="Перейти" display="Перейти"/>
    <hyperlink ref="E5803" r:id="rId_hyperlink_5802" tooltip="Перейти" display="Перейти"/>
    <hyperlink ref="E5804" r:id="rId_hyperlink_5803" tooltip="Перейти" display="Перейти"/>
    <hyperlink ref="E5805" r:id="rId_hyperlink_5804" tooltip="Перейти" display="Перейти"/>
    <hyperlink ref="E5806" r:id="rId_hyperlink_5805" tooltip="Перейти" display="Перейти"/>
    <hyperlink ref="E5807" r:id="rId_hyperlink_5806" tooltip="Перейти" display="Перейти"/>
    <hyperlink ref="E5808" r:id="rId_hyperlink_5807" tooltip="Перейти" display="Перейти"/>
    <hyperlink ref="E5809" r:id="rId_hyperlink_5808" tooltip="Перейти" display="Перейти"/>
    <hyperlink ref="E5810" r:id="rId_hyperlink_5809" tooltip="Перейти" display="Перейти"/>
    <hyperlink ref="E5811" r:id="rId_hyperlink_5810" tooltip="Перейти" display="Перейти"/>
    <hyperlink ref="E5812" r:id="rId_hyperlink_5811" tooltip="Перейти" display="Перейти"/>
    <hyperlink ref="E5813" r:id="rId_hyperlink_5812" tooltip="Перейти" display="Перейти"/>
    <hyperlink ref="E5814" r:id="rId_hyperlink_5813" tooltip="Перейти" display="Перейти"/>
    <hyperlink ref="E5815" r:id="rId_hyperlink_5814" tooltip="Перейти" display="Перейти"/>
    <hyperlink ref="E5816" r:id="rId_hyperlink_5815" tooltip="Перейти" display="Перейти"/>
    <hyperlink ref="E5817" r:id="rId_hyperlink_5816" tooltip="Перейти" display="Перейти"/>
    <hyperlink ref="E5818" r:id="rId_hyperlink_5817" tooltip="Перейти" display="Перейти"/>
    <hyperlink ref="E5819" r:id="rId_hyperlink_5818" tooltip="Перейти" display="Перейти"/>
    <hyperlink ref="E5820" r:id="rId_hyperlink_5819" tooltip="Перейти" display="Перейти"/>
    <hyperlink ref="E5821" r:id="rId_hyperlink_5820" tooltip="Перейти" display="Перейти"/>
    <hyperlink ref="E5822" r:id="rId_hyperlink_5821" tooltip="Перейти" display="Перейти"/>
    <hyperlink ref="E5823" r:id="rId_hyperlink_5822" tooltip="Перейти" display="Перейти"/>
    <hyperlink ref="E5824" r:id="rId_hyperlink_5823" tooltip="Перейти" display="Перейти"/>
    <hyperlink ref="E5825" r:id="rId_hyperlink_5824" tooltip="Перейти" display="Перейти"/>
    <hyperlink ref="E5826" r:id="rId_hyperlink_5825" tooltip="Перейти" display="Перейти"/>
    <hyperlink ref="E5827" r:id="rId_hyperlink_5826" tooltip="Перейти" display="Перейти"/>
    <hyperlink ref="E5828" r:id="rId_hyperlink_5827" tooltip="Перейти" display="Перейти"/>
    <hyperlink ref="E5829" r:id="rId_hyperlink_5828" tooltip="Перейти" display="Перейти"/>
    <hyperlink ref="E5830" r:id="rId_hyperlink_5829" tooltip="Перейти" display="Перейти"/>
    <hyperlink ref="E5831" r:id="rId_hyperlink_5830" tooltip="Перейти" display="Перейти"/>
    <hyperlink ref="E5832" r:id="rId_hyperlink_5831" tooltip="Перейти" display="Перейти"/>
    <hyperlink ref="E5833" r:id="rId_hyperlink_5832" tooltip="Перейти" display="Перейти"/>
    <hyperlink ref="E5834" r:id="rId_hyperlink_5833" tooltip="Перейти" display="Перейти"/>
    <hyperlink ref="E5835" r:id="rId_hyperlink_5834" tooltip="Перейти" display="Перейти"/>
    <hyperlink ref="E5836" r:id="rId_hyperlink_5835" tooltip="Перейти" display="Перейти"/>
    <hyperlink ref="E5837" r:id="rId_hyperlink_5836" tooltip="Перейти" display="Перейти"/>
    <hyperlink ref="E5838" r:id="rId_hyperlink_5837" tooltip="Перейти" display="Перейти"/>
    <hyperlink ref="E5839" r:id="rId_hyperlink_5838" tooltip="Перейти" display="Перейти"/>
    <hyperlink ref="E5840" r:id="rId_hyperlink_5839" tooltip="Перейти" display="Перейти"/>
    <hyperlink ref="E5841" r:id="rId_hyperlink_5840" tooltip="Перейти" display="Перейти"/>
    <hyperlink ref="E5842" r:id="rId_hyperlink_5841" tooltip="Перейти" display="Перейти"/>
    <hyperlink ref="E5843" r:id="rId_hyperlink_5842" tooltip="Перейти" display="Перейти"/>
    <hyperlink ref="E5844" r:id="rId_hyperlink_5843" tooltip="Перейти" display="Перейти"/>
    <hyperlink ref="E5845" r:id="rId_hyperlink_5844" tooltip="Перейти" display="Перейти"/>
    <hyperlink ref="E5846" r:id="rId_hyperlink_5845" tooltip="Перейти" display="Перейти"/>
    <hyperlink ref="E5847" r:id="rId_hyperlink_5846" tooltip="Перейти" display="Перейти"/>
    <hyperlink ref="E5848" r:id="rId_hyperlink_5847" tooltip="Перейти" display="Перейти"/>
    <hyperlink ref="E5849" r:id="rId_hyperlink_5848" tooltip="Перейти" display="Перейти"/>
    <hyperlink ref="E5850" r:id="rId_hyperlink_5849" tooltip="Перейти" display="Перейти"/>
    <hyperlink ref="E5851" r:id="rId_hyperlink_5850" tooltip="Перейти" display="Перейти"/>
    <hyperlink ref="E5852" r:id="rId_hyperlink_5851" tooltip="Перейти" display="Перейти"/>
    <hyperlink ref="E5853" r:id="rId_hyperlink_5852" tooltip="Перейти" display="Перейти"/>
    <hyperlink ref="E5854" r:id="rId_hyperlink_5853" tooltip="Перейти" display="Перейти"/>
    <hyperlink ref="E5855" r:id="rId_hyperlink_5854" tooltip="Перейти" display="Перейти"/>
    <hyperlink ref="E5856" r:id="rId_hyperlink_5855" tooltip="Перейти" display="Перейти"/>
    <hyperlink ref="E5857" r:id="rId_hyperlink_5856" tooltip="Перейти" display="Перейти"/>
    <hyperlink ref="E5858" r:id="rId_hyperlink_5857" tooltip="Перейти" display="Перейти"/>
    <hyperlink ref="E5859" r:id="rId_hyperlink_5858" tooltip="Перейти" display="Перейти"/>
    <hyperlink ref="E5860" r:id="rId_hyperlink_5859" tooltip="Перейти" display="Перейти"/>
    <hyperlink ref="E5861" r:id="rId_hyperlink_5860" tooltip="Перейти" display="Перейти"/>
    <hyperlink ref="E5862" r:id="rId_hyperlink_5861" tooltip="Перейти" display="Перейти"/>
    <hyperlink ref="E5863" r:id="rId_hyperlink_5862" tooltip="Перейти" display="Перейти"/>
    <hyperlink ref="E5864" r:id="rId_hyperlink_5863" tooltip="Перейти" display="Перейти"/>
    <hyperlink ref="E5865" r:id="rId_hyperlink_5864" tooltip="Перейти" display="Перейти"/>
    <hyperlink ref="E5866" r:id="rId_hyperlink_5865" tooltip="Перейти" display="Перейти"/>
    <hyperlink ref="E5867" r:id="rId_hyperlink_5866" tooltip="Перейти" display="Перейти"/>
    <hyperlink ref="E5868" r:id="rId_hyperlink_5867" tooltip="Перейти" display="Перейти"/>
    <hyperlink ref="E5869" r:id="rId_hyperlink_5868" tooltip="Перейти" display="Перейти"/>
    <hyperlink ref="E5870" r:id="rId_hyperlink_5869" tooltip="Перейти" display="Перейти"/>
    <hyperlink ref="E5871" r:id="rId_hyperlink_5870" tooltip="Перейти" display="Перейти"/>
    <hyperlink ref="E5872" r:id="rId_hyperlink_5871" tooltip="Перейти" display="Перейти"/>
    <hyperlink ref="E5873" r:id="rId_hyperlink_5872" tooltip="Перейти" display="Перейти"/>
    <hyperlink ref="E5874" r:id="rId_hyperlink_5873" tooltip="Перейти" display="Перейти"/>
    <hyperlink ref="E5875" r:id="rId_hyperlink_5874" tooltip="Перейти" display="Перейти"/>
    <hyperlink ref="E5876" r:id="rId_hyperlink_5875" tooltip="Перейти" display="Перейти"/>
    <hyperlink ref="E5877" r:id="rId_hyperlink_5876" tooltip="Перейти" display="Перейти"/>
    <hyperlink ref="E5878" r:id="rId_hyperlink_5877" tooltip="Перейти" display="Перейти"/>
    <hyperlink ref="E5879" r:id="rId_hyperlink_5878" tooltip="Перейти" display="Перейти"/>
    <hyperlink ref="E5880" r:id="rId_hyperlink_5879" tooltip="Перейти" display="Перейти"/>
    <hyperlink ref="E5881" r:id="rId_hyperlink_5880" tooltip="Перейти" display="Перейти"/>
    <hyperlink ref="E5882" r:id="rId_hyperlink_5881" tooltip="Перейти" display="Перейти"/>
    <hyperlink ref="E5883" r:id="rId_hyperlink_5882" tooltip="Перейти" display="Перейти"/>
    <hyperlink ref="E5884" r:id="rId_hyperlink_5883" tooltip="Перейти" display="Перейти"/>
    <hyperlink ref="E5885" r:id="rId_hyperlink_5884" tooltip="Перейти" display="Перейти"/>
    <hyperlink ref="E5886" r:id="rId_hyperlink_5885" tooltip="Перейти" display="Перейти"/>
    <hyperlink ref="E5887" r:id="rId_hyperlink_5886" tooltip="Перейти" display="Перейти"/>
    <hyperlink ref="E5888" r:id="rId_hyperlink_5887" tooltip="Перейти" display="Перейти"/>
    <hyperlink ref="E5889" r:id="rId_hyperlink_5888" tooltip="Перейти" display="Перейти"/>
    <hyperlink ref="E5890" r:id="rId_hyperlink_5889" tooltip="Перейти" display="Перейти"/>
    <hyperlink ref="E5891" r:id="rId_hyperlink_5890" tooltip="Перейти" display="Перейти"/>
    <hyperlink ref="E5892" r:id="rId_hyperlink_5891" tooltip="Перейти" display="Перейти"/>
    <hyperlink ref="E5893" r:id="rId_hyperlink_5892" tooltip="Перейти" display="Перейти"/>
    <hyperlink ref="E5894" r:id="rId_hyperlink_5893" tooltip="Перейти" display="Перейти"/>
    <hyperlink ref="E5895" r:id="rId_hyperlink_5894" tooltip="Перейти" display="Перейти"/>
    <hyperlink ref="E5896" r:id="rId_hyperlink_5895" tooltip="Перейти" display="Перейти"/>
    <hyperlink ref="E5897" r:id="rId_hyperlink_5896" tooltip="Перейти" display="Перейти"/>
    <hyperlink ref="E5898" r:id="rId_hyperlink_5897" tooltip="Перейти" display="Перейти"/>
    <hyperlink ref="E5899" r:id="rId_hyperlink_5898" tooltip="Перейти" display="Перейти"/>
    <hyperlink ref="E5900" r:id="rId_hyperlink_5899" tooltip="Перейти" display="Перейти"/>
    <hyperlink ref="E5901" r:id="rId_hyperlink_5900" tooltip="Перейти" display="Перейти"/>
    <hyperlink ref="E5902" r:id="rId_hyperlink_5901" tooltip="Перейти" display="Перейти"/>
    <hyperlink ref="E5903" r:id="rId_hyperlink_5902" tooltip="Перейти" display="Перейти"/>
    <hyperlink ref="E5904" r:id="rId_hyperlink_5903" tooltip="Перейти" display="Перейти"/>
    <hyperlink ref="E5905" r:id="rId_hyperlink_5904" tooltip="Перейти" display="Перейти"/>
    <hyperlink ref="E5906" r:id="rId_hyperlink_5905" tooltip="Перейти" display="Перейти"/>
    <hyperlink ref="E5907" r:id="rId_hyperlink_5906" tooltip="Перейти" display="Перейти"/>
    <hyperlink ref="E5908" r:id="rId_hyperlink_5907" tooltip="Перейти" display="Перейти"/>
    <hyperlink ref="E5909" r:id="rId_hyperlink_5908" tooltip="Перейти" display="Перейти"/>
    <hyperlink ref="E5910" r:id="rId_hyperlink_5909" tooltip="Перейти" display="Перейти"/>
    <hyperlink ref="E5911" r:id="rId_hyperlink_5910" tooltip="Перейти" display="Перейти"/>
    <hyperlink ref="E5912" r:id="rId_hyperlink_5911" tooltip="Перейти" display="Перейти"/>
    <hyperlink ref="E5913" r:id="rId_hyperlink_5912" tooltip="Перейти" display="Перейти"/>
    <hyperlink ref="E5914" r:id="rId_hyperlink_5913" tooltip="Перейти" display="Перейти"/>
    <hyperlink ref="E5915" r:id="rId_hyperlink_5914" tooltip="Перейти" display="Перейти"/>
    <hyperlink ref="E5916" r:id="rId_hyperlink_5915" tooltip="Перейти" display="Перейти"/>
    <hyperlink ref="E5917" r:id="rId_hyperlink_5916" tooltip="Перейти" display="Перейти"/>
    <hyperlink ref="E5918" r:id="rId_hyperlink_5917" tooltip="Перейти" display="Перейти"/>
    <hyperlink ref="E5919" r:id="rId_hyperlink_5918" tooltip="Перейти" display="Перейти"/>
    <hyperlink ref="E5920" r:id="rId_hyperlink_5919" tooltip="Перейти" display="Перейти"/>
    <hyperlink ref="E5921" r:id="rId_hyperlink_5920" tooltip="Перейти" display="Перейти"/>
    <hyperlink ref="E5922" r:id="rId_hyperlink_5921" tooltip="Перейти" display="Перейти"/>
    <hyperlink ref="E5923" r:id="rId_hyperlink_5922" tooltip="Перейти" display="Перейти"/>
    <hyperlink ref="E5924" r:id="rId_hyperlink_5923" tooltip="Перейти" display="Перейти"/>
    <hyperlink ref="E5925" r:id="rId_hyperlink_5924" tooltip="Перейти" display="Перейти"/>
    <hyperlink ref="E5926" r:id="rId_hyperlink_5925" tooltip="Перейти" display="Перейти"/>
    <hyperlink ref="E5927" r:id="rId_hyperlink_5926" tooltip="Перейти" display="Перейти"/>
    <hyperlink ref="E5928" r:id="rId_hyperlink_5927" tooltip="Перейти" display="Перейти"/>
    <hyperlink ref="E5929" r:id="rId_hyperlink_5928" tooltip="Перейти" display="Перейти"/>
    <hyperlink ref="E5930" r:id="rId_hyperlink_5929" tooltip="Перейти" display="Перейти"/>
    <hyperlink ref="E5931" r:id="rId_hyperlink_5930" tooltip="Перейти" display="Перейти"/>
    <hyperlink ref="E5932" r:id="rId_hyperlink_5931" tooltip="Перейти" display="Перейти"/>
    <hyperlink ref="E5933" r:id="rId_hyperlink_5932" tooltip="Перейти" display="Перейти"/>
    <hyperlink ref="E5934" r:id="rId_hyperlink_5933" tooltip="Перейти" display="Перейти"/>
    <hyperlink ref="E5935" r:id="rId_hyperlink_5934" tooltip="Перейти" display="Перейти"/>
    <hyperlink ref="E5936" r:id="rId_hyperlink_5935" tooltip="Перейти" display="Перейти"/>
    <hyperlink ref="E5937" r:id="rId_hyperlink_5936" tooltip="Перейти" display="Перейти"/>
    <hyperlink ref="E5938" r:id="rId_hyperlink_5937" tooltip="Перейти" display="Перейти"/>
    <hyperlink ref="E5939" r:id="rId_hyperlink_5938" tooltip="Перейти" display="Перейти"/>
    <hyperlink ref="E5940" r:id="rId_hyperlink_5939" tooltip="Перейти" display="Перейти"/>
    <hyperlink ref="E5941" r:id="rId_hyperlink_5940" tooltip="Перейти" display="Перейти"/>
    <hyperlink ref="E5942" r:id="rId_hyperlink_5941" tooltip="Перейти" display="Перейти"/>
    <hyperlink ref="E5943" r:id="rId_hyperlink_5942" tooltip="Перейти" display="Перейти"/>
    <hyperlink ref="E5944" r:id="rId_hyperlink_5943" tooltip="Перейти" display="Перейти"/>
    <hyperlink ref="E5945" r:id="rId_hyperlink_5944" tooltip="Перейти" display="Перейти"/>
    <hyperlink ref="E5946" r:id="rId_hyperlink_5945" tooltip="Перейти" display="Перейти"/>
    <hyperlink ref="E5947" r:id="rId_hyperlink_5946" tooltip="Перейти" display="Перейти"/>
    <hyperlink ref="E5948" r:id="rId_hyperlink_5947" tooltip="Перейти" display="Перейти"/>
    <hyperlink ref="E5949" r:id="rId_hyperlink_5948" tooltip="Перейти" display="Перейти"/>
    <hyperlink ref="E5950" r:id="rId_hyperlink_5949" tooltip="Перейти" display="Перейти"/>
    <hyperlink ref="E5951" r:id="rId_hyperlink_5950" tooltip="Перейти" display="Перейти"/>
    <hyperlink ref="E5952" r:id="rId_hyperlink_5951" tooltip="Перейти" display="Перейти"/>
    <hyperlink ref="E5953" r:id="rId_hyperlink_5952" tooltip="Перейти" display="Перейти"/>
    <hyperlink ref="E5954" r:id="rId_hyperlink_5953" tooltip="Перейти" display="Перейти"/>
    <hyperlink ref="E5955" r:id="rId_hyperlink_5954" tooltip="Перейти" display="Перейти"/>
    <hyperlink ref="E5956" r:id="rId_hyperlink_5955" tooltip="Перейти" display="Перейти"/>
    <hyperlink ref="E5957" r:id="rId_hyperlink_5956" tooltip="Перейти" display="Перейти"/>
    <hyperlink ref="E5958" r:id="rId_hyperlink_5957" tooltip="Перейти" display="Перейти"/>
    <hyperlink ref="E5959" r:id="rId_hyperlink_5958" tooltip="Перейти" display="Перейти"/>
    <hyperlink ref="E5960" r:id="rId_hyperlink_5959" tooltip="Перейти" display="Перейти"/>
    <hyperlink ref="E5961" r:id="rId_hyperlink_5960" tooltip="Перейти" display="Перейти"/>
    <hyperlink ref="E5962" r:id="rId_hyperlink_5961" tooltip="Перейти" display="Перейти"/>
    <hyperlink ref="E5963" r:id="rId_hyperlink_5962" tooltip="Перейти" display="Перейти"/>
    <hyperlink ref="E5964" r:id="rId_hyperlink_5963" tooltip="Перейти" display="Перейти"/>
    <hyperlink ref="E5965" r:id="rId_hyperlink_5964" tooltip="Перейти" display="Перейти"/>
    <hyperlink ref="E5966" r:id="rId_hyperlink_5965" tooltip="Перейти" display="Перейти"/>
    <hyperlink ref="E5967" r:id="rId_hyperlink_5966" tooltip="Перейти" display="Перейти"/>
    <hyperlink ref="E5968" r:id="rId_hyperlink_5967" tooltip="Перейти" display="Перейти"/>
    <hyperlink ref="E5969" r:id="rId_hyperlink_5968" tooltip="Перейти" display="Перейти"/>
    <hyperlink ref="E5970" r:id="rId_hyperlink_5969" tooltip="Перейти" display="Перейти"/>
    <hyperlink ref="E5971" r:id="rId_hyperlink_5970" tooltip="Перейти" display="Перейти"/>
    <hyperlink ref="E5972" r:id="rId_hyperlink_5971" tooltip="Перейти" display="Перейти"/>
    <hyperlink ref="E5973" r:id="rId_hyperlink_5972" tooltip="Перейти" display="Перейти"/>
    <hyperlink ref="E5974" r:id="rId_hyperlink_5973" tooltip="Перейти" display="Перейти"/>
    <hyperlink ref="E5975" r:id="rId_hyperlink_5974" tooltip="Перейти" display="Перейти"/>
    <hyperlink ref="E5976" r:id="rId_hyperlink_5975" tooltip="Перейти" display="Перейти"/>
    <hyperlink ref="E5977" r:id="rId_hyperlink_5976" tooltip="Перейти" display="Перейти"/>
    <hyperlink ref="E5978" r:id="rId_hyperlink_5977" tooltip="Перейти" display="Перейти"/>
    <hyperlink ref="E5979" r:id="rId_hyperlink_5978" tooltip="Перейти" display="Перейти"/>
    <hyperlink ref="E5980" r:id="rId_hyperlink_5979" tooltip="Перейти" display="Перейти"/>
    <hyperlink ref="E5981" r:id="rId_hyperlink_5980" tooltip="Перейти" display="Перейти"/>
    <hyperlink ref="E5982" r:id="rId_hyperlink_5981" tooltip="Перейти" display="Перейти"/>
    <hyperlink ref="E5983" r:id="rId_hyperlink_5982" tooltip="Перейти" display="Перейти"/>
    <hyperlink ref="E5984" r:id="rId_hyperlink_5983" tooltip="Перейти" display="Перейти"/>
    <hyperlink ref="E5985" r:id="rId_hyperlink_5984" tooltip="Перейти" display="Перейти"/>
    <hyperlink ref="E5986" r:id="rId_hyperlink_5985" tooltip="Перейти" display="Перейти"/>
    <hyperlink ref="E5987" r:id="rId_hyperlink_5986" tooltip="Перейти" display="Перейти"/>
    <hyperlink ref="E5988" r:id="rId_hyperlink_5987" tooltip="Перейти" display="Перейти"/>
    <hyperlink ref="E5989" r:id="rId_hyperlink_5988" tooltip="Перейти" display="Перейти"/>
    <hyperlink ref="E5990" r:id="rId_hyperlink_5989" tooltip="Перейти" display="Перейти"/>
    <hyperlink ref="E5991" r:id="rId_hyperlink_5990" tooltip="Перейти" display="Перейти"/>
    <hyperlink ref="E5992" r:id="rId_hyperlink_5991" tooltip="Перейти" display="Перейти"/>
    <hyperlink ref="E5993" r:id="rId_hyperlink_5992" tooltip="Перейти" display="Перейти"/>
    <hyperlink ref="E5994" r:id="rId_hyperlink_5993" tooltip="Перейти" display="Перейти"/>
    <hyperlink ref="E5995" r:id="rId_hyperlink_5994" tooltip="Перейти" display="Перейти"/>
    <hyperlink ref="E5996" r:id="rId_hyperlink_5995" tooltip="Перейти" display="Перейти"/>
    <hyperlink ref="E5997" r:id="rId_hyperlink_5996" tooltip="Перейти" display="Перейти"/>
    <hyperlink ref="E5998" r:id="rId_hyperlink_5997" tooltip="Перейти" display="Перейти"/>
    <hyperlink ref="E5999" r:id="rId_hyperlink_5998" tooltip="Перейти" display="Перейти"/>
    <hyperlink ref="E6000" r:id="rId_hyperlink_5999" tooltip="Перейти" display="Перейти"/>
    <hyperlink ref="E6001" r:id="rId_hyperlink_6000" tooltip="Перейти" display="Перейти"/>
    <hyperlink ref="E6002" r:id="rId_hyperlink_6001" tooltip="Перейти" display="Перейти"/>
    <hyperlink ref="E6003" r:id="rId_hyperlink_6002" tooltip="Перейти" display="Перейти"/>
    <hyperlink ref="E6004" r:id="rId_hyperlink_6003" tooltip="Перейти" display="Перейти"/>
    <hyperlink ref="E6005" r:id="rId_hyperlink_6004" tooltip="Перейти" display="Перейти"/>
    <hyperlink ref="E6006" r:id="rId_hyperlink_6005" tooltip="Перейти" display="Перейти"/>
    <hyperlink ref="E6007" r:id="rId_hyperlink_6006" tooltip="Перейти" display="Перейти"/>
    <hyperlink ref="E6008" r:id="rId_hyperlink_6007" tooltip="Перейти" display="Перейти"/>
    <hyperlink ref="E6009" r:id="rId_hyperlink_6008" tooltip="Перейти" display="Перейти"/>
    <hyperlink ref="E6010" r:id="rId_hyperlink_6009" tooltip="Перейти" display="Перейти"/>
    <hyperlink ref="E6011" r:id="rId_hyperlink_6010" tooltip="Перейти" display="Перейти"/>
    <hyperlink ref="E6012" r:id="rId_hyperlink_6011" tooltip="Перейти" display="Перейти"/>
    <hyperlink ref="E6013" r:id="rId_hyperlink_6012" tooltip="Перейти" display="Перейти"/>
    <hyperlink ref="E6014" r:id="rId_hyperlink_6013" tooltip="Перейти" display="Перейти"/>
    <hyperlink ref="E6015" r:id="rId_hyperlink_6014" tooltip="Перейти" display="Перейти"/>
    <hyperlink ref="E6016" r:id="rId_hyperlink_6015" tooltip="Перейти" display="Перейти"/>
    <hyperlink ref="E6017" r:id="rId_hyperlink_6016" tooltip="Перейти" display="Перейти"/>
    <hyperlink ref="E6018" r:id="rId_hyperlink_6017" tooltip="Перейти" display="Перейти"/>
    <hyperlink ref="E6019" r:id="rId_hyperlink_6018" tooltip="Перейти" display="Перейти"/>
    <hyperlink ref="E6020" r:id="rId_hyperlink_6019" tooltip="Перейти" display="Перейти"/>
    <hyperlink ref="E6021" r:id="rId_hyperlink_6020" tooltip="Перейти" display="Перейти"/>
    <hyperlink ref="E6022" r:id="rId_hyperlink_6021" tooltip="Перейти" display="Перейти"/>
    <hyperlink ref="E6023" r:id="rId_hyperlink_6022" tooltip="Перейти" display="Перейти"/>
    <hyperlink ref="E6024" r:id="rId_hyperlink_6023" tooltip="Перейти" display="Перейти"/>
    <hyperlink ref="E6025" r:id="rId_hyperlink_6024" tooltip="Перейти" display="Перейти"/>
    <hyperlink ref="E6026" r:id="rId_hyperlink_6025" tooltip="Перейти" display="Перейти"/>
    <hyperlink ref="E6027" r:id="rId_hyperlink_6026" tooltip="Перейти" display="Перейти"/>
    <hyperlink ref="E6028" r:id="rId_hyperlink_6027" tooltip="Перейти" display="Перейти"/>
    <hyperlink ref="E6029" r:id="rId_hyperlink_6028" tooltip="Перейти" display="Перейти"/>
    <hyperlink ref="E6030" r:id="rId_hyperlink_6029" tooltip="Перейти" display="Перейти"/>
    <hyperlink ref="E6031" r:id="rId_hyperlink_6030" tooltip="Перейти" display="Перейти"/>
    <hyperlink ref="E6032" r:id="rId_hyperlink_6031" tooltip="Перейти" display="Перейти"/>
    <hyperlink ref="E6033" r:id="rId_hyperlink_6032" tooltip="Перейти" display="Перейти"/>
    <hyperlink ref="E6034" r:id="rId_hyperlink_6033" tooltip="Перейти" display="Перейти"/>
    <hyperlink ref="E6035" r:id="rId_hyperlink_6034" tooltip="Перейти" display="Перейти"/>
    <hyperlink ref="E6036" r:id="rId_hyperlink_6035" tooltip="Перейти" display="Перейти"/>
    <hyperlink ref="E6037" r:id="rId_hyperlink_6036" tooltip="Перейти" display="Перейти"/>
    <hyperlink ref="E6038" r:id="rId_hyperlink_6037" tooltip="Перейти" display="Перейти"/>
    <hyperlink ref="E6039" r:id="rId_hyperlink_6038" tooltip="Перейти" display="Перейти"/>
    <hyperlink ref="E6040" r:id="rId_hyperlink_6039" tooltip="Перейти" display="Перейти"/>
    <hyperlink ref="E6041" r:id="rId_hyperlink_6040" tooltip="Перейти" display="Перейти"/>
    <hyperlink ref="E6042" r:id="rId_hyperlink_6041" tooltip="Перейти" display="Перейти"/>
    <hyperlink ref="E6043" r:id="rId_hyperlink_6042" tooltip="Перейти" display="Перейти"/>
    <hyperlink ref="E6044" r:id="rId_hyperlink_6043" tooltip="Перейти" display="Перейти"/>
    <hyperlink ref="E6045" r:id="rId_hyperlink_6044" tooltip="Перейти" display="Перейти"/>
    <hyperlink ref="E6046" r:id="rId_hyperlink_6045" tooltip="Перейти" display="Перейти"/>
    <hyperlink ref="E6047" r:id="rId_hyperlink_6046" tooltip="Перейти" display="Перейти"/>
    <hyperlink ref="E6048" r:id="rId_hyperlink_6047" tooltip="Перейти" display="Перейти"/>
    <hyperlink ref="E6049" r:id="rId_hyperlink_6048" tooltip="Перейти" display="Перейти"/>
    <hyperlink ref="E6050" r:id="rId_hyperlink_6049" tooltip="Перейти" display="Перейти"/>
    <hyperlink ref="E6051" r:id="rId_hyperlink_6050" tooltip="Перейти" display="Перейти"/>
    <hyperlink ref="E6052" r:id="rId_hyperlink_6051" tooltip="Перейти" display="Перейти"/>
    <hyperlink ref="E6053" r:id="rId_hyperlink_6052" tooltip="Перейти" display="Перейти"/>
    <hyperlink ref="E6054" r:id="rId_hyperlink_6053" tooltip="Перейти" display="Перейти"/>
    <hyperlink ref="E6055" r:id="rId_hyperlink_6054" tooltip="Перейти" display="Перейти"/>
    <hyperlink ref="E6056" r:id="rId_hyperlink_6055" tooltip="Перейти" display="Перейти"/>
    <hyperlink ref="E6057" r:id="rId_hyperlink_6056" tooltip="Перейти" display="Перейти"/>
    <hyperlink ref="E6058" r:id="rId_hyperlink_6057" tooltip="Перейти" display="Перейти"/>
    <hyperlink ref="E6059" r:id="rId_hyperlink_6058" tooltip="Перейти" display="Перейти"/>
    <hyperlink ref="E6060" r:id="rId_hyperlink_6059" tooltip="Перейти" display="Перейти"/>
    <hyperlink ref="E6061" r:id="rId_hyperlink_6060" tooltip="Перейти" display="Перейти"/>
    <hyperlink ref="E6062" r:id="rId_hyperlink_6061" tooltip="Перейти" display="Перейти"/>
    <hyperlink ref="E6063" r:id="rId_hyperlink_6062" tooltip="Перейти" display="Перейти"/>
    <hyperlink ref="E6064" r:id="rId_hyperlink_6063" tooltip="Перейти" display="Перейти"/>
    <hyperlink ref="E6065" r:id="rId_hyperlink_6064" tooltip="Перейти" display="Перейти"/>
    <hyperlink ref="E6066" r:id="rId_hyperlink_6065" tooltip="Перейти" display="Перейти"/>
    <hyperlink ref="E6067" r:id="rId_hyperlink_6066" tooltip="Перейти" display="Перейти"/>
    <hyperlink ref="E6068" r:id="rId_hyperlink_6067" tooltip="Перейти" display="Перейти"/>
    <hyperlink ref="E6069" r:id="rId_hyperlink_6068" tooltip="Перейти" display="Перейти"/>
    <hyperlink ref="E6070" r:id="rId_hyperlink_6069" tooltip="Перейти" display="Перейти"/>
    <hyperlink ref="E6071" r:id="rId_hyperlink_6070" tooltip="Перейти" display="Перейти"/>
    <hyperlink ref="E6072" r:id="rId_hyperlink_6071" tooltip="Перейти" display="Перейти"/>
    <hyperlink ref="E6073" r:id="rId_hyperlink_6072" tooltip="Перейти" display="Перейти"/>
    <hyperlink ref="E6074" r:id="rId_hyperlink_6073" tooltip="Перейти" display="Перейти"/>
    <hyperlink ref="E6075" r:id="rId_hyperlink_6074" tooltip="Перейти" display="Перейти"/>
    <hyperlink ref="E6076" r:id="rId_hyperlink_6075" tooltip="Перейти" display="Перейти"/>
    <hyperlink ref="E6077" r:id="rId_hyperlink_6076" tooltip="Перейти" display="Перейти"/>
    <hyperlink ref="E6078" r:id="rId_hyperlink_6077" tooltip="Перейти" display="Перейти"/>
    <hyperlink ref="E6079" r:id="rId_hyperlink_6078" tooltip="Перейти" display="Перейти"/>
    <hyperlink ref="E6080" r:id="rId_hyperlink_6079" tooltip="Перейти" display="Перейти"/>
    <hyperlink ref="E6081" r:id="rId_hyperlink_6080" tooltip="Перейти" display="Перейти"/>
    <hyperlink ref="E6082" r:id="rId_hyperlink_6081" tooltip="Перейти" display="Перейти"/>
    <hyperlink ref="E6083" r:id="rId_hyperlink_6082" tooltip="Перейти" display="Перейти"/>
    <hyperlink ref="E6084" r:id="rId_hyperlink_6083" tooltip="Перейти" display="Перейти"/>
    <hyperlink ref="E6085" r:id="rId_hyperlink_6084" tooltip="Перейти" display="Перейти"/>
    <hyperlink ref="E6086" r:id="rId_hyperlink_6085" tooltip="Перейти" display="Перейти"/>
    <hyperlink ref="E6087" r:id="rId_hyperlink_6086" tooltip="Перейти" display="Перейти"/>
    <hyperlink ref="E6088" r:id="rId_hyperlink_6087" tooltip="Перейти" display="Перейти"/>
    <hyperlink ref="E6089" r:id="rId_hyperlink_6088" tooltip="Перейти" display="Перейти"/>
    <hyperlink ref="E6090" r:id="rId_hyperlink_6089" tooltip="Перейти" display="Перейти"/>
    <hyperlink ref="E6091" r:id="rId_hyperlink_6090" tooltip="Перейти" display="Перейти"/>
    <hyperlink ref="E6092" r:id="rId_hyperlink_6091" tooltip="Перейти" display="Перейти"/>
    <hyperlink ref="E6093" r:id="rId_hyperlink_6092" tooltip="Перейти" display="Перейти"/>
    <hyperlink ref="E6094" r:id="rId_hyperlink_6093" tooltip="Перейти" display="Перейти"/>
    <hyperlink ref="E6095" r:id="rId_hyperlink_6094" tooltip="Перейти" display="Перейти"/>
    <hyperlink ref="E6096" r:id="rId_hyperlink_6095" tooltip="Перейти" display="Перейти"/>
    <hyperlink ref="E6097" r:id="rId_hyperlink_6096" tooltip="Перейти" display="Перейти"/>
    <hyperlink ref="E6098" r:id="rId_hyperlink_6097" tooltip="Перейти" display="Перейти"/>
    <hyperlink ref="E6099" r:id="rId_hyperlink_6098" tooltip="Перейти" display="Перейти"/>
    <hyperlink ref="E6100" r:id="rId_hyperlink_6099" tooltip="Перейти" display="Перейти"/>
    <hyperlink ref="E6101" r:id="rId_hyperlink_6100" tooltip="Перейти" display="Перейти"/>
    <hyperlink ref="E6102" r:id="rId_hyperlink_6101" tooltip="Перейти" display="Перейти"/>
    <hyperlink ref="E6103" r:id="rId_hyperlink_6102" tooltip="Перейти" display="Перейти"/>
    <hyperlink ref="E6104" r:id="rId_hyperlink_6103" tooltip="Перейти" display="Перейти"/>
    <hyperlink ref="E6105" r:id="rId_hyperlink_6104" tooltip="Перейти" display="Перейти"/>
    <hyperlink ref="E6106" r:id="rId_hyperlink_6105" tooltip="Перейти" display="Перейти"/>
    <hyperlink ref="E6107" r:id="rId_hyperlink_6106" tooltip="Перейти" display="Перейти"/>
    <hyperlink ref="E6108" r:id="rId_hyperlink_6107" tooltip="Перейти" display="Перейти"/>
    <hyperlink ref="E6109" r:id="rId_hyperlink_6108" tooltip="Перейти" display="Перейти"/>
    <hyperlink ref="E6110" r:id="rId_hyperlink_6109" tooltip="Перейти" display="Перейти"/>
    <hyperlink ref="E6111" r:id="rId_hyperlink_6110" tooltip="Перейти" display="Перейти"/>
    <hyperlink ref="E6112" r:id="rId_hyperlink_6111" tooltip="Перейти" display="Перейти"/>
    <hyperlink ref="E6113" r:id="rId_hyperlink_6112" tooltip="Перейти" display="Перейти"/>
    <hyperlink ref="E6114" r:id="rId_hyperlink_6113" tooltip="Перейти" display="Перейти"/>
    <hyperlink ref="E6115" r:id="rId_hyperlink_6114" tooltip="Перейти" display="Перейти"/>
    <hyperlink ref="E6116" r:id="rId_hyperlink_6115" tooltip="Перейти" display="Перейти"/>
    <hyperlink ref="E6117" r:id="rId_hyperlink_6116" tooltip="Перейти" display="Перейти"/>
    <hyperlink ref="E6118" r:id="rId_hyperlink_6117" tooltip="Перейти" display="Перейти"/>
    <hyperlink ref="E6119" r:id="rId_hyperlink_6118" tooltip="Перейти" display="Перейти"/>
    <hyperlink ref="E6120" r:id="rId_hyperlink_6119" tooltip="Перейти" display="Перейти"/>
    <hyperlink ref="E6121" r:id="rId_hyperlink_6120" tooltip="Перейти" display="Перейти"/>
    <hyperlink ref="E6122" r:id="rId_hyperlink_6121" tooltip="Перейти" display="Перейти"/>
    <hyperlink ref="E6123" r:id="rId_hyperlink_6122" tooltip="Перейти" display="Перейти"/>
    <hyperlink ref="E6124" r:id="rId_hyperlink_6123" tooltip="Перейти" display="Перейти"/>
    <hyperlink ref="E6125" r:id="rId_hyperlink_6124" tooltip="Перейти" display="Перейти"/>
    <hyperlink ref="E6126" r:id="rId_hyperlink_6125" tooltip="Перейти" display="Перейти"/>
    <hyperlink ref="E6127" r:id="rId_hyperlink_6126" tooltip="Перейти" display="Перейти"/>
    <hyperlink ref="E6128" r:id="rId_hyperlink_6127" tooltip="Перейти" display="Перейти"/>
    <hyperlink ref="E6129" r:id="rId_hyperlink_6128" tooltip="Перейти" display="Перейти"/>
    <hyperlink ref="E6130" r:id="rId_hyperlink_6129" tooltip="Перейти" display="Перейти"/>
    <hyperlink ref="E6131" r:id="rId_hyperlink_6130" tooltip="Перейти" display="Перейти"/>
    <hyperlink ref="E6132" r:id="rId_hyperlink_6131" tooltip="Перейти" display="Перейти"/>
    <hyperlink ref="E6133" r:id="rId_hyperlink_6132" tooltip="Перейти" display="Перейти"/>
    <hyperlink ref="E6134" r:id="rId_hyperlink_6133" tooltip="Перейти" display="Перейти"/>
    <hyperlink ref="E6135" r:id="rId_hyperlink_6134" tooltip="Перейти" display="Перейти"/>
    <hyperlink ref="E6136" r:id="rId_hyperlink_6135" tooltip="Перейти" display="Перейти"/>
    <hyperlink ref="E6137" r:id="rId_hyperlink_6136" tooltip="Перейти" display="Перейти"/>
    <hyperlink ref="E6138" r:id="rId_hyperlink_6137" tooltip="Перейти" display="Перейти"/>
    <hyperlink ref="E6139" r:id="rId_hyperlink_6138" tooltip="Перейти" display="Перейти"/>
    <hyperlink ref="E6140" r:id="rId_hyperlink_6139" tooltip="Перейти" display="Перейти"/>
    <hyperlink ref="E6141" r:id="rId_hyperlink_6140" tooltip="Перейти" display="Перейти"/>
    <hyperlink ref="E6142" r:id="rId_hyperlink_6141" tooltip="Перейти" display="Перейти"/>
    <hyperlink ref="E6143" r:id="rId_hyperlink_6142" tooltip="Перейти" display="Перейти"/>
    <hyperlink ref="E6144" r:id="rId_hyperlink_6143" tooltip="Перейти" display="Перейти"/>
    <hyperlink ref="E6145" r:id="rId_hyperlink_6144" tooltip="Перейти" display="Перейти"/>
    <hyperlink ref="E6146" r:id="rId_hyperlink_6145" tooltip="Перейти" display="Перейти"/>
    <hyperlink ref="E6147" r:id="rId_hyperlink_6146" tooltip="Перейти" display="Перейти"/>
    <hyperlink ref="E6148" r:id="rId_hyperlink_6147" tooltip="Перейти" display="Перейти"/>
    <hyperlink ref="E6149" r:id="rId_hyperlink_6148" tooltip="Перейти" display="Перейти"/>
    <hyperlink ref="E6150" r:id="rId_hyperlink_6149" tooltip="Перейти" display="Перейти"/>
    <hyperlink ref="E6151" r:id="rId_hyperlink_6150" tooltip="Перейти" display="Перейти"/>
    <hyperlink ref="E6152" r:id="rId_hyperlink_6151" tooltip="Перейти" display="Перейти"/>
    <hyperlink ref="E6153" r:id="rId_hyperlink_6152" tooltip="Перейти" display="Перейти"/>
    <hyperlink ref="E6154" r:id="rId_hyperlink_6153" tooltip="Перейти" display="Перейти"/>
    <hyperlink ref="E6155" r:id="rId_hyperlink_6154" tooltip="Перейти" display="Перейти"/>
    <hyperlink ref="E6156" r:id="rId_hyperlink_6155" tooltip="Перейти" display="Перейти"/>
    <hyperlink ref="E6157" r:id="rId_hyperlink_6156" tooltip="Перейти" display="Перейти"/>
    <hyperlink ref="E6158" r:id="rId_hyperlink_6157" tooltip="Перейти" display="Перейти"/>
    <hyperlink ref="E6159" r:id="rId_hyperlink_6158" tooltip="Перейти" display="Перейти"/>
    <hyperlink ref="E6160" r:id="rId_hyperlink_6159" tooltip="Перейти" display="Перейти"/>
    <hyperlink ref="E6161" r:id="rId_hyperlink_6160" tooltip="Перейти" display="Перейти"/>
    <hyperlink ref="E6162" r:id="rId_hyperlink_6161" tooltip="Перейти" display="Перейти"/>
    <hyperlink ref="E6163" r:id="rId_hyperlink_6162" tooltip="Перейти" display="Перейти"/>
    <hyperlink ref="E6164" r:id="rId_hyperlink_6163" tooltip="Перейти" display="Перейти"/>
    <hyperlink ref="E6165" r:id="rId_hyperlink_6164" tooltip="Перейти" display="Перейти"/>
    <hyperlink ref="E6166" r:id="rId_hyperlink_6165" tooltip="Перейти" display="Перейти"/>
    <hyperlink ref="E6167" r:id="rId_hyperlink_6166" tooltip="Перейти" display="Перейти"/>
    <hyperlink ref="E6168" r:id="rId_hyperlink_6167" tooltip="Перейти" display="Перейти"/>
    <hyperlink ref="E6169" r:id="rId_hyperlink_6168" tooltip="Перейти" display="Перейти"/>
    <hyperlink ref="E6170" r:id="rId_hyperlink_6169" tooltip="Перейти" display="Перейти"/>
    <hyperlink ref="E6171" r:id="rId_hyperlink_6170" tooltip="Перейти" display="Перейти"/>
    <hyperlink ref="E6172" r:id="rId_hyperlink_6171" tooltip="Перейти" display="Перейти"/>
    <hyperlink ref="E6173" r:id="rId_hyperlink_6172" tooltip="Перейти" display="Перейти"/>
    <hyperlink ref="E6174" r:id="rId_hyperlink_6173" tooltip="Перейти" display="Перейти"/>
    <hyperlink ref="E6175" r:id="rId_hyperlink_6174" tooltip="Перейти" display="Перейти"/>
    <hyperlink ref="E6176" r:id="rId_hyperlink_6175" tooltip="Перейти" display="Перейти"/>
    <hyperlink ref="E6177" r:id="rId_hyperlink_6176" tooltip="Перейти" display="Перейти"/>
    <hyperlink ref="E6178" r:id="rId_hyperlink_6177" tooltip="Перейти" display="Перейти"/>
    <hyperlink ref="E6179" r:id="rId_hyperlink_6178" tooltip="Перейти" display="Перейти"/>
    <hyperlink ref="E6180" r:id="rId_hyperlink_6179" tooltip="Перейти" display="Перейти"/>
    <hyperlink ref="E6181" r:id="rId_hyperlink_6180" tooltip="Перейти" display="Перейти"/>
    <hyperlink ref="E6182" r:id="rId_hyperlink_6181" tooltip="Перейти" display="Перейти"/>
    <hyperlink ref="E6183" r:id="rId_hyperlink_6182" tooltip="Перейти" display="Перейти"/>
    <hyperlink ref="E6184" r:id="rId_hyperlink_6183" tooltip="Перейти" display="Перейти"/>
    <hyperlink ref="E6185" r:id="rId_hyperlink_6184" tooltip="Перейти" display="Перейти"/>
    <hyperlink ref="E6186" r:id="rId_hyperlink_6185" tooltip="Перейти" display="Перейти"/>
    <hyperlink ref="E6187" r:id="rId_hyperlink_6186" tooltip="Перейти" display="Перейти"/>
    <hyperlink ref="E6188" r:id="rId_hyperlink_6187" tooltip="Перейти" display="Перейти"/>
    <hyperlink ref="E6189" r:id="rId_hyperlink_6188" tooltip="Перейти" display="Перейти"/>
    <hyperlink ref="E6190" r:id="rId_hyperlink_6189" tooltip="Перейти" display="Перейти"/>
    <hyperlink ref="E6191" r:id="rId_hyperlink_6190" tooltip="Перейти" display="Перейти"/>
    <hyperlink ref="E6192" r:id="rId_hyperlink_6191" tooltip="Перейти" display="Перейти"/>
    <hyperlink ref="E6193" r:id="rId_hyperlink_6192" tooltip="Перейти" display="Перейти"/>
    <hyperlink ref="E6194" r:id="rId_hyperlink_6193" tooltip="Перейти" display="Перейти"/>
    <hyperlink ref="E6195" r:id="rId_hyperlink_6194" tooltip="Перейти" display="Перейти"/>
    <hyperlink ref="E6196" r:id="rId_hyperlink_6195" tooltip="Перейти" display="Перейти"/>
    <hyperlink ref="E6197" r:id="rId_hyperlink_6196" tooltip="Перейти" display="Перейти"/>
    <hyperlink ref="E6198" r:id="rId_hyperlink_6197" tooltip="Перейти" display="Перейти"/>
    <hyperlink ref="E6199" r:id="rId_hyperlink_6198" tooltip="Перейти" display="Перейти"/>
    <hyperlink ref="E6200" r:id="rId_hyperlink_6199" tooltip="Перейти" display="Перейти"/>
    <hyperlink ref="E6201" r:id="rId_hyperlink_6200" tooltip="Перейти" display="Перейти"/>
    <hyperlink ref="E6202" r:id="rId_hyperlink_6201" tooltip="Перейти" display="Перейти"/>
    <hyperlink ref="E6203" r:id="rId_hyperlink_6202" tooltip="Перейти" display="Перейти"/>
    <hyperlink ref="E6204" r:id="rId_hyperlink_6203" tooltip="Перейти" display="Перейти"/>
    <hyperlink ref="E6205" r:id="rId_hyperlink_6204" tooltip="Перейти" display="Перейти"/>
    <hyperlink ref="E6206" r:id="rId_hyperlink_6205" tooltip="Перейти" display="Перейти"/>
    <hyperlink ref="E6207" r:id="rId_hyperlink_6206" tooltip="Перейти" display="Перейти"/>
    <hyperlink ref="E6208" r:id="rId_hyperlink_6207" tooltip="Перейти" display="Перейти"/>
    <hyperlink ref="E6209" r:id="rId_hyperlink_6208" tooltip="Перейти" display="Перейти"/>
    <hyperlink ref="E6210" r:id="rId_hyperlink_6209" tooltip="Перейти" display="Перейти"/>
    <hyperlink ref="E6211" r:id="rId_hyperlink_6210" tooltip="Перейти" display="Перейти"/>
    <hyperlink ref="E6212" r:id="rId_hyperlink_6211" tooltip="Перейти" display="Перейти"/>
    <hyperlink ref="E6213" r:id="rId_hyperlink_6212" tooltip="Перейти" display="Перейти"/>
    <hyperlink ref="E6214" r:id="rId_hyperlink_6213" tooltip="Перейти" display="Перейти"/>
    <hyperlink ref="E6215" r:id="rId_hyperlink_6214" tooltip="Перейти" display="Перейти"/>
    <hyperlink ref="E6216" r:id="rId_hyperlink_6215" tooltip="Перейти" display="Перейти"/>
    <hyperlink ref="E6217" r:id="rId_hyperlink_6216" tooltip="Перейти" display="Перейти"/>
    <hyperlink ref="E6218" r:id="rId_hyperlink_6217" tooltip="Перейти" display="Перейти"/>
    <hyperlink ref="E6219" r:id="rId_hyperlink_6218" tooltip="Перейти" display="Перейти"/>
    <hyperlink ref="E6220" r:id="rId_hyperlink_6219" tooltip="Перейти" display="Перейти"/>
    <hyperlink ref="E6221" r:id="rId_hyperlink_6220" tooltip="Перейти" display="Перейти"/>
    <hyperlink ref="E6222" r:id="rId_hyperlink_6221" tooltip="Перейти" display="Перейти"/>
    <hyperlink ref="E6223" r:id="rId_hyperlink_6222" tooltip="Перейти" display="Перейти"/>
    <hyperlink ref="E6224" r:id="rId_hyperlink_6223" tooltip="Перейти" display="Перейти"/>
    <hyperlink ref="E6225" r:id="rId_hyperlink_6224" tooltip="Перейти" display="Перейти"/>
    <hyperlink ref="E6226" r:id="rId_hyperlink_6225" tooltip="Перейти" display="Перейти"/>
    <hyperlink ref="E6227" r:id="rId_hyperlink_6226" tooltip="Перейти" display="Перейти"/>
    <hyperlink ref="E6228" r:id="rId_hyperlink_6227" tooltip="Перейти" display="Перейти"/>
    <hyperlink ref="E6229" r:id="rId_hyperlink_6228" tooltip="Перейти" display="Перейти"/>
    <hyperlink ref="E6230" r:id="rId_hyperlink_6229" tooltip="Перейти" display="Перейти"/>
    <hyperlink ref="E6231" r:id="rId_hyperlink_6230" tooltip="Перейти" display="Перейти"/>
    <hyperlink ref="E6232" r:id="rId_hyperlink_6231" tooltip="Перейти" display="Перейти"/>
    <hyperlink ref="E6233" r:id="rId_hyperlink_6232" tooltip="Перейти" display="Перейти"/>
    <hyperlink ref="E6234" r:id="rId_hyperlink_6233" tooltip="Перейти" display="Перейти"/>
    <hyperlink ref="E6235" r:id="rId_hyperlink_6234" tooltip="Перейти" display="Перейти"/>
    <hyperlink ref="E6236" r:id="rId_hyperlink_6235" tooltip="Перейти" display="Перейти"/>
    <hyperlink ref="E6237" r:id="rId_hyperlink_6236" tooltip="Перейти" display="Перейти"/>
    <hyperlink ref="E6238" r:id="rId_hyperlink_6237" tooltip="Перейти" display="Перейти"/>
    <hyperlink ref="E6239" r:id="rId_hyperlink_6238" tooltip="Перейти" display="Перейти"/>
    <hyperlink ref="E6240" r:id="rId_hyperlink_6239" tooltip="Перейти" display="Перейти"/>
    <hyperlink ref="E6241" r:id="rId_hyperlink_6240" tooltip="Перейти" display="Перейти"/>
    <hyperlink ref="E6242" r:id="rId_hyperlink_6241" tooltip="Перейти" display="Перейти"/>
    <hyperlink ref="E6243" r:id="rId_hyperlink_6242" tooltip="Перейти" display="Перейти"/>
    <hyperlink ref="E6244" r:id="rId_hyperlink_6243" tooltip="Перейти" display="Перейти"/>
    <hyperlink ref="E6245" r:id="rId_hyperlink_6244" tooltip="Перейти" display="Перейти"/>
    <hyperlink ref="E6246" r:id="rId_hyperlink_6245" tooltip="Перейти" display="Перейти"/>
    <hyperlink ref="E6247" r:id="rId_hyperlink_6246" tooltip="Перейти" display="Перейти"/>
    <hyperlink ref="E6248" r:id="rId_hyperlink_6247" tooltip="Перейти" display="Перейти"/>
    <hyperlink ref="E6249" r:id="rId_hyperlink_6248" tooltip="Перейти" display="Перейти"/>
    <hyperlink ref="E6250" r:id="rId_hyperlink_6249" tooltip="Перейти" display="Перейти"/>
    <hyperlink ref="E6251" r:id="rId_hyperlink_6250" tooltip="Перейти" display="Перейти"/>
    <hyperlink ref="E6252" r:id="rId_hyperlink_6251" tooltip="Перейти" display="Перейти"/>
    <hyperlink ref="E6253" r:id="rId_hyperlink_6252" tooltip="Перейти" display="Перейти"/>
    <hyperlink ref="E6254" r:id="rId_hyperlink_6253" tooltip="Перейти" display="Перейти"/>
    <hyperlink ref="E6255" r:id="rId_hyperlink_6254" tooltip="Перейти" display="Перейти"/>
    <hyperlink ref="E6256" r:id="rId_hyperlink_6255" tooltip="Перейти" display="Перейти"/>
    <hyperlink ref="E6257" r:id="rId_hyperlink_6256" tooltip="Перейти" display="Перейти"/>
    <hyperlink ref="E6258" r:id="rId_hyperlink_6257" tooltip="Перейти" display="Перейти"/>
    <hyperlink ref="E6259" r:id="rId_hyperlink_6258" tooltip="Перейти" display="Перейти"/>
    <hyperlink ref="E6260" r:id="rId_hyperlink_6259" tooltip="Перейти" display="Перейти"/>
    <hyperlink ref="E6261" r:id="rId_hyperlink_6260" tooltip="Перейти" display="Перейти"/>
    <hyperlink ref="E6262" r:id="rId_hyperlink_6261" tooltip="Перейти" display="Перейти"/>
    <hyperlink ref="E6263" r:id="rId_hyperlink_6262" tooltip="Перейти" display="Перейти"/>
    <hyperlink ref="E6264" r:id="rId_hyperlink_6263" tooltip="Перейти" display="Перейти"/>
    <hyperlink ref="E6265" r:id="rId_hyperlink_6264" tooltip="Перейти" display="Перейти"/>
    <hyperlink ref="E6266" r:id="rId_hyperlink_6265" tooltip="Перейти" display="Перейти"/>
    <hyperlink ref="E6267" r:id="rId_hyperlink_6266" tooltip="Перейти" display="Перейти"/>
    <hyperlink ref="E6268" r:id="rId_hyperlink_6267" tooltip="Перейти" display="Перейти"/>
    <hyperlink ref="E6269" r:id="rId_hyperlink_6268" tooltip="Перейти" display="Перейти"/>
    <hyperlink ref="E6270" r:id="rId_hyperlink_6269" tooltip="Перейти" display="Перейти"/>
    <hyperlink ref="E6271" r:id="rId_hyperlink_6270" tooltip="Перейти" display="Перейти"/>
    <hyperlink ref="E6272" r:id="rId_hyperlink_6271" tooltip="Перейти" display="Перейти"/>
    <hyperlink ref="E6273" r:id="rId_hyperlink_6272" tooltip="Перейти" display="Перейти"/>
    <hyperlink ref="E6274" r:id="rId_hyperlink_6273" tooltip="Перейти" display="Перейти"/>
    <hyperlink ref="E6275" r:id="rId_hyperlink_6274" tooltip="Перейти" display="Перейти"/>
    <hyperlink ref="E6276" r:id="rId_hyperlink_6275" tooltip="Перейти" display="Перейти"/>
    <hyperlink ref="E6277" r:id="rId_hyperlink_6276" tooltip="Перейти" display="Перейти"/>
    <hyperlink ref="E6278" r:id="rId_hyperlink_6277" tooltip="Перейти" display="Перейти"/>
    <hyperlink ref="E6279" r:id="rId_hyperlink_6278" tooltip="Перейти" display="Перейти"/>
    <hyperlink ref="E6280" r:id="rId_hyperlink_6279" tooltip="Перейти" display="Перейти"/>
    <hyperlink ref="E6281" r:id="rId_hyperlink_6280" tooltip="Перейти" display="Перейти"/>
    <hyperlink ref="E6282" r:id="rId_hyperlink_6281" tooltip="Перейти" display="Перейти"/>
    <hyperlink ref="E6283" r:id="rId_hyperlink_6282" tooltip="Перейти" display="Перейти"/>
    <hyperlink ref="E6284" r:id="rId_hyperlink_6283" tooltip="Перейти" display="Перейти"/>
    <hyperlink ref="E6285" r:id="rId_hyperlink_6284" tooltip="Перейти" display="Перейти"/>
    <hyperlink ref="E6286" r:id="rId_hyperlink_6285" tooltip="Перейти" display="Перейти"/>
    <hyperlink ref="E6287" r:id="rId_hyperlink_6286" tooltip="Перейти" display="Перейти"/>
    <hyperlink ref="E6288" r:id="rId_hyperlink_6287" tooltip="Перейти" display="Перейти"/>
    <hyperlink ref="E6289" r:id="rId_hyperlink_6288" tooltip="Перейти" display="Перейти"/>
    <hyperlink ref="E6290" r:id="rId_hyperlink_6289" tooltip="Перейти" display="Перейти"/>
    <hyperlink ref="E6291" r:id="rId_hyperlink_6290" tooltip="Перейти" display="Перейти"/>
    <hyperlink ref="E6292" r:id="rId_hyperlink_6291" tooltip="Перейти" display="Перейти"/>
    <hyperlink ref="E6293" r:id="rId_hyperlink_6292" tooltip="Перейти" display="Перейти"/>
    <hyperlink ref="E6294" r:id="rId_hyperlink_6293" tooltip="Перейти" display="Перейти"/>
    <hyperlink ref="E6295" r:id="rId_hyperlink_6294" tooltip="Перейти" display="Перейти"/>
    <hyperlink ref="E6296" r:id="rId_hyperlink_6295" tooltip="Перейти" display="Перейти"/>
    <hyperlink ref="E6297" r:id="rId_hyperlink_6296" tooltip="Перейти" display="Перейти"/>
    <hyperlink ref="E6298" r:id="rId_hyperlink_6297" tooltip="Перейти" display="Перейти"/>
    <hyperlink ref="E6299" r:id="rId_hyperlink_6298" tooltip="Перейти" display="Перейти"/>
    <hyperlink ref="E6300" r:id="rId_hyperlink_6299" tooltip="Перейти" display="Перейти"/>
    <hyperlink ref="E6301" r:id="rId_hyperlink_6300" tooltip="Перейти" display="Перейти"/>
    <hyperlink ref="E6302" r:id="rId_hyperlink_6301" tooltip="Перейти" display="Перейти"/>
    <hyperlink ref="E6303" r:id="rId_hyperlink_6302" tooltip="Перейти" display="Перейти"/>
    <hyperlink ref="E6304" r:id="rId_hyperlink_6303" tooltip="Перейти" display="Перейти"/>
    <hyperlink ref="E6305" r:id="rId_hyperlink_6304" tooltip="Перейти" display="Перейти"/>
    <hyperlink ref="E6306" r:id="rId_hyperlink_6305" tooltip="Перейти" display="Перейти"/>
    <hyperlink ref="E6307" r:id="rId_hyperlink_6306" tooltip="Перейти" display="Перейти"/>
    <hyperlink ref="E6308" r:id="rId_hyperlink_6307" tooltip="Перейти" display="Перейти"/>
    <hyperlink ref="E6309" r:id="rId_hyperlink_6308" tooltip="Перейти" display="Перейти"/>
    <hyperlink ref="E6310" r:id="rId_hyperlink_6309" tooltip="Перейти" display="Перейти"/>
    <hyperlink ref="E6311" r:id="rId_hyperlink_6310" tooltip="Перейти" display="Перейти"/>
    <hyperlink ref="E6312" r:id="rId_hyperlink_6311" tooltip="Перейти" display="Перейти"/>
    <hyperlink ref="E6313" r:id="rId_hyperlink_6312" tooltip="Перейти" display="Перейти"/>
    <hyperlink ref="E6314" r:id="rId_hyperlink_6313" tooltip="Перейти" display="Перейти"/>
    <hyperlink ref="E6315" r:id="rId_hyperlink_6314" tooltip="Перейти" display="Перейти"/>
    <hyperlink ref="E6316" r:id="rId_hyperlink_6315" tooltip="Перейти" display="Перейти"/>
    <hyperlink ref="E6317" r:id="rId_hyperlink_6316" tooltip="Перейти" display="Перейти"/>
    <hyperlink ref="E6318" r:id="rId_hyperlink_6317" tooltip="Перейти" display="Перейти"/>
    <hyperlink ref="E6319" r:id="rId_hyperlink_6318" tooltip="Перейти" display="Перейти"/>
    <hyperlink ref="E6320" r:id="rId_hyperlink_6319" tooltip="Перейти" display="Перейти"/>
    <hyperlink ref="E6321" r:id="rId_hyperlink_6320" tooltip="Перейти" display="Перейти"/>
    <hyperlink ref="E6322" r:id="rId_hyperlink_6321" tooltip="Перейти" display="Перейти"/>
    <hyperlink ref="E6323" r:id="rId_hyperlink_6322" tooltip="Перейти" display="Перейти"/>
    <hyperlink ref="E6324" r:id="rId_hyperlink_6323" tooltip="Перейти" display="Перейти"/>
    <hyperlink ref="E6325" r:id="rId_hyperlink_6324" tooltip="Перейти" display="Перейти"/>
    <hyperlink ref="E6326" r:id="rId_hyperlink_6325" tooltip="Перейти" display="Перейти"/>
    <hyperlink ref="E6327" r:id="rId_hyperlink_6326" tooltip="Перейти" display="Перейти"/>
    <hyperlink ref="E6328" r:id="rId_hyperlink_6327" tooltip="Перейти" display="Перейти"/>
    <hyperlink ref="E6329" r:id="rId_hyperlink_6328" tooltip="Перейти" display="Перейти"/>
    <hyperlink ref="E6330" r:id="rId_hyperlink_6329" tooltip="Перейти" display="Перейти"/>
    <hyperlink ref="E6331" r:id="rId_hyperlink_6330" tooltip="Перейти" display="Перейти"/>
    <hyperlink ref="E6332" r:id="rId_hyperlink_6331" tooltip="Перейти" display="Перейти"/>
    <hyperlink ref="E6333" r:id="rId_hyperlink_6332" tooltip="Перейти" display="Перейти"/>
    <hyperlink ref="E6334" r:id="rId_hyperlink_6333" tooltip="Перейти" display="Перейти"/>
    <hyperlink ref="E6335" r:id="rId_hyperlink_6334" tooltip="Перейти" display="Перейти"/>
    <hyperlink ref="E6336" r:id="rId_hyperlink_6335" tooltip="Перейти" display="Перейти"/>
    <hyperlink ref="E6337" r:id="rId_hyperlink_6336" tooltip="Перейти" display="Перейти"/>
    <hyperlink ref="E6338" r:id="rId_hyperlink_6337" tooltip="Перейти" display="Перейти"/>
    <hyperlink ref="E6339" r:id="rId_hyperlink_6338" tooltip="Перейти" display="Перейти"/>
    <hyperlink ref="E6340" r:id="rId_hyperlink_6339" tooltip="Перейти" display="Перейти"/>
    <hyperlink ref="E6341" r:id="rId_hyperlink_6340" tooltip="Перейти" display="Перейти"/>
    <hyperlink ref="E6342" r:id="rId_hyperlink_6341" tooltip="Перейти" display="Перейти"/>
    <hyperlink ref="E6343" r:id="rId_hyperlink_6342" tooltip="Перейти" display="Перейти"/>
    <hyperlink ref="E6344" r:id="rId_hyperlink_6343" tooltip="Перейти" display="Перейти"/>
    <hyperlink ref="E6345" r:id="rId_hyperlink_6344" tooltip="Перейти" display="Перейти"/>
    <hyperlink ref="E6346" r:id="rId_hyperlink_6345" tooltip="Перейти" display="Перейти"/>
    <hyperlink ref="E6347" r:id="rId_hyperlink_6346" tooltip="Перейти" display="Перейти"/>
    <hyperlink ref="E6348" r:id="rId_hyperlink_6347" tooltip="Перейти" display="Перейти"/>
    <hyperlink ref="E6349" r:id="rId_hyperlink_6348" tooltip="Перейти" display="Перейти"/>
    <hyperlink ref="E6350" r:id="rId_hyperlink_6349" tooltip="Перейти" display="Перейти"/>
    <hyperlink ref="E6351" r:id="rId_hyperlink_6350" tooltip="Перейти" display="Перейти"/>
    <hyperlink ref="E6352" r:id="rId_hyperlink_6351" tooltip="Перейти" display="Перейти"/>
    <hyperlink ref="E6353" r:id="rId_hyperlink_6352" tooltip="Перейти" display="Перейти"/>
    <hyperlink ref="E6354" r:id="rId_hyperlink_6353" tooltip="Перейти" display="Перейти"/>
    <hyperlink ref="E6355" r:id="rId_hyperlink_6354" tooltip="Перейти" display="Перейти"/>
    <hyperlink ref="E6356" r:id="rId_hyperlink_6355" tooltip="Перейти" display="Перейти"/>
    <hyperlink ref="E6357" r:id="rId_hyperlink_6356" tooltip="Перейти" display="Перейти"/>
    <hyperlink ref="E6358" r:id="rId_hyperlink_6357" tooltip="Перейти" display="Перейти"/>
    <hyperlink ref="E6359" r:id="rId_hyperlink_6358" tooltip="Перейти" display="Перейти"/>
    <hyperlink ref="E6360" r:id="rId_hyperlink_6359" tooltip="Перейти" display="Перейти"/>
    <hyperlink ref="E6361" r:id="rId_hyperlink_6360" tooltip="Перейти" display="Перейти"/>
    <hyperlink ref="E6362" r:id="rId_hyperlink_6361" tooltip="Перейти" display="Перейти"/>
    <hyperlink ref="E6363" r:id="rId_hyperlink_6362" tooltip="Перейти" display="Перейти"/>
    <hyperlink ref="E6364" r:id="rId_hyperlink_6363" tooltip="Перейти" display="Перейти"/>
    <hyperlink ref="E6365" r:id="rId_hyperlink_6364" tooltip="Перейти" display="Перейти"/>
    <hyperlink ref="E6366" r:id="rId_hyperlink_6365" tooltip="Перейти" display="Перейти"/>
    <hyperlink ref="E6367" r:id="rId_hyperlink_6366" tooltip="Перейти" display="Перейти"/>
    <hyperlink ref="E6368" r:id="rId_hyperlink_6367" tooltip="Перейти" display="Перейти"/>
    <hyperlink ref="E6369" r:id="rId_hyperlink_6368" tooltip="Перейти" display="Перейти"/>
    <hyperlink ref="E6370" r:id="rId_hyperlink_6369" tooltip="Перейти" display="Перейти"/>
    <hyperlink ref="E6371" r:id="rId_hyperlink_6370" tooltip="Перейти" display="Перейти"/>
    <hyperlink ref="E6372" r:id="rId_hyperlink_6371" tooltip="Перейти" display="Перейти"/>
    <hyperlink ref="E6373" r:id="rId_hyperlink_6372" tooltip="Перейти" display="Перейти"/>
    <hyperlink ref="E6374" r:id="rId_hyperlink_6373" tooltip="Перейти" display="Перейти"/>
    <hyperlink ref="E6375" r:id="rId_hyperlink_6374" tooltip="Перейти" display="Перейти"/>
    <hyperlink ref="E6376" r:id="rId_hyperlink_6375" tooltip="Перейти" display="Перейти"/>
    <hyperlink ref="E6377" r:id="rId_hyperlink_6376" tooltip="Перейти" display="Перейти"/>
    <hyperlink ref="E6378" r:id="rId_hyperlink_6377" tooltip="Перейти" display="Перейти"/>
    <hyperlink ref="E6379" r:id="rId_hyperlink_6378" tooltip="Перейти" display="Перейти"/>
    <hyperlink ref="E6380" r:id="rId_hyperlink_6379" tooltip="Перейти" display="Перейти"/>
    <hyperlink ref="E6381" r:id="rId_hyperlink_6380" tooltip="Перейти" display="Перейти"/>
    <hyperlink ref="E6382" r:id="rId_hyperlink_6381" tooltip="Перейти" display="Перейти"/>
    <hyperlink ref="E6383" r:id="rId_hyperlink_6382" tooltip="Перейти" display="Перейти"/>
    <hyperlink ref="E6384" r:id="rId_hyperlink_6383" tooltip="Перейти" display="Перейти"/>
    <hyperlink ref="E6385" r:id="rId_hyperlink_6384" tooltip="Перейти" display="Перейти"/>
    <hyperlink ref="E6386" r:id="rId_hyperlink_6385" tooltip="Перейти" display="Перейти"/>
    <hyperlink ref="E6387" r:id="rId_hyperlink_6386" tooltip="Перейти" display="Перейти"/>
    <hyperlink ref="E6388" r:id="rId_hyperlink_6387" tooltip="Перейти" display="Перейти"/>
    <hyperlink ref="E6389" r:id="rId_hyperlink_6388" tooltip="Перейти" display="Перейти"/>
    <hyperlink ref="E6390" r:id="rId_hyperlink_6389" tooltip="Перейти" display="Перейти"/>
    <hyperlink ref="E6391" r:id="rId_hyperlink_6390" tooltip="Перейти" display="Перейти"/>
    <hyperlink ref="E6392" r:id="rId_hyperlink_6391" tooltip="Перейти" display="Перейти"/>
    <hyperlink ref="E6393" r:id="rId_hyperlink_6392" tooltip="Перейти" display="Перейти"/>
    <hyperlink ref="E6394" r:id="rId_hyperlink_6393" tooltip="Перейти" display="Перейти"/>
    <hyperlink ref="E6395" r:id="rId_hyperlink_6394" tooltip="Перейти" display="Перейти"/>
    <hyperlink ref="E6396" r:id="rId_hyperlink_6395" tooltip="Перейти" display="Перейти"/>
    <hyperlink ref="E6397" r:id="rId_hyperlink_6396" tooltip="Перейти" display="Перейти"/>
    <hyperlink ref="E6398" r:id="rId_hyperlink_6397" tooltip="Перейти" display="Перейти"/>
    <hyperlink ref="E6399" r:id="rId_hyperlink_6398" tooltip="Перейти" display="Перейти"/>
    <hyperlink ref="E6400" r:id="rId_hyperlink_6399" tooltip="Перейти" display="Перейти"/>
    <hyperlink ref="E6401" r:id="rId_hyperlink_6400" tooltip="Перейти" display="Перейти"/>
    <hyperlink ref="E6402" r:id="rId_hyperlink_6401" tooltip="Перейти" display="Перейти"/>
    <hyperlink ref="E6403" r:id="rId_hyperlink_6402" tooltip="Перейти" display="Перейти"/>
    <hyperlink ref="E6404" r:id="rId_hyperlink_6403" tooltip="Перейти" display="Перейти"/>
    <hyperlink ref="E6405" r:id="rId_hyperlink_6404" tooltip="Перейти" display="Перейти"/>
    <hyperlink ref="E6406" r:id="rId_hyperlink_6405" tooltip="Перейти" display="Перейти"/>
    <hyperlink ref="E6407" r:id="rId_hyperlink_6406" tooltip="Перейти" display="Перейти"/>
    <hyperlink ref="E6408" r:id="rId_hyperlink_6407" tooltip="Перейти" display="Перейти"/>
    <hyperlink ref="E6409" r:id="rId_hyperlink_6408" tooltip="Перейти" display="Перейти"/>
    <hyperlink ref="E6410" r:id="rId_hyperlink_6409" tooltip="Перейти" display="Перейти"/>
    <hyperlink ref="E6411" r:id="rId_hyperlink_6410" tooltip="Перейти" display="Перейти"/>
    <hyperlink ref="E6412" r:id="rId_hyperlink_6411" tooltip="Перейти" display="Перейти"/>
    <hyperlink ref="E6413" r:id="rId_hyperlink_6412" tooltip="Перейти" display="Перейти"/>
    <hyperlink ref="E6414" r:id="rId_hyperlink_6413" tooltip="Перейти" display="Перейти"/>
    <hyperlink ref="E6415" r:id="rId_hyperlink_6414" tooltip="Перейти" display="Перейти"/>
    <hyperlink ref="E6416" r:id="rId_hyperlink_6415" tooltip="Перейти" display="Перейти"/>
    <hyperlink ref="E6417" r:id="rId_hyperlink_6416" tooltip="Перейти" display="Перейти"/>
    <hyperlink ref="E6418" r:id="rId_hyperlink_6417" tooltip="Перейти" display="Перейти"/>
    <hyperlink ref="E6419" r:id="rId_hyperlink_6418" tooltip="Перейти" display="Перейти"/>
    <hyperlink ref="E6420" r:id="rId_hyperlink_6419" tooltip="Перейти" display="Перейти"/>
    <hyperlink ref="E6421" r:id="rId_hyperlink_6420" tooltip="Перейти" display="Перейти"/>
    <hyperlink ref="E6422" r:id="rId_hyperlink_6421" tooltip="Перейти" display="Перейти"/>
    <hyperlink ref="E6423" r:id="rId_hyperlink_6422" tooltip="Перейти" display="Перейти"/>
    <hyperlink ref="E6424" r:id="rId_hyperlink_6423" tooltip="Перейти" display="Перейти"/>
    <hyperlink ref="E6425" r:id="rId_hyperlink_6424" tooltip="Перейти" display="Перейти"/>
    <hyperlink ref="E6426" r:id="rId_hyperlink_6425" tooltip="Перейти" display="Перейти"/>
    <hyperlink ref="E6427" r:id="rId_hyperlink_6426" tooltip="Перейти" display="Перейти"/>
    <hyperlink ref="E6428" r:id="rId_hyperlink_6427" tooltip="Перейти" display="Перейти"/>
    <hyperlink ref="E6429" r:id="rId_hyperlink_6428" tooltip="Перейти" display="Перейти"/>
    <hyperlink ref="E6430" r:id="rId_hyperlink_6429" tooltip="Перейти" display="Перейти"/>
    <hyperlink ref="E6431" r:id="rId_hyperlink_6430" tooltip="Перейти" display="Перейти"/>
    <hyperlink ref="E6432" r:id="rId_hyperlink_6431" tooltip="Перейти" display="Перейти"/>
    <hyperlink ref="E6433" r:id="rId_hyperlink_6432" tooltip="Перейти" display="Перейти"/>
    <hyperlink ref="E6434" r:id="rId_hyperlink_6433" tooltip="Перейти" display="Перейти"/>
    <hyperlink ref="E6435" r:id="rId_hyperlink_6434" tooltip="Перейти" display="Перейти"/>
    <hyperlink ref="E6436" r:id="rId_hyperlink_6435" tooltip="Перейти" display="Перейти"/>
    <hyperlink ref="E6437" r:id="rId_hyperlink_6436" tooltip="Перейти" display="Перейти"/>
    <hyperlink ref="E6438" r:id="rId_hyperlink_6437" tooltip="Перейти" display="Перейти"/>
    <hyperlink ref="E6439" r:id="rId_hyperlink_6438" tooltip="Перейти" display="Перейти"/>
    <hyperlink ref="E6440" r:id="rId_hyperlink_6439" tooltip="Перейти" display="Перейти"/>
    <hyperlink ref="E6441" r:id="rId_hyperlink_6440" tooltip="Перейти" display="Перейти"/>
    <hyperlink ref="E6442" r:id="rId_hyperlink_6441" tooltip="Перейти" display="Перейти"/>
    <hyperlink ref="E6443" r:id="rId_hyperlink_6442" tooltip="Перейти" display="Перейти"/>
    <hyperlink ref="E6444" r:id="rId_hyperlink_6443" tooltip="Перейти" display="Перейти"/>
    <hyperlink ref="E6445" r:id="rId_hyperlink_6444" tooltip="Перейти" display="Перейти"/>
    <hyperlink ref="E6446" r:id="rId_hyperlink_6445" tooltip="Перейти" display="Перейти"/>
    <hyperlink ref="E6447" r:id="rId_hyperlink_6446" tooltip="Перейти" display="Перейти"/>
    <hyperlink ref="E6448" r:id="rId_hyperlink_6447" tooltip="Перейти" display="Перейти"/>
    <hyperlink ref="E6449" r:id="rId_hyperlink_6448" tooltip="Перейти" display="Перейти"/>
    <hyperlink ref="E6450" r:id="rId_hyperlink_6449" tooltip="Перейти" display="Перейти"/>
    <hyperlink ref="E6451" r:id="rId_hyperlink_6450" tooltip="Перейти" display="Перейти"/>
    <hyperlink ref="E6452" r:id="rId_hyperlink_6451" tooltip="Перейти" display="Перейти"/>
    <hyperlink ref="E6453" r:id="rId_hyperlink_6452" tooltip="Перейти" display="Перейти"/>
    <hyperlink ref="E6454" r:id="rId_hyperlink_6453" tooltip="Перейти" display="Перейти"/>
    <hyperlink ref="E6455" r:id="rId_hyperlink_6454" tooltip="Перейти" display="Перейти"/>
    <hyperlink ref="E6456" r:id="rId_hyperlink_6455" tooltip="Перейти" display="Перейти"/>
    <hyperlink ref="E6457" r:id="rId_hyperlink_6456" tooltip="Перейти" display="Перейти"/>
    <hyperlink ref="E6458" r:id="rId_hyperlink_6457" tooltip="Перейти" display="Перейти"/>
    <hyperlink ref="E6459" r:id="rId_hyperlink_6458" tooltip="Перейти" display="Перейти"/>
    <hyperlink ref="E6460" r:id="rId_hyperlink_6459" tooltip="Перейти" display="Перейти"/>
    <hyperlink ref="E6461" r:id="rId_hyperlink_6460" tooltip="Перейти" display="Перейти"/>
    <hyperlink ref="E6462" r:id="rId_hyperlink_6461" tooltip="Перейти" display="Перейти"/>
    <hyperlink ref="E6463" r:id="rId_hyperlink_6462" tooltip="Перейти" display="Перейти"/>
    <hyperlink ref="E6464" r:id="rId_hyperlink_6463" tooltip="Перейти" display="Перейти"/>
    <hyperlink ref="E6465" r:id="rId_hyperlink_6464" tooltip="Перейти" display="Перейти"/>
    <hyperlink ref="E6466" r:id="rId_hyperlink_6465" tooltip="Перейти" display="Перейти"/>
    <hyperlink ref="E6467" r:id="rId_hyperlink_6466" tooltip="Перейти" display="Перейти"/>
    <hyperlink ref="E6468" r:id="rId_hyperlink_6467" tooltip="Перейти" display="Перейти"/>
    <hyperlink ref="E6469" r:id="rId_hyperlink_6468" tooltip="Перейти" display="Перейти"/>
    <hyperlink ref="E6470" r:id="rId_hyperlink_6469" tooltip="Перейти" display="Перейти"/>
    <hyperlink ref="E6471" r:id="rId_hyperlink_6470" tooltip="Перейти" display="Перейти"/>
    <hyperlink ref="E6472" r:id="rId_hyperlink_6471" tooltip="Перейти" display="Перейти"/>
    <hyperlink ref="E6473" r:id="rId_hyperlink_6472" tooltip="Перейти" display="Перейти"/>
    <hyperlink ref="E6474" r:id="rId_hyperlink_6473" tooltip="Перейти" display="Перейти"/>
    <hyperlink ref="E6475" r:id="rId_hyperlink_6474" tooltip="Перейти" display="Перейти"/>
    <hyperlink ref="E6476" r:id="rId_hyperlink_6475" tooltip="Перейти" display="Перейти"/>
    <hyperlink ref="E6477" r:id="rId_hyperlink_6476" tooltip="Перейти" display="Перейти"/>
    <hyperlink ref="E6478" r:id="rId_hyperlink_6477" tooltip="Перейти" display="Перейти"/>
    <hyperlink ref="E6479" r:id="rId_hyperlink_6478" tooltip="Перейти" display="Перейти"/>
    <hyperlink ref="E6480" r:id="rId_hyperlink_6479" tooltip="Перейти" display="Перейти"/>
    <hyperlink ref="E6481" r:id="rId_hyperlink_6480" tooltip="Перейти" display="Перейти"/>
    <hyperlink ref="E6482" r:id="rId_hyperlink_6481" tooltip="Перейти" display="Перейти"/>
    <hyperlink ref="E6483" r:id="rId_hyperlink_6482" tooltip="Перейти" display="Перейти"/>
    <hyperlink ref="E6484" r:id="rId_hyperlink_6483" tooltip="Перейти" display="Перейти"/>
    <hyperlink ref="E6485" r:id="rId_hyperlink_6484" tooltip="Перейти" display="Перейти"/>
    <hyperlink ref="E6486" r:id="rId_hyperlink_6485" tooltip="Перейти" display="Перейти"/>
    <hyperlink ref="E6487" r:id="rId_hyperlink_6486" tooltip="Перейти" display="Перейти"/>
    <hyperlink ref="E6488" r:id="rId_hyperlink_6487" tooltip="Перейти" display="Перейти"/>
    <hyperlink ref="E6489" r:id="rId_hyperlink_6488" tooltip="Перейти" display="Перейти"/>
    <hyperlink ref="E6490" r:id="rId_hyperlink_6489" tooltip="Перейти" display="Перейти"/>
    <hyperlink ref="E6491" r:id="rId_hyperlink_6490" tooltip="Перейти" display="Перейти"/>
    <hyperlink ref="E6492" r:id="rId_hyperlink_6491" tooltip="Перейти" display="Перейти"/>
    <hyperlink ref="E6493" r:id="rId_hyperlink_6492" tooltip="Перейти" display="Перейти"/>
    <hyperlink ref="E6494" r:id="rId_hyperlink_6493" tooltip="Перейти" display="Перейти"/>
    <hyperlink ref="E6495" r:id="rId_hyperlink_6494" tooltip="Перейти" display="Перейти"/>
    <hyperlink ref="E6496" r:id="rId_hyperlink_6495" tooltip="Перейти" display="Перейти"/>
    <hyperlink ref="E6497" r:id="rId_hyperlink_6496" tooltip="Перейти" display="Перейти"/>
    <hyperlink ref="E6498" r:id="rId_hyperlink_6497" tooltip="Перейти" display="Перейти"/>
    <hyperlink ref="E6499" r:id="rId_hyperlink_6498" tooltip="Перейти" display="Перейти"/>
    <hyperlink ref="E6500" r:id="rId_hyperlink_6499" tooltip="Перейти" display="Перейти"/>
    <hyperlink ref="E6501" r:id="rId_hyperlink_6500" tooltip="Перейти" display="Перейти"/>
    <hyperlink ref="E6502" r:id="rId_hyperlink_6501" tooltip="Перейти" display="Перейти"/>
    <hyperlink ref="E6503" r:id="rId_hyperlink_6502" tooltip="Перейти" display="Перейти"/>
    <hyperlink ref="E6504" r:id="rId_hyperlink_6503" tooltip="Перейти" display="Перейти"/>
    <hyperlink ref="E6505" r:id="rId_hyperlink_6504" tooltip="Перейти" display="Перейти"/>
    <hyperlink ref="E6506" r:id="rId_hyperlink_6505" tooltip="Перейти" display="Перейти"/>
    <hyperlink ref="E6507" r:id="rId_hyperlink_6506" tooltip="Перейти" display="Перейти"/>
    <hyperlink ref="E6508" r:id="rId_hyperlink_6507" tooltip="Перейти" display="Перейти"/>
    <hyperlink ref="E6509" r:id="rId_hyperlink_6508" tooltip="Перейти" display="Перейти"/>
    <hyperlink ref="E6510" r:id="rId_hyperlink_6509" tooltip="Перейти" display="Перейти"/>
    <hyperlink ref="E6511" r:id="rId_hyperlink_6510" tooltip="Перейти" display="Перейти"/>
    <hyperlink ref="E6512" r:id="rId_hyperlink_6511" tooltip="Перейти" display="Перейти"/>
    <hyperlink ref="E6513" r:id="rId_hyperlink_6512" tooltip="Перейти" display="Перейти"/>
    <hyperlink ref="E6514" r:id="rId_hyperlink_6513" tooltip="Перейти" display="Перейти"/>
    <hyperlink ref="E6515" r:id="rId_hyperlink_6514" tooltip="Перейти" display="Перейти"/>
    <hyperlink ref="E6516" r:id="rId_hyperlink_6515" tooltip="Перейти" display="Перейти"/>
    <hyperlink ref="E6517" r:id="rId_hyperlink_6516" tooltip="Перейти" display="Перейти"/>
    <hyperlink ref="E6518" r:id="rId_hyperlink_6517" tooltip="Перейти" display="Перейти"/>
    <hyperlink ref="E6519" r:id="rId_hyperlink_6518" tooltip="Перейти" display="Перейти"/>
    <hyperlink ref="E6520" r:id="rId_hyperlink_6519" tooltip="Перейти" display="Перейти"/>
    <hyperlink ref="E6521" r:id="rId_hyperlink_6520" tooltip="Перейти" display="Перейти"/>
    <hyperlink ref="E6522" r:id="rId_hyperlink_6521" tooltip="Перейти" display="Перейти"/>
    <hyperlink ref="E6523" r:id="rId_hyperlink_6522" tooltip="Перейти" display="Перейти"/>
    <hyperlink ref="E6524" r:id="rId_hyperlink_6523" tooltip="Перейти" display="Перейти"/>
    <hyperlink ref="E6525" r:id="rId_hyperlink_6524" tooltip="Перейти" display="Перейти"/>
    <hyperlink ref="E6526" r:id="rId_hyperlink_6525" tooltip="Перейти" display="Перейти"/>
    <hyperlink ref="E6527" r:id="rId_hyperlink_6526" tooltip="Перейти" display="Перейти"/>
    <hyperlink ref="E6528" r:id="rId_hyperlink_6527" tooltip="Перейти" display="Перейти"/>
    <hyperlink ref="E6529" r:id="rId_hyperlink_6528" tooltip="Перейти" display="Перейти"/>
    <hyperlink ref="E6530" r:id="rId_hyperlink_6529" tooltip="Перейти" display="Перейти"/>
    <hyperlink ref="E6531" r:id="rId_hyperlink_6530" tooltip="Перейти" display="Перейти"/>
    <hyperlink ref="E6532" r:id="rId_hyperlink_6531" tooltip="Перейти" display="Перейти"/>
    <hyperlink ref="E6533" r:id="rId_hyperlink_6532" tooltip="Перейти" display="Перейти"/>
    <hyperlink ref="E6534" r:id="rId_hyperlink_6533" tooltip="Перейти" display="Перейти"/>
    <hyperlink ref="E6535" r:id="rId_hyperlink_6534" tooltip="Перейти" display="Перейти"/>
    <hyperlink ref="E6536" r:id="rId_hyperlink_6535" tooltip="Перейти" display="Перейти"/>
    <hyperlink ref="E6537" r:id="rId_hyperlink_6536" tooltip="Перейти" display="Перейти"/>
    <hyperlink ref="E6538" r:id="rId_hyperlink_6537" tooltip="Перейти" display="Перейти"/>
    <hyperlink ref="E6539" r:id="rId_hyperlink_6538" tooltip="Перейти" display="Перейти"/>
    <hyperlink ref="E6540" r:id="rId_hyperlink_6539" tooltip="Перейти" display="Перейти"/>
    <hyperlink ref="E6541" r:id="rId_hyperlink_6540" tooltip="Перейти" display="Перейти"/>
    <hyperlink ref="E6542" r:id="rId_hyperlink_6541" tooltip="Перейти" display="Перейти"/>
    <hyperlink ref="E6543" r:id="rId_hyperlink_6542" tooltip="Перейти" display="Перейти"/>
    <hyperlink ref="E6544" r:id="rId_hyperlink_6543" tooltip="Перейти" display="Перейти"/>
    <hyperlink ref="E6545" r:id="rId_hyperlink_6544" tooltip="Перейти" display="Перейти"/>
    <hyperlink ref="E6546" r:id="rId_hyperlink_6545" tooltip="Перейти" display="Перейти"/>
    <hyperlink ref="E6547" r:id="rId_hyperlink_6546" tooltip="Перейти" display="Перейти"/>
    <hyperlink ref="E6548" r:id="rId_hyperlink_6547" tooltip="Перейти" display="Перейти"/>
    <hyperlink ref="E6549" r:id="rId_hyperlink_6548" tooltip="Перейти" display="Перейти"/>
    <hyperlink ref="E6550" r:id="rId_hyperlink_6549" tooltip="Перейти" display="Перейти"/>
    <hyperlink ref="E6551" r:id="rId_hyperlink_6550" tooltip="Перейти" display="Перейти"/>
    <hyperlink ref="E6552" r:id="rId_hyperlink_6551" tooltip="Перейти" display="Перейти"/>
    <hyperlink ref="E6553" r:id="rId_hyperlink_6552" tooltip="Перейти" display="Перейти"/>
    <hyperlink ref="E6554" r:id="rId_hyperlink_6553" tooltip="Перейти" display="Перейти"/>
    <hyperlink ref="E6555" r:id="rId_hyperlink_6554" tooltip="Перейти" display="Перейти"/>
    <hyperlink ref="E6556" r:id="rId_hyperlink_6555" tooltip="Перейти" display="Перейти"/>
    <hyperlink ref="E6557" r:id="rId_hyperlink_6556" tooltip="Перейти" display="Перейти"/>
    <hyperlink ref="E6558" r:id="rId_hyperlink_6557" tooltip="Перейти" display="Перейти"/>
    <hyperlink ref="E6559" r:id="rId_hyperlink_6558" tooltip="Перейти" display="Перейти"/>
    <hyperlink ref="E6560" r:id="rId_hyperlink_6559" tooltip="Перейти" display="Перейти"/>
    <hyperlink ref="E6561" r:id="rId_hyperlink_6560" tooltip="Перейти" display="Перейти"/>
    <hyperlink ref="E6562" r:id="rId_hyperlink_6561" tooltip="Перейти" display="Перейти"/>
    <hyperlink ref="E6563" r:id="rId_hyperlink_6562" tooltip="Перейти" display="Перейти"/>
    <hyperlink ref="E6564" r:id="rId_hyperlink_6563" tooltip="Перейти" display="Перейти"/>
    <hyperlink ref="E6565" r:id="rId_hyperlink_6564" tooltip="Перейти" display="Перейти"/>
    <hyperlink ref="E6566" r:id="rId_hyperlink_6565" tooltip="Перейти" display="Перейти"/>
    <hyperlink ref="E6567" r:id="rId_hyperlink_6566" tooltip="Перейти" display="Перейти"/>
    <hyperlink ref="E6568" r:id="rId_hyperlink_6567" tooltip="Перейти" display="Перейти"/>
    <hyperlink ref="E6569" r:id="rId_hyperlink_6568" tooltip="Перейти" display="Перейти"/>
    <hyperlink ref="E6570" r:id="rId_hyperlink_6569" tooltip="Перейти" display="Перейти"/>
    <hyperlink ref="E6571" r:id="rId_hyperlink_6570" tooltip="Перейти" display="Перейти"/>
    <hyperlink ref="E6572" r:id="rId_hyperlink_6571" tooltip="Перейти" display="Перейти"/>
    <hyperlink ref="E6573" r:id="rId_hyperlink_6572" tooltip="Перейти" display="Перейти"/>
    <hyperlink ref="E6574" r:id="rId_hyperlink_6573" tooltip="Перейти" display="Перейти"/>
    <hyperlink ref="E6575" r:id="rId_hyperlink_6574" tooltip="Перейти" display="Перейти"/>
    <hyperlink ref="E6576" r:id="rId_hyperlink_6575" tooltip="Перейти" display="Перейти"/>
    <hyperlink ref="E6577" r:id="rId_hyperlink_6576" tooltip="Перейти" display="Перейти"/>
    <hyperlink ref="E6578" r:id="rId_hyperlink_6577" tooltip="Перейти" display="Перейти"/>
    <hyperlink ref="E6579" r:id="rId_hyperlink_6578" tooltip="Перейти" display="Перейти"/>
    <hyperlink ref="E6580" r:id="rId_hyperlink_6579" tooltip="Перейти" display="Перейти"/>
    <hyperlink ref="E6581" r:id="rId_hyperlink_6580" tooltip="Перейти" display="Перейти"/>
    <hyperlink ref="E6582" r:id="rId_hyperlink_6581" tooltip="Перейти" display="Перейти"/>
    <hyperlink ref="E6583" r:id="rId_hyperlink_6582" tooltip="Перейти" display="Перейти"/>
    <hyperlink ref="E6584" r:id="rId_hyperlink_6583" tooltip="Перейти" display="Перейти"/>
    <hyperlink ref="E6585" r:id="rId_hyperlink_6584" tooltip="Перейти" display="Перейти"/>
    <hyperlink ref="E6586" r:id="rId_hyperlink_6585" tooltip="Перейти" display="Перейти"/>
    <hyperlink ref="E6587" r:id="rId_hyperlink_6586" tooltip="Перейти" display="Перейти"/>
    <hyperlink ref="E6588" r:id="rId_hyperlink_6587" tooltip="Перейти" display="Перейти"/>
    <hyperlink ref="E6589" r:id="rId_hyperlink_6588" tooltip="Перейти" display="Перейти"/>
    <hyperlink ref="E6590" r:id="rId_hyperlink_6589" tooltip="Перейти" display="Перейти"/>
    <hyperlink ref="E6591" r:id="rId_hyperlink_6590" tooltip="Перейти" display="Перейти"/>
    <hyperlink ref="E6592" r:id="rId_hyperlink_6591" tooltip="Перейти" display="Перейти"/>
    <hyperlink ref="E6593" r:id="rId_hyperlink_6592" tooltip="Перейти" display="Перейти"/>
    <hyperlink ref="E6594" r:id="rId_hyperlink_6593" tooltip="Перейти" display="Перейти"/>
    <hyperlink ref="E6595" r:id="rId_hyperlink_6594" tooltip="Перейти" display="Перейти"/>
    <hyperlink ref="E6596" r:id="rId_hyperlink_6595" tooltip="Перейти" display="Перейти"/>
    <hyperlink ref="E6597" r:id="rId_hyperlink_6596" tooltip="Перейти" display="Перейти"/>
    <hyperlink ref="E6598" r:id="rId_hyperlink_6597" tooltip="Перейти" display="Перейти"/>
    <hyperlink ref="E6599" r:id="rId_hyperlink_6598" tooltip="Перейти" display="Перейти"/>
    <hyperlink ref="E6600" r:id="rId_hyperlink_6599" tooltip="Перейти" display="Перейти"/>
    <hyperlink ref="E6601" r:id="rId_hyperlink_6600" tooltip="Перейти" display="Перейти"/>
    <hyperlink ref="E6602" r:id="rId_hyperlink_6601" tooltip="Перейти" display="Перейти"/>
    <hyperlink ref="E6603" r:id="rId_hyperlink_6602" tooltip="Перейти" display="Перейти"/>
    <hyperlink ref="E6604" r:id="rId_hyperlink_6603" tooltip="Перейти" display="Перейти"/>
    <hyperlink ref="E6605" r:id="rId_hyperlink_6604" tooltip="Перейти" display="Перейти"/>
    <hyperlink ref="E6606" r:id="rId_hyperlink_6605" tooltip="Перейти" display="Перейти"/>
    <hyperlink ref="E6607" r:id="rId_hyperlink_6606" tooltip="Перейти" display="Перейти"/>
    <hyperlink ref="E6608" r:id="rId_hyperlink_6607" tooltip="Перейти" display="Перейти"/>
    <hyperlink ref="E6609" r:id="rId_hyperlink_6608" tooltip="Перейти" display="Перейти"/>
    <hyperlink ref="E6610" r:id="rId_hyperlink_6609" tooltip="Перейти" display="Перейти"/>
    <hyperlink ref="E6611" r:id="rId_hyperlink_6610" tooltip="Перейти" display="Перейти"/>
    <hyperlink ref="E6612" r:id="rId_hyperlink_6611" tooltip="Перейти" display="Перейти"/>
    <hyperlink ref="E6613" r:id="rId_hyperlink_6612" tooltip="Перейти" display="Перейти"/>
    <hyperlink ref="E6614" r:id="rId_hyperlink_6613" tooltip="Перейти" display="Перейти"/>
    <hyperlink ref="E6615" r:id="rId_hyperlink_6614" tooltip="Перейти" display="Перейти"/>
    <hyperlink ref="E6616" r:id="rId_hyperlink_6615" tooltip="Перейти" display="Перейти"/>
    <hyperlink ref="E6617" r:id="rId_hyperlink_6616" tooltip="Перейти" display="Перейти"/>
    <hyperlink ref="E6618" r:id="rId_hyperlink_6617" tooltip="Перейти" display="Перейти"/>
    <hyperlink ref="E6619" r:id="rId_hyperlink_6618" tooltip="Перейти" display="Перейти"/>
    <hyperlink ref="E6620" r:id="rId_hyperlink_6619" tooltip="Перейти" display="Перейти"/>
    <hyperlink ref="E6621" r:id="rId_hyperlink_6620" tooltip="Перейти" display="Перейти"/>
    <hyperlink ref="E6622" r:id="rId_hyperlink_6621" tooltip="Перейти" display="Перейти"/>
    <hyperlink ref="E6623" r:id="rId_hyperlink_6622" tooltip="Перейти" display="Перейти"/>
    <hyperlink ref="E6624" r:id="rId_hyperlink_6623" tooltip="Перейти" display="Перейти"/>
    <hyperlink ref="E6625" r:id="rId_hyperlink_6624" tooltip="Перейти" display="Перейти"/>
    <hyperlink ref="E6626" r:id="rId_hyperlink_6625" tooltip="Перейти" display="Перейти"/>
    <hyperlink ref="E6627" r:id="rId_hyperlink_6626" tooltip="Перейти" display="Перейти"/>
    <hyperlink ref="E6628" r:id="rId_hyperlink_6627" tooltip="Перейти" display="Перейти"/>
    <hyperlink ref="E6629" r:id="rId_hyperlink_6628" tooltip="Перейти" display="Перейти"/>
    <hyperlink ref="E6630" r:id="rId_hyperlink_6629" tooltip="Перейти" display="Перейти"/>
    <hyperlink ref="E6631" r:id="rId_hyperlink_6630" tooltip="Перейти" display="Перейти"/>
    <hyperlink ref="E6632" r:id="rId_hyperlink_6631" tooltip="Перейти" display="Перейти"/>
    <hyperlink ref="E6633" r:id="rId_hyperlink_6632" tooltip="Перейти" display="Перейти"/>
    <hyperlink ref="E6634" r:id="rId_hyperlink_6633" tooltip="Перейти" display="Перейти"/>
    <hyperlink ref="E6635" r:id="rId_hyperlink_6634" tooltip="Перейти" display="Перейти"/>
    <hyperlink ref="E6636" r:id="rId_hyperlink_6635" tooltip="Перейти" display="Перейти"/>
    <hyperlink ref="E6637" r:id="rId_hyperlink_6636" tooltip="Перейти" display="Перейти"/>
    <hyperlink ref="E6638" r:id="rId_hyperlink_6637" tooltip="Перейти" display="Перейти"/>
    <hyperlink ref="E6639" r:id="rId_hyperlink_6638" tooltip="Перейти" display="Перейти"/>
    <hyperlink ref="E6640" r:id="rId_hyperlink_6639" tooltip="Перейти" display="Перейти"/>
    <hyperlink ref="E6641" r:id="rId_hyperlink_6640" tooltip="Перейти" display="Перейти"/>
    <hyperlink ref="E6642" r:id="rId_hyperlink_6641" tooltip="Перейти" display="Перейти"/>
    <hyperlink ref="E6643" r:id="rId_hyperlink_6642" tooltip="Перейти" display="Перейти"/>
    <hyperlink ref="E6644" r:id="rId_hyperlink_6643" tooltip="Перейти" display="Перейти"/>
    <hyperlink ref="E6645" r:id="rId_hyperlink_6644" tooltip="Перейти" display="Перейти"/>
    <hyperlink ref="E6646" r:id="rId_hyperlink_6645" tooltip="Перейти" display="Перейти"/>
    <hyperlink ref="E6647" r:id="rId_hyperlink_6646" tooltip="Перейти" display="Перейти"/>
    <hyperlink ref="E6648" r:id="rId_hyperlink_6647" tooltip="Перейти" display="Перейти"/>
    <hyperlink ref="E6649" r:id="rId_hyperlink_6648" tooltip="Перейти" display="Перейти"/>
    <hyperlink ref="E6650" r:id="rId_hyperlink_6649" tooltip="Перейти" display="Перейти"/>
    <hyperlink ref="E6651" r:id="rId_hyperlink_6650" tooltip="Перейти" display="Перейти"/>
    <hyperlink ref="E6652" r:id="rId_hyperlink_6651" tooltip="Перейти" display="Перейти"/>
    <hyperlink ref="E6653" r:id="rId_hyperlink_6652" tooltip="Перейти" display="Перейти"/>
    <hyperlink ref="E6654" r:id="rId_hyperlink_6653" tooltip="Перейти" display="Перейти"/>
    <hyperlink ref="E6655" r:id="rId_hyperlink_6654" tooltip="Перейти" display="Перейти"/>
    <hyperlink ref="E6656" r:id="rId_hyperlink_6655" tooltip="Перейти" display="Перейти"/>
    <hyperlink ref="E6657" r:id="rId_hyperlink_6656" tooltip="Перейти" display="Перейти"/>
    <hyperlink ref="E6658" r:id="rId_hyperlink_6657" tooltip="Перейти" display="Перейти"/>
    <hyperlink ref="E6659" r:id="rId_hyperlink_6658" tooltip="Перейти" display="Перейти"/>
    <hyperlink ref="E6660" r:id="rId_hyperlink_6659" tooltip="Перейти" display="Перейти"/>
    <hyperlink ref="E6661" r:id="rId_hyperlink_6660" tooltip="Перейти" display="Перейти"/>
    <hyperlink ref="E6662" r:id="rId_hyperlink_6661" tooltip="Перейти" display="Перейти"/>
    <hyperlink ref="E6663" r:id="rId_hyperlink_6662" tooltip="Перейти" display="Перейти"/>
    <hyperlink ref="E6664" r:id="rId_hyperlink_6663" tooltip="Перейти" display="Перейти"/>
    <hyperlink ref="E6665" r:id="rId_hyperlink_6664" tooltip="Перейти" display="Перейти"/>
    <hyperlink ref="E6666" r:id="rId_hyperlink_6665" tooltip="Перейти" display="Перейти"/>
    <hyperlink ref="E6667" r:id="rId_hyperlink_6666" tooltip="Перейти" display="Перейти"/>
    <hyperlink ref="E6668" r:id="rId_hyperlink_6667" tooltip="Перейти" display="Перейти"/>
    <hyperlink ref="E6669" r:id="rId_hyperlink_6668" tooltip="Перейти" display="Перейти"/>
    <hyperlink ref="E6670" r:id="rId_hyperlink_6669" tooltip="Перейти" display="Перейти"/>
    <hyperlink ref="E6671" r:id="rId_hyperlink_6670" tooltip="Перейти" display="Перейти"/>
    <hyperlink ref="E6672" r:id="rId_hyperlink_6671" tooltip="Перейти" display="Перейти"/>
    <hyperlink ref="E6673" r:id="rId_hyperlink_6672" tooltip="Перейти" display="Перейти"/>
    <hyperlink ref="E6674" r:id="rId_hyperlink_6673" tooltip="Перейти" display="Перейти"/>
    <hyperlink ref="E6675" r:id="rId_hyperlink_6674" tooltip="Перейти" display="Перейти"/>
    <hyperlink ref="E6676" r:id="rId_hyperlink_6675" tooltip="Перейти" display="Перейти"/>
    <hyperlink ref="E6677" r:id="rId_hyperlink_6676" tooltip="Перейти" display="Перейти"/>
    <hyperlink ref="E6678" r:id="rId_hyperlink_6677" tooltip="Перейти" display="Перейти"/>
    <hyperlink ref="E6679" r:id="rId_hyperlink_6678" tooltip="Перейти" display="Перейти"/>
    <hyperlink ref="E6680" r:id="rId_hyperlink_6679" tooltip="Перейти" display="Перейти"/>
    <hyperlink ref="E6681" r:id="rId_hyperlink_6680" tooltip="Перейти" display="Перейти"/>
    <hyperlink ref="E6682" r:id="rId_hyperlink_6681" tooltip="Перейти" display="Перейти"/>
    <hyperlink ref="E6683" r:id="rId_hyperlink_6682" tooltip="Перейти" display="Перейти"/>
    <hyperlink ref="E6684" r:id="rId_hyperlink_6683" tooltip="Перейти" display="Перейти"/>
    <hyperlink ref="E6685" r:id="rId_hyperlink_6684" tooltip="Перейти" display="Перейти"/>
    <hyperlink ref="E6686" r:id="rId_hyperlink_6685" tooltip="Перейти" display="Перейти"/>
    <hyperlink ref="E6687" r:id="rId_hyperlink_6686" tooltip="Перейти" display="Перейти"/>
    <hyperlink ref="E6688" r:id="rId_hyperlink_6687" tooltip="Перейти" display="Перейти"/>
    <hyperlink ref="E6689" r:id="rId_hyperlink_6688" tooltip="Перейти" display="Перейти"/>
    <hyperlink ref="E6690" r:id="rId_hyperlink_6689" tooltip="Перейти" display="Перейти"/>
    <hyperlink ref="E6691" r:id="rId_hyperlink_6690" tooltip="Перейти" display="Перейти"/>
    <hyperlink ref="E6692" r:id="rId_hyperlink_6691" tooltip="Перейти" display="Перейти"/>
    <hyperlink ref="E6693" r:id="rId_hyperlink_6692" tooltip="Перейти" display="Перейти"/>
    <hyperlink ref="E6694" r:id="rId_hyperlink_6693" tooltip="Перейти" display="Перейти"/>
    <hyperlink ref="E6695" r:id="rId_hyperlink_6694" tooltip="Перейти" display="Перейти"/>
    <hyperlink ref="E6696" r:id="rId_hyperlink_6695" tooltip="Перейти" display="Перейти"/>
    <hyperlink ref="E6697" r:id="rId_hyperlink_6696" tooltip="Перейти" display="Перейти"/>
    <hyperlink ref="E6698" r:id="rId_hyperlink_6697" tooltip="Перейти" display="Перейти"/>
    <hyperlink ref="E6699" r:id="rId_hyperlink_6698" tooltip="Перейти" display="Перейти"/>
    <hyperlink ref="E6700" r:id="rId_hyperlink_6699" tooltip="Перейти" display="Перейти"/>
    <hyperlink ref="E6701" r:id="rId_hyperlink_6700" tooltip="Перейти" display="Перейти"/>
    <hyperlink ref="E6702" r:id="rId_hyperlink_6701" tooltip="Перейти" display="Перейти"/>
    <hyperlink ref="E6703" r:id="rId_hyperlink_6702" tooltip="Перейти" display="Перейти"/>
    <hyperlink ref="E6704" r:id="rId_hyperlink_6703" tooltip="Перейти" display="Перейти"/>
    <hyperlink ref="E6705" r:id="rId_hyperlink_6704" tooltip="Перейти" display="Перейти"/>
    <hyperlink ref="E6706" r:id="rId_hyperlink_6705" tooltip="Перейти" display="Перейти"/>
    <hyperlink ref="E6707" r:id="rId_hyperlink_6706" tooltip="Перейти" display="Перейти"/>
    <hyperlink ref="E6708" r:id="rId_hyperlink_6707" tooltip="Перейти" display="Перейти"/>
    <hyperlink ref="E6709" r:id="rId_hyperlink_6708" tooltip="Перейти" display="Перейти"/>
    <hyperlink ref="E6710" r:id="rId_hyperlink_6709" tooltip="Перейти" display="Перейти"/>
    <hyperlink ref="E6711" r:id="rId_hyperlink_6710" tooltip="Перейти" display="Перейти"/>
    <hyperlink ref="E6712" r:id="rId_hyperlink_6711" tooltip="Перейти" display="Перейти"/>
    <hyperlink ref="E6713" r:id="rId_hyperlink_6712" tooltip="Перейти" display="Перейти"/>
    <hyperlink ref="E6714" r:id="rId_hyperlink_6713" tooltip="Перейти" display="Перейти"/>
    <hyperlink ref="E6715" r:id="rId_hyperlink_6714" tooltip="Перейти" display="Перейти"/>
    <hyperlink ref="E6716" r:id="rId_hyperlink_6715" tooltip="Перейти" display="Перейти"/>
    <hyperlink ref="E6717" r:id="rId_hyperlink_6716" tooltip="Перейти" display="Перейти"/>
    <hyperlink ref="E6718" r:id="rId_hyperlink_6717" tooltip="Перейти" display="Перейти"/>
    <hyperlink ref="E6719" r:id="rId_hyperlink_6718" tooltip="Перейти" display="Перейти"/>
    <hyperlink ref="E6720" r:id="rId_hyperlink_6719" tooltip="Перейти" display="Перейти"/>
    <hyperlink ref="E6721" r:id="rId_hyperlink_6720" tooltip="Перейти" display="Перейти"/>
    <hyperlink ref="E6722" r:id="rId_hyperlink_6721" tooltip="Перейти" display="Перейти"/>
    <hyperlink ref="E6723" r:id="rId_hyperlink_6722" tooltip="Перейти" display="Перейти"/>
    <hyperlink ref="E6724" r:id="rId_hyperlink_6723" tooltip="Перейти" display="Перейти"/>
    <hyperlink ref="E6725" r:id="rId_hyperlink_6724" tooltip="Перейти" display="Перейти"/>
    <hyperlink ref="E6726" r:id="rId_hyperlink_6725" tooltip="Перейти" display="Перейти"/>
    <hyperlink ref="E6727" r:id="rId_hyperlink_6726" tooltip="Перейти" display="Перейти"/>
    <hyperlink ref="E6728" r:id="rId_hyperlink_6727" tooltip="Перейти" display="Перейти"/>
    <hyperlink ref="E6729" r:id="rId_hyperlink_6728" tooltip="Перейти" display="Перейти"/>
    <hyperlink ref="E6730" r:id="rId_hyperlink_6729" tooltip="Перейти" display="Перейти"/>
    <hyperlink ref="E6731" r:id="rId_hyperlink_6730" tooltip="Перейти" display="Перейти"/>
    <hyperlink ref="E6732" r:id="rId_hyperlink_6731" tooltip="Перейти" display="Перейти"/>
    <hyperlink ref="E6733" r:id="rId_hyperlink_6732" tooltip="Перейти" display="Перейти"/>
    <hyperlink ref="E6734" r:id="rId_hyperlink_6733" tooltip="Перейти" display="Перейти"/>
    <hyperlink ref="E6735" r:id="rId_hyperlink_6734" tooltip="Перейти" display="Перейти"/>
    <hyperlink ref="E6736" r:id="rId_hyperlink_6735" tooltip="Перейти" display="Перейти"/>
    <hyperlink ref="E6737" r:id="rId_hyperlink_6736" tooltip="Перейти" display="Перейти"/>
    <hyperlink ref="E6738" r:id="rId_hyperlink_6737" tooltip="Перейти" display="Перейти"/>
    <hyperlink ref="E6739" r:id="rId_hyperlink_6738" tooltip="Перейти" display="Перейти"/>
    <hyperlink ref="E6740" r:id="rId_hyperlink_6739" tooltip="Перейти" display="Перейти"/>
    <hyperlink ref="E6741" r:id="rId_hyperlink_6740" tooltip="Перейти" display="Перейти"/>
    <hyperlink ref="E6742" r:id="rId_hyperlink_6741" tooltip="Перейти" display="Перейти"/>
    <hyperlink ref="E6743" r:id="rId_hyperlink_6742" tooltip="Перейти" display="Перейти"/>
    <hyperlink ref="E6744" r:id="rId_hyperlink_6743" tooltip="Перейти" display="Перейти"/>
    <hyperlink ref="E6745" r:id="rId_hyperlink_6744" tooltip="Перейти" display="Перейти"/>
    <hyperlink ref="E6746" r:id="rId_hyperlink_6745" tooltip="Перейти" display="Перейти"/>
    <hyperlink ref="E6747" r:id="rId_hyperlink_6746" tooltip="Перейти" display="Перейти"/>
    <hyperlink ref="E6748" r:id="rId_hyperlink_6747" tooltip="Перейти" display="Перейти"/>
    <hyperlink ref="E6749" r:id="rId_hyperlink_6748" tooltip="Перейти" display="Перейти"/>
    <hyperlink ref="E6750" r:id="rId_hyperlink_6749" tooltip="Перейти" display="Перейти"/>
    <hyperlink ref="E6751" r:id="rId_hyperlink_6750" tooltip="Перейти" display="Перейти"/>
    <hyperlink ref="E6752" r:id="rId_hyperlink_6751" tooltip="Перейти" display="Перейти"/>
    <hyperlink ref="E6753" r:id="rId_hyperlink_6752" tooltip="Перейти" display="Перейти"/>
    <hyperlink ref="E6754" r:id="rId_hyperlink_6753" tooltip="Перейти" display="Перейти"/>
    <hyperlink ref="E6755" r:id="rId_hyperlink_6754" tooltip="Перейти" display="Перейти"/>
    <hyperlink ref="E6756" r:id="rId_hyperlink_6755" tooltip="Перейти" display="Перейти"/>
    <hyperlink ref="E6757" r:id="rId_hyperlink_6756" tooltip="Перейти" display="Перейти"/>
    <hyperlink ref="E6758" r:id="rId_hyperlink_6757" tooltip="Перейти" display="Перейти"/>
    <hyperlink ref="E6759" r:id="rId_hyperlink_6758" tooltip="Перейти" display="Перейти"/>
    <hyperlink ref="E6760" r:id="rId_hyperlink_6759" tooltip="Перейти" display="Перейти"/>
    <hyperlink ref="E6761" r:id="rId_hyperlink_6760" tooltip="Перейти" display="Перейти"/>
    <hyperlink ref="E6762" r:id="rId_hyperlink_6761" tooltip="Перейти" display="Перейти"/>
    <hyperlink ref="E6763" r:id="rId_hyperlink_6762" tooltip="Перейти" display="Перейти"/>
    <hyperlink ref="E6764" r:id="rId_hyperlink_6763" tooltip="Перейти" display="Перейти"/>
    <hyperlink ref="E6765" r:id="rId_hyperlink_6764" tooltip="Перейти" display="Перейти"/>
    <hyperlink ref="E6766" r:id="rId_hyperlink_6765" tooltip="Перейти" display="Перейти"/>
    <hyperlink ref="E6767" r:id="rId_hyperlink_6766" tooltip="Перейти" display="Перейти"/>
    <hyperlink ref="E6768" r:id="rId_hyperlink_6767" tooltip="Перейти" display="Перейти"/>
    <hyperlink ref="E6769" r:id="rId_hyperlink_6768" tooltip="Перейти" display="Перейти"/>
    <hyperlink ref="E6770" r:id="rId_hyperlink_6769" tooltip="Перейти" display="Перейти"/>
    <hyperlink ref="E6771" r:id="rId_hyperlink_6770" tooltip="Перейти" display="Перейти"/>
    <hyperlink ref="E6772" r:id="rId_hyperlink_6771" tooltip="Перейти" display="Перейти"/>
    <hyperlink ref="E6773" r:id="rId_hyperlink_6772" tooltip="Перейти" display="Перейти"/>
    <hyperlink ref="E6774" r:id="rId_hyperlink_6773" tooltip="Перейти" display="Перейти"/>
    <hyperlink ref="E6775" r:id="rId_hyperlink_6774" tooltip="Перейти" display="Перейти"/>
    <hyperlink ref="E6776" r:id="rId_hyperlink_6775" tooltip="Перейти" display="Перейти"/>
    <hyperlink ref="E6777" r:id="rId_hyperlink_6776" tooltip="Перейти" display="Перейти"/>
    <hyperlink ref="E6778" r:id="rId_hyperlink_6777" tooltip="Перейти" display="Перейти"/>
    <hyperlink ref="E6779" r:id="rId_hyperlink_6778" tooltip="Перейти" display="Перейти"/>
    <hyperlink ref="E6780" r:id="rId_hyperlink_6779" tooltip="Перейти" display="Перейти"/>
    <hyperlink ref="E6781" r:id="rId_hyperlink_6780" tooltip="Перейти" display="Перейти"/>
    <hyperlink ref="E6782" r:id="rId_hyperlink_6781" tooltip="Перейти" display="Перейти"/>
    <hyperlink ref="E6783" r:id="rId_hyperlink_6782" tooltip="Перейти" display="Перейти"/>
    <hyperlink ref="E6784" r:id="rId_hyperlink_6783" tooltip="Перейти" display="Перейти"/>
    <hyperlink ref="E6785" r:id="rId_hyperlink_6784" tooltip="Перейти" display="Перейти"/>
    <hyperlink ref="E6786" r:id="rId_hyperlink_6785" tooltip="Перейти" display="Перейти"/>
    <hyperlink ref="E6787" r:id="rId_hyperlink_6786" tooltip="Перейти" display="Перейти"/>
    <hyperlink ref="E6788" r:id="rId_hyperlink_6787" tooltip="Перейти" display="Перейти"/>
    <hyperlink ref="E6789" r:id="rId_hyperlink_6788" tooltip="Перейти" display="Перейти"/>
    <hyperlink ref="E6790" r:id="rId_hyperlink_6789" tooltip="Перейти" display="Перейти"/>
    <hyperlink ref="E6791" r:id="rId_hyperlink_6790" tooltip="Перейти" display="Перейти"/>
    <hyperlink ref="E6792" r:id="rId_hyperlink_6791" tooltip="Перейти" display="Перейти"/>
    <hyperlink ref="E6793" r:id="rId_hyperlink_6792" tooltip="Перейти" display="Перейти"/>
    <hyperlink ref="E6794" r:id="rId_hyperlink_6793" tooltip="Перейти" display="Перейти"/>
    <hyperlink ref="E6795" r:id="rId_hyperlink_6794" tooltip="Перейти" display="Перейти"/>
    <hyperlink ref="E6796" r:id="rId_hyperlink_6795" tooltip="Перейти" display="Перейти"/>
    <hyperlink ref="E6797" r:id="rId_hyperlink_6796" tooltip="Перейти" display="Перейти"/>
    <hyperlink ref="E6798" r:id="rId_hyperlink_6797" tooltip="Перейти" display="Перейти"/>
    <hyperlink ref="E6799" r:id="rId_hyperlink_6798" tooltip="Перейти" display="Перейти"/>
    <hyperlink ref="E6800" r:id="rId_hyperlink_6799" tooltip="Перейти" display="Перейти"/>
    <hyperlink ref="E6801" r:id="rId_hyperlink_6800" tooltip="Перейти" display="Перейти"/>
    <hyperlink ref="E6802" r:id="rId_hyperlink_6801" tooltip="Перейти" display="Перейти"/>
    <hyperlink ref="E6803" r:id="rId_hyperlink_6802" tooltip="Перейти" display="Перейти"/>
    <hyperlink ref="E6804" r:id="rId_hyperlink_6803" tooltip="Перейти" display="Перейти"/>
    <hyperlink ref="E6805" r:id="rId_hyperlink_6804" tooltip="Перейти" display="Перейти"/>
    <hyperlink ref="E6806" r:id="rId_hyperlink_6805" tooltip="Перейти" display="Перейти"/>
    <hyperlink ref="E6807" r:id="rId_hyperlink_6806" tooltip="Перейти" display="Перейти"/>
    <hyperlink ref="E6808" r:id="rId_hyperlink_6807" tooltip="Перейти" display="Перейти"/>
    <hyperlink ref="E6809" r:id="rId_hyperlink_6808" tooltip="Перейти" display="Перейти"/>
    <hyperlink ref="E6810" r:id="rId_hyperlink_6809" tooltip="Перейти" display="Перейти"/>
    <hyperlink ref="E6811" r:id="rId_hyperlink_6810" tooltip="Перейти" display="Перейти"/>
    <hyperlink ref="E6812" r:id="rId_hyperlink_6811" tooltip="Перейти" display="Перейти"/>
    <hyperlink ref="E6813" r:id="rId_hyperlink_6812" tooltip="Перейти" display="Перейти"/>
    <hyperlink ref="E6814" r:id="rId_hyperlink_6813" tooltip="Перейти" display="Перейти"/>
    <hyperlink ref="E6815" r:id="rId_hyperlink_6814" tooltip="Перейти" display="Перейти"/>
    <hyperlink ref="E6816" r:id="rId_hyperlink_6815" tooltip="Перейти" display="Перейти"/>
    <hyperlink ref="E6817" r:id="rId_hyperlink_6816" tooltip="Перейти" display="Перейти"/>
    <hyperlink ref="E6818" r:id="rId_hyperlink_6817" tooltip="Перейти" display="Перейти"/>
    <hyperlink ref="E6819" r:id="rId_hyperlink_6818" tooltip="Перейти" display="Перейти"/>
    <hyperlink ref="E6820" r:id="rId_hyperlink_6819" tooltip="Перейти" display="Перейти"/>
    <hyperlink ref="E6821" r:id="rId_hyperlink_6820" tooltip="Перейти" display="Перейти"/>
    <hyperlink ref="E6822" r:id="rId_hyperlink_6821" tooltip="Перейти" display="Перейти"/>
    <hyperlink ref="E6823" r:id="rId_hyperlink_6822" tooltip="Перейти" display="Перейти"/>
    <hyperlink ref="E6824" r:id="rId_hyperlink_6823" tooltip="Перейти" display="Перейти"/>
    <hyperlink ref="E6825" r:id="rId_hyperlink_6824" tooltip="Перейти" display="Перейти"/>
    <hyperlink ref="E6826" r:id="rId_hyperlink_6825" tooltip="Перейти" display="Перейти"/>
    <hyperlink ref="E6827" r:id="rId_hyperlink_6826" tooltip="Перейти" display="Перейти"/>
    <hyperlink ref="E6828" r:id="rId_hyperlink_6827" tooltip="Перейти" display="Перейти"/>
    <hyperlink ref="E6829" r:id="rId_hyperlink_6828" tooltip="Перейти" display="Перейти"/>
    <hyperlink ref="E6830" r:id="rId_hyperlink_6829" tooltip="Перейти" display="Перейти"/>
    <hyperlink ref="E6831" r:id="rId_hyperlink_6830" tooltip="Перейти" display="Перейти"/>
    <hyperlink ref="E6832" r:id="rId_hyperlink_6831" tooltip="Перейти" display="Перейти"/>
    <hyperlink ref="E6833" r:id="rId_hyperlink_6832" tooltip="Перейти" display="Перейти"/>
    <hyperlink ref="E6834" r:id="rId_hyperlink_6833" tooltip="Перейти" display="Перейти"/>
    <hyperlink ref="E6835" r:id="rId_hyperlink_6834" tooltip="Перейти" display="Перейти"/>
    <hyperlink ref="E6836" r:id="rId_hyperlink_6835" tooltip="Перейти" display="Перейти"/>
    <hyperlink ref="E6837" r:id="rId_hyperlink_6836" tooltip="Перейти" display="Перейти"/>
    <hyperlink ref="E6838" r:id="rId_hyperlink_6837" tooltip="Перейти" display="Перейти"/>
    <hyperlink ref="E6839" r:id="rId_hyperlink_6838" tooltip="Перейти" display="Перейти"/>
    <hyperlink ref="E6840" r:id="rId_hyperlink_6839" tooltip="Перейти" display="Перейти"/>
    <hyperlink ref="E6841" r:id="rId_hyperlink_6840" tooltip="Перейти" display="Перейти"/>
    <hyperlink ref="E6842" r:id="rId_hyperlink_6841" tooltip="Перейти" display="Перейти"/>
    <hyperlink ref="E6843" r:id="rId_hyperlink_6842" tooltip="Перейти" display="Перейти"/>
    <hyperlink ref="E6844" r:id="rId_hyperlink_6843" tooltip="Перейти" display="Перейти"/>
    <hyperlink ref="E6845" r:id="rId_hyperlink_6844" tooltip="Перейти" display="Перейти"/>
    <hyperlink ref="E6846" r:id="rId_hyperlink_6845" tooltip="Перейти" display="Перейти"/>
    <hyperlink ref="E6847" r:id="rId_hyperlink_6846" tooltip="Перейти" display="Перейти"/>
    <hyperlink ref="E6848" r:id="rId_hyperlink_6847" tooltip="Перейти" display="Перейти"/>
    <hyperlink ref="E6849" r:id="rId_hyperlink_6848" tooltip="Перейти" display="Перейти"/>
    <hyperlink ref="E6850" r:id="rId_hyperlink_6849" tooltip="Перейти" display="Перейти"/>
    <hyperlink ref="E6851" r:id="rId_hyperlink_6850" tooltip="Перейти" display="Перейти"/>
    <hyperlink ref="E6852" r:id="rId_hyperlink_6851" tooltip="Перейти" display="Перейти"/>
    <hyperlink ref="E6853" r:id="rId_hyperlink_6852" tooltip="Перейти" display="Перейти"/>
    <hyperlink ref="E6854" r:id="rId_hyperlink_6853" tooltip="Перейти" display="Перейти"/>
    <hyperlink ref="E6855" r:id="rId_hyperlink_6854" tooltip="Перейти" display="Перейти"/>
    <hyperlink ref="E6856" r:id="rId_hyperlink_6855" tooltip="Перейти" display="Перейти"/>
    <hyperlink ref="E6857" r:id="rId_hyperlink_6856" tooltip="Перейти" display="Перейти"/>
    <hyperlink ref="E6858" r:id="rId_hyperlink_6857" tooltip="Перейти" display="Перейти"/>
    <hyperlink ref="E6859" r:id="rId_hyperlink_6858" tooltip="Перейти" display="Перейти"/>
    <hyperlink ref="E6860" r:id="rId_hyperlink_6859" tooltip="Перейти" display="Перейти"/>
    <hyperlink ref="E6861" r:id="rId_hyperlink_6860" tooltip="Перейти" display="Перейти"/>
    <hyperlink ref="E6862" r:id="rId_hyperlink_6861" tooltip="Перейти" display="Перейти"/>
    <hyperlink ref="E6863" r:id="rId_hyperlink_6862" tooltip="Перейти" display="Перейти"/>
    <hyperlink ref="E6864" r:id="rId_hyperlink_6863" tooltip="Перейти" display="Перейти"/>
    <hyperlink ref="E6865" r:id="rId_hyperlink_6864" tooltip="Перейти" display="Перейти"/>
    <hyperlink ref="E6866" r:id="rId_hyperlink_6865" tooltip="Перейти" display="Перейти"/>
    <hyperlink ref="E6867" r:id="rId_hyperlink_6866" tooltip="Перейти" display="Перейти"/>
    <hyperlink ref="E6868" r:id="rId_hyperlink_6867" tooltip="Перейти" display="Перейти"/>
    <hyperlink ref="E6869" r:id="rId_hyperlink_6868" tooltip="Перейти" display="Перейти"/>
    <hyperlink ref="E6870" r:id="rId_hyperlink_6869" tooltip="Перейти" display="Перейти"/>
    <hyperlink ref="E6871" r:id="rId_hyperlink_6870" tooltip="Перейти" display="Перейти"/>
    <hyperlink ref="E6872" r:id="rId_hyperlink_6871" tooltip="Перейти" display="Перейти"/>
    <hyperlink ref="E6873" r:id="rId_hyperlink_6872" tooltip="Перейти" display="Перейти"/>
    <hyperlink ref="E6874" r:id="rId_hyperlink_6873" tooltip="Перейти" display="Перейти"/>
    <hyperlink ref="E6875" r:id="rId_hyperlink_6874" tooltip="Перейти" display="Перейти"/>
    <hyperlink ref="E6876" r:id="rId_hyperlink_6875" tooltip="Перейти" display="Перейти"/>
    <hyperlink ref="E6877" r:id="rId_hyperlink_6876" tooltip="Перейти" display="Перейти"/>
    <hyperlink ref="E6878" r:id="rId_hyperlink_6877" tooltip="Перейти" display="Перейти"/>
    <hyperlink ref="E6879" r:id="rId_hyperlink_6878" tooltip="Перейти" display="Перейти"/>
    <hyperlink ref="E6880" r:id="rId_hyperlink_6879" tooltip="Перейти" display="Перейти"/>
    <hyperlink ref="E6881" r:id="rId_hyperlink_6880" tooltip="Перейти" display="Перейти"/>
    <hyperlink ref="E6882" r:id="rId_hyperlink_6881" tooltip="Перейти" display="Перейти"/>
    <hyperlink ref="E6883" r:id="rId_hyperlink_6882" tooltip="Перейти" display="Перейти"/>
    <hyperlink ref="E6884" r:id="rId_hyperlink_6883" tooltip="Перейти" display="Перейти"/>
    <hyperlink ref="E6885" r:id="rId_hyperlink_6884" tooltip="Перейти" display="Перейти"/>
    <hyperlink ref="E6886" r:id="rId_hyperlink_6885" tooltip="Перейти" display="Перейти"/>
    <hyperlink ref="E6887" r:id="rId_hyperlink_6886" tooltip="Перейти" display="Перейти"/>
    <hyperlink ref="E6888" r:id="rId_hyperlink_6887" tooltip="Перейти" display="Перейти"/>
    <hyperlink ref="E6889" r:id="rId_hyperlink_6888" tooltip="Перейти" display="Перейти"/>
    <hyperlink ref="E6890" r:id="rId_hyperlink_6889" tooltip="Перейти" display="Перейти"/>
    <hyperlink ref="E6891" r:id="rId_hyperlink_6890" tooltip="Перейти" display="Перейти"/>
    <hyperlink ref="E6892" r:id="rId_hyperlink_6891" tooltip="Перейти" display="Перейти"/>
    <hyperlink ref="E6893" r:id="rId_hyperlink_6892" tooltip="Перейти" display="Перейти"/>
    <hyperlink ref="E6894" r:id="rId_hyperlink_6893" tooltip="Перейти" display="Перейти"/>
    <hyperlink ref="E6895" r:id="rId_hyperlink_6894" tooltip="Перейти" display="Перейти"/>
    <hyperlink ref="E6896" r:id="rId_hyperlink_6895" tooltip="Перейти" display="Перейти"/>
    <hyperlink ref="E6897" r:id="rId_hyperlink_6896" tooltip="Перейти" display="Перейти"/>
    <hyperlink ref="E6898" r:id="rId_hyperlink_6897" tooltip="Перейти" display="Перейти"/>
    <hyperlink ref="E6899" r:id="rId_hyperlink_6898" tooltip="Перейти" display="Перейти"/>
    <hyperlink ref="E6900" r:id="rId_hyperlink_6899" tooltip="Перейти" display="Перейти"/>
    <hyperlink ref="E6901" r:id="rId_hyperlink_6900" tooltip="Перейти" display="Перейти"/>
    <hyperlink ref="E6902" r:id="rId_hyperlink_6901" tooltip="Перейти" display="Перейти"/>
    <hyperlink ref="E6903" r:id="rId_hyperlink_6902" tooltip="Перейти" display="Перейти"/>
    <hyperlink ref="E6904" r:id="rId_hyperlink_6903" tooltip="Перейти" display="Перейти"/>
    <hyperlink ref="E6905" r:id="rId_hyperlink_6904" tooltip="Перейти" display="Перейти"/>
    <hyperlink ref="E6906" r:id="rId_hyperlink_6905" tooltip="Перейти" display="Перейти"/>
    <hyperlink ref="E6907" r:id="rId_hyperlink_6906" tooltip="Перейти" display="Перейти"/>
    <hyperlink ref="E6908" r:id="rId_hyperlink_6907" tooltip="Перейти" display="Перейти"/>
    <hyperlink ref="E6909" r:id="rId_hyperlink_6908" tooltip="Перейти" display="Перейти"/>
    <hyperlink ref="E6910" r:id="rId_hyperlink_6909" tooltip="Перейти" display="Перейти"/>
    <hyperlink ref="E6911" r:id="rId_hyperlink_6910" tooltip="Перейти" display="Перейти"/>
    <hyperlink ref="E6912" r:id="rId_hyperlink_6911" tooltip="Перейти" display="Перейти"/>
    <hyperlink ref="E6913" r:id="rId_hyperlink_6912" tooltip="Перейти" display="Перейти"/>
    <hyperlink ref="E6914" r:id="rId_hyperlink_6913" tooltip="Перейти" display="Перейти"/>
    <hyperlink ref="E6915" r:id="rId_hyperlink_6914" tooltip="Перейти" display="Перейти"/>
    <hyperlink ref="E6916" r:id="rId_hyperlink_6915" tooltip="Перейти" display="Перейти"/>
    <hyperlink ref="E6917" r:id="rId_hyperlink_6916" tooltip="Перейти" display="Перейти"/>
    <hyperlink ref="E6918" r:id="rId_hyperlink_6917" tooltip="Перейти" display="Перейти"/>
    <hyperlink ref="E6919" r:id="rId_hyperlink_6918" tooltip="Перейти" display="Перейти"/>
    <hyperlink ref="E6920" r:id="rId_hyperlink_6919" tooltip="Перейти" display="Перейти"/>
    <hyperlink ref="E6921" r:id="rId_hyperlink_6920" tooltip="Перейти" display="Перейти"/>
    <hyperlink ref="E6922" r:id="rId_hyperlink_6921" tooltip="Перейти" display="Перейти"/>
    <hyperlink ref="E6923" r:id="rId_hyperlink_6922" tooltip="Перейти" display="Перейти"/>
    <hyperlink ref="E6924" r:id="rId_hyperlink_6923" tooltip="Перейти" display="Перейти"/>
    <hyperlink ref="E6925" r:id="rId_hyperlink_6924" tooltip="Перейти" display="Перейти"/>
    <hyperlink ref="E6926" r:id="rId_hyperlink_6925" tooltip="Перейти" display="Перейти"/>
    <hyperlink ref="E6927" r:id="rId_hyperlink_6926" tooltip="Перейти" display="Перейти"/>
    <hyperlink ref="E6928" r:id="rId_hyperlink_6927" tooltip="Перейти" display="Перейти"/>
    <hyperlink ref="E6929" r:id="rId_hyperlink_6928" tooltip="Перейти" display="Перейти"/>
    <hyperlink ref="E6930" r:id="rId_hyperlink_6929" tooltip="Перейти" display="Перейти"/>
    <hyperlink ref="E6931" r:id="rId_hyperlink_6930" tooltip="Перейти" display="Перейти"/>
    <hyperlink ref="E6932" r:id="rId_hyperlink_6931" tooltip="Перейти" display="Перейти"/>
    <hyperlink ref="E6933" r:id="rId_hyperlink_6932" tooltip="Перейти" display="Перейти"/>
    <hyperlink ref="E6934" r:id="rId_hyperlink_6933" tooltip="Перейти" display="Перейти"/>
    <hyperlink ref="E6935" r:id="rId_hyperlink_6934" tooltip="Перейти" display="Перейти"/>
    <hyperlink ref="E6936" r:id="rId_hyperlink_6935" tooltip="Перейти" display="Перейти"/>
    <hyperlink ref="E6937" r:id="rId_hyperlink_6936" tooltip="Перейти" display="Перейти"/>
    <hyperlink ref="E6938" r:id="rId_hyperlink_6937" tooltip="Перейти" display="Перейти"/>
    <hyperlink ref="E6939" r:id="rId_hyperlink_6938" tooltip="Перейти" display="Перейти"/>
    <hyperlink ref="E6940" r:id="rId_hyperlink_6939" tooltip="Перейти" display="Перейти"/>
    <hyperlink ref="E6941" r:id="rId_hyperlink_6940" tooltip="Перейти" display="Перейти"/>
    <hyperlink ref="E6942" r:id="rId_hyperlink_6941" tooltip="Перейти" display="Перейти"/>
    <hyperlink ref="E6943" r:id="rId_hyperlink_6942" tooltip="Перейти" display="Перейти"/>
    <hyperlink ref="E6944" r:id="rId_hyperlink_6943" tooltip="Перейти" display="Перейти"/>
    <hyperlink ref="E6945" r:id="rId_hyperlink_6944" tooltip="Перейти" display="Перейти"/>
    <hyperlink ref="E6946" r:id="rId_hyperlink_6945" tooltip="Перейти" display="Перейти"/>
    <hyperlink ref="E6947" r:id="rId_hyperlink_6946" tooltip="Перейти" display="Перейти"/>
    <hyperlink ref="E6948" r:id="rId_hyperlink_6947" tooltip="Перейти" display="Перейти"/>
    <hyperlink ref="E6949" r:id="rId_hyperlink_6948" tooltip="Перейти" display="Перейти"/>
    <hyperlink ref="E6950" r:id="rId_hyperlink_6949" tooltip="Перейти" display="Перейти"/>
    <hyperlink ref="E6951" r:id="rId_hyperlink_6950" tooltip="Перейти" display="Перейти"/>
    <hyperlink ref="E6952" r:id="rId_hyperlink_6951" tooltip="Перейти" display="Перейти"/>
    <hyperlink ref="E6953" r:id="rId_hyperlink_6952" tooltip="Перейти" display="Перейти"/>
    <hyperlink ref="E6954" r:id="rId_hyperlink_6953" tooltip="Перейти" display="Перейти"/>
    <hyperlink ref="E6955" r:id="rId_hyperlink_6954" tooltip="Перейти" display="Перейти"/>
    <hyperlink ref="E6956" r:id="rId_hyperlink_6955" tooltip="Перейти" display="Перейти"/>
    <hyperlink ref="E6957" r:id="rId_hyperlink_6956" tooltip="Перейти" display="Перейти"/>
    <hyperlink ref="E6958" r:id="rId_hyperlink_6957" tooltip="Перейти" display="Перейти"/>
    <hyperlink ref="E6959" r:id="rId_hyperlink_6958" tooltip="Перейти" display="Перейти"/>
    <hyperlink ref="E6960" r:id="rId_hyperlink_6959" tooltip="Перейти" display="Перейти"/>
    <hyperlink ref="E6961" r:id="rId_hyperlink_6960" tooltip="Перейти" display="Перейти"/>
    <hyperlink ref="E6962" r:id="rId_hyperlink_6961" tooltip="Перейти" display="Перейти"/>
    <hyperlink ref="E6963" r:id="rId_hyperlink_6962" tooltip="Перейти" display="Перейти"/>
    <hyperlink ref="E6964" r:id="rId_hyperlink_6963" tooltip="Перейти" display="Перейти"/>
    <hyperlink ref="E6965" r:id="rId_hyperlink_6964" tooltip="Перейти" display="Перейти"/>
    <hyperlink ref="E6966" r:id="rId_hyperlink_6965" tooltip="Перейти" display="Перейти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UkrMobil</dc:creator>
  <cp:lastModifiedBy>Unknown Creator</cp:lastModifiedBy>
  <dcterms:created xsi:type="dcterms:W3CDTF">2026-08-01T06:23:43+03:00</dcterms:created>
  <dcterms:modified xsi:type="dcterms:W3CDTF">2026-08-01T06:23:43+03:00</dcterms:modified>
  <dc:title>Price List</dc:title>
  <dc:description/>
  <dc:subject>Price List</dc:subject>
  <cp:keywords/>
  <cp:category/>
</cp:coreProperties>
</file>